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0.xml" ContentType="application/vnd.openxmlformats-officedocument.drawingml.chartshapes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1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2.xml" ContentType="application/vnd.openxmlformats-officedocument.drawingml.chartshape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3.xml" ContentType="application/vnd.openxmlformats-officedocument.drawingml.chartshapes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6.xml" ContentType="application/vnd.openxmlformats-officedocument.drawingml.chartshapes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7.xml" ContentType="application/vnd.openxmlformats-officedocument.drawingml.chartshapes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0.xml" ContentType="application/vnd.openxmlformats-officedocument.drawingml.chartshapes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1.xml" ContentType="application/vnd.openxmlformats-officedocument.drawingml.chartshapes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kubalov\Desktop\МОДУС БИ\"/>
    </mc:Choice>
  </mc:AlternateContent>
  <bookViews>
    <workbookView xWindow="0" yWindow="0" windowWidth="20460" windowHeight="8250" tabRatio="1000" firstSheet="3" activeTab="12"/>
  </bookViews>
  <sheets>
    <sheet name="слайд 2 старый" sheetId="1" state="hidden" r:id="rId1"/>
    <sheet name="п-ф" sheetId="2" state="hidden" r:id="rId2"/>
    <sheet name="Слайд 2" sheetId="12" state="hidden" r:id="rId3"/>
    <sheet name="Слайд 2 (2)" sheetId="25" r:id="rId4"/>
    <sheet name="данные" sheetId="3" r:id="rId5"/>
    <sheet name="данные (ЧП с лизингом)" sheetId="29" state="hidden" r:id="rId6"/>
    <sheet name="слайд 3 и 5" sheetId="4" r:id="rId7"/>
    <sheet name="производительность" sheetId="5" state="hidden" r:id="rId8"/>
    <sheet name="слайд 3 и 5 (с лизингом и амор)" sheetId="28" state="hidden" r:id="rId9"/>
    <sheet name="слайд 4" sheetId="6" state="hidden" r:id="rId10"/>
    <sheet name="Лист4" sheetId="7" state="hidden" r:id="rId11"/>
    <sheet name="слайд 6" sheetId="9" state="hidden" r:id="rId12"/>
    <sheet name="слайд 3 и 5 (прогноз)" sheetId="33" r:id="rId13"/>
    <sheet name="выручка" sheetId="34" r:id="rId14"/>
    <sheet name="ЧП" sheetId="35" r:id="rId15"/>
    <sheet name="слайд 7" sheetId="23" r:id="rId16"/>
    <sheet name="слайд 7 (с лизингом)" sheetId="30" state="hidden" r:id="rId17"/>
    <sheet name="слайд 7 (с лизингом) на слайд" sheetId="31" state="hidden" r:id="rId18"/>
    <sheet name="Слайд 8 ЦР" sheetId="13" r:id="rId19"/>
    <sheet name="Слайд 8 СЗР" sheetId="14" r:id="rId20"/>
    <sheet name="Слайд 9 ЮР" sheetId="15" r:id="rId21"/>
    <sheet name="Слайд 9 ПР" sheetId="16" r:id="rId22"/>
    <sheet name="Слайд 10 УР" sheetId="17" r:id="rId23"/>
    <sheet name="Слайд 10 СР" sheetId="18" r:id="rId24"/>
    <sheet name="Слайд 11 ДВР" sheetId="19" r:id="rId25"/>
    <sheet name="Слайд 11 МИМО" sheetId="20" r:id="rId26"/>
    <sheet name="ФГУП" sheetId="22" r:id="rId27"/>
    <sheet name="Слайд 12" sheetId="24" state="hidden" r:id="rId28"/>
    <sheet name="Слайд 12 (3)" sheetId="27" state="hidden" r:id="rId29"/>
    <sheet name="Слайд 12 (4)" sheetId="32" r:id="rId30"/>
    <sheet name="Слайд 13" sheetId="21" state="hidden" r:id="rId31"/>
    <sheet name="филиалы для анализа" sheetId="10" state="hidden" r:id="rId32"/>
    <sheet name="Лист3" sheetId="11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xlnm._FilterDatabase" localSheetId="4" hidden="1">данные!$A$5:$X$95</definedName>
    <definedName name="_xlnm._FilterDatabase" localSheetId="5" hidden="1">'данные (ЧП с лизингом)'!$A$5:$AF$95</definedName>
    <definedName name="_xlnm._FilterDatabase" localSheetId="32" hidden="1">Лист3!$A$3:$E$80</definedName>
    <definedName name="_xlnm._FilterDatabase" localSheetId="10" hidden="1">Лист4!$A$7:$L$163</definedName>
    <definedName name="_xlnm._FilterDatabase" localSheetId="27" hidden="1">'Слайд 12'!$A$118:$G$307</definedName>
    <definedName name="_xlnm._FilterDatabase" localSheetId="28" hidden="1">'Слайд 12 (3)'!$A$119:$G$308</definedName>
    <definedName name="_xlnm._FilterDatabase" localSheetId="29" hidden="1">'Слайд 12 (4)'!$A$119:$G$308</definedName>
    <definedName name="_xlnm._FilterDatabase" localSheetId="6" hidden="1">'слайд 3 и 5'!$A$31:$N$31</definedName>
    <definedName name="_xlnm._FilterDatabase" localSheetId="12" hidden="1">'слайд 3 и 5 (прогноз)'!$A$31:$S$31</definedName>
    <definedName name="_xlnm._FilterDatabase" localSheetId="8" hidden="1">'слайд 3 и 5 (с лизингом и амор)'!$A$31:$N$31</definedName>
    <definedName name="_xlnm._FilterDatabase" localSheetId="9" hidden="1">'слайд 4'!$A$6:$D$14</definedName>
    <definedName name="_xlnm._FilterDatabase" localSheetId="11" hidden="1">'слайд 6'!$A$6:$F$6</definedName>
    <definedName name="_xlnm._FilterDatabase" localSheetId="26" hidden="1">ФГУП!$A$118:$G$307</definedName>
    <definedName name="_xlnm._FilterDatabase" localSheetId="31" hidden="1">'филиалы для анализа'!$A$5:$U$82</definedName>
    <definedName name="Z_38D37C3F_FD9B_4DF6_A86F_8343B05C36EA_.wvu.Cols" localSheetId="4" hidden="1">данные!$E:$G,данные!$R:$R,данные!$V:$X</definedName>
    <definedName name="Z_38D37C3F_FD9B_4DF6_A86F_8343B05C36EA_.wvu.Cols" localSheetId="5" hidden="1">'данные (ЧП с лизингом)'!$E:$G,'данные (ЧП с лизингом)'!$T:$T,'данные (ЧП с лизингом)'!$AD:$AF</definedName>
    <definedName name="Z_38D37C3F_FD9B_4DF6_A86F_8343B05C36EA_.wvu.Cols" localSheetId="7" hidden="1">производительность!$D:$E,производительность!$G:$J</definedName>
    <definedName name="Z_38D37C3F_FD9B_4DF6_A86F_8343B05C36EA_.wvu.Cols" localSheetId="0" hidden="1">'слайд 2 старый'!$F:$S</definedName>
    <definedName name="Z_38D37C3F_FD9B_4DF6_A86F_8343B05C36EA_.wvu.Cols" localSheetId="6" hidden="1">'слайд 3 и 5'!$G:$H</definedName>
    <definedName name="Z_38D37C3F_FD9B_4DF6_A86F_8343B05C36EA_.wvu.Cols" localSheetId="12" hidden="1">'слайд 3 и 5 (прогноз)'!$L:$M</definedName>
    <definedName name="Z_38D37C3F_FD9B_4DF6_A86F_8343B05C36EA_.wvu.Cols" localSheetId="8" hidden="1">'слайд 3 и 5 (с лизингом и амор)'!$G:$H</definedName>
    <definedName name="Z_38D37C3F_FD9B_4DF6_A86F_8343B05C36EA_.wvu.FilterData" localSheetId="4" hidden="1">данные!$A$5:$X$95</definedName>
    <definedName name="Z_38D37C3F_FD9B_4DF6_A86F_8343B05C36EA_.wvu.FilterData" localSheetId="5" hidden="1">'данные (ЧП с лизингом)'!$A$5:$AF$95</definedName>
    <definedName name="Z_38D37C3F_FD9B_4DF6_A86F_8343B05C36EA_.wvu.FilterData" localSheetId="32" hidden="1">Лист3!$A$3:$E$80</definedName>
    <definedName name="Z_38D37C3F_FD9B_4DF6_A86F_8343B05C36EA_.wvu.FilterData" localSheetId="10" hidden="1">Лист4!$A$7:$L$163</definedName>
    <definedName name="Z_38D37C3F_FD9B_4DF6_A86F_8343B05C36EA_.wvu.FilterData" localSheetId="6" hidden="1">'слайд 3 и 5'!$A$31:$N$31</definedName>
    <definedName name="Z_38D37C3F_FD9B_4DF6_A86F_8343B05C36EA_.wvu.FilterData" localSheetId="12" hidden="1">'слайд 3 и 5 (прогноз)'!$A$31:$S$31</definedName>
    <definedName name="Z_38D37C3F_FD9B_4DF6_A86F_8343B05C36EA_.wvu.FilterData" localSheetId="8" hidden="1">'слайд 3 и 5 (с лизингом и амор)'!$A$31:$N$31</definedName>
    <definedName name="Z_38D37C3F_FD9B_4DF6_A86F_8343B05C36EA_.wvu.FilterData" localSheetId="9" hidden="1">'слайд 4'!$A$6:$D$6</definedName>
    <definedName name="Z_38D37C3F_FD9B_4DF6_A86F_8343B05C36EA_.wvu.FilterData" localSheetId="11" hidden="1">'слайд 6'!$A$6:$F$6</definedName>
    <definedName name="Z_38D37C3F_FD9B_4DF6_A86F_8343B05C36EA_.wvu.FilterData" localSheetId="15" hidden="1">'слайд 7'!#REF!</definedName>
    <definedName name="Z_38D37C3F_FD9B_4DF6_A86F_8343B05C36EA_.wvu.FilterData" localSheetId="16" hidden="1">'слайд 7 (с лизингом)'!#REF!</definedName>
    <definedName name="Z_38D37C3F_FD9B_4DF6_A86F_8343B05C36EA_.wvu.FilterData" localSheetId="17" hidden="1">'слайд 7 (с лизингом) на слайд'!#REF!</definedName>
    <definedName name="Z_38D37C3F_FD9B_4DF6_A86F_8343B05C36EA_.wvu.FilterData" localSheetId="31" hidden="1">'филиалы для анализа'!$A$5:$U$82</definedName>
    <definedName name="Z_38D37C3F_FD9B_4DF6_A86F_8343B05C36EA_.wvu.PrintArea" localSheetId="4" hidden="1">данные!$A$1:$X$95</definedName>
    <definedName name="Z_38D37C3F_FD9B_4DF6_A86F_8343B05C36EA_.wvu.PrintArea" localSheetId="5" hidden="1">'данные (ЧП с лизингом)'!$A$1:$AF$95</definedName>
    <definedName name="Z_38D37C3F_FD9B_4DF6_A86F_8343B05C36EA_.wvu.PrintArea" localSheetId="31" hidden="1">'филиалы для анализа'!$A$1:$U$82</definedName>
    <definedName name="Z_38D37C3F_FD9B_4DF6_A86F_8343B05C36EA_.wvu.PrintTitles" localSheetId="4" hidden="1">данные!$4:$5</definedName>
    <definedName name="Z_38D37C3F_FD9B_4DF6_A86F_8343B05C36EA_.wvu.PrintTitles" localSheetId="5" hidden="1">'данные (ЧП с лизингом)'!$4:$5</definedName>
    <definedName name="Z_38D37C3F_FD9B_4DF6_A86F_8343B05C36EA_.wvu.PrintTitles" localSheetId="32" hidden="1">Лист3!$3:$3</definedName>
    <definedName name="Z_38D37C3F_FD9B_4DF6_A86F_8343B05C36EA_.wvu.PrintTitles" localSheetId="31" hidden="1">'филиалы для анализа'!$4:$5</definedName>
    <definedName name="_xlnm.Print_Titles" localSheetId="4">данные!$4:$5</definedName>
    <definedName name="_xlnm.Print_Titles" localSheetId="5">'данные (ЧП с лизингом)'!$4:$5</definedName>
    <definedName name="_xlnm.Print_Titles" localSheetId="32">Лист3!$3:$3</definedName>
    <definedName name="_xlnm.Print_Titles" localSheetId="31">'филиалы для анализа'!$4:$5</definedName>
    <definedName name="_xlnm.Print_Area" localSheetId="31">'филиалы для анализа'!$A$1:$U$82</definedName>
  </definedNames>
  <calcPr calcId="162913"/>
  <customWorkbookViews>
    <customWorkbookView name="Илясова Светлана Викторовна - Личное представление" guid="{38D37C3F-FD9B-4DF6-A86F-8343B05C36EA}" mergeInterval="0" personalView="1" maximized="1" xWindow="-8" yWindow="-8" windowWidth="1936" windowHeight="1056" tabRatio="76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3" l="1"/>
  <c r="L129" i="32" l="1"/>
  <c r="L128" i="32"/>
  <c r="L127" i="32"/>
  <c r="L126" i="32"/>
  <c r="D120" i="32"/>
  <c r="J4" i="25" l="1"/>
  <c r="J5" i="25"/>
  <c r="I5" i="25"/>
  <c r="M4" i="25"/>
  <c r="M3" i="25"/>
  <c r="F39" i="33" l="1"/>
  <c r="F15" i="33"/>
  <c r="C39" i="33" l="1"/>
  <c r="C38" i="33"/>
  <c r="C37" i="33"/>
  <c r="C36" i="33"/>
  <c r="C35" i="33"/>
  <c r="C34" i="33"/>
  <c r="C33" i="33"/>
  <c r="C32" i="33"/>
  <c r="C9" i="33"/>
  <c r="C10" i="33"/>
  <c r="C11" i="33"/>
  <c r="C12" i="33"/>
  <c r="C13" i="33"/>
  <c r="C14" i="33"/>
  <c r="C15" i="33"/>
  <c r="C8" i="33"/>
  <c r="M31" i="33" l="1"/>
  <c r="L31" i="33"/>
  <c r="J31" i="33"/>
  <c r="J9" i="33"/>
  <c r="J10" i="33"/>
  <c r="J11" i="33"/>
  <c r="J12" i="33"/>
  <c r="J13" i="33"/>
  <c r="J14" i="33"/>
  <c r="J15" i="33"/>
  <c r="J8" i="33"/>
  <c r="K7" i="33"/>
  <c r="L7" i="33"/>
  <c r="J7" i="33"/>
  <c r="F33" i="33" l="1"/>
  <c r="L33" i="33" s="1"/>
  <c r="F34" i="33"/>
  <c r="L34" i="33" s="1"/>
  <c r="F35" i="33"/>
  <c r="L35" i="33" s="1"/>
  <c r="F36" i="33"/>
  <c r="L36" i="33" s="1"/>
  <c r="F37" i="33"/>
  <c r="L37" i="33" s="1"/>
  <c r="F38" i="33"/>
  <c r="L38" i="33" s="1"/>
  <c r="L39" i="33"/>
  <c r="F32" i="33"/>
  <c r="L32" i="33" s="1"/>
  <c r="E33" i="33"/>
  <c r="K33" i="33" s="1"/>
  <c r="E34" i="33"/>
  <c r="K34" i="33" s="1"/>
  <c r="E35" i="33"/>
  <c r="K35" i="33" s="1"/>
  <c r="E36" i="33"/>
  <c r="K36" i="33" s="1"/>
  <c r="E37" i="33"/>
  <c r="K37" i="33" s="1"/>
  <c r="E38" i="33"/>
  <c r="K38" i="33" s="1"/>
  <c r="E39" i="33"/>
  <c r="K39" i="33" s="1"/>
  <c r="E32" i="33"/>
  <c r="K32" i="33" s="1"/>
  <c r="B39" i="33"/>
  <c r="B33" i="33"/>
  <c r="B34" i="33"/>
  <c r="B35" i="33"/>
  <c r="B36" i="33"/>
  <c r="B37" i="33"/>
  <c r="B38" i="33"/>
  <c r="B32" i="33"/>
  <c r="E9" i="33"/>
  <c r="K9" i="33" s="1"/>
  <c r="E10" i="33"/>
  <c r="K10" i="33" s="1"/>
  <c r="E11" i="33"/>
  <c r="K11" i="33" s="1"/>
  <c r="E12" i="33"/>
  <c r="K12" i="33" s="1"/>
  <c r="E13" i="33"/>
  <c r="K13" i="33" s="1"/>
  <c r="E14" i="33"/>
  <c r="K14" i="33" s="1"/>
  <c r="E15" i="33"/>
  <c r="K15" i="33" s="1"/>
  <c r="E8" i="33"/>
  <c r="K8" i="33" s="1"/>
  <c r="M38" i="33" l="1"/>
  <c r="M34" i="33"/>
  <c r="M37" i="33"/>
  <c r="M33" i="33"/>
  <c r="M32" i="33"/>
  <c r="M36" i="33"/>
  <c r="M39" i="33"/>
  <c r="M35" i="33"/>
  <c r="F9" i="33"/>
  <c r="L9" i="33" s="1"/>
  <c r="M9" i="33" s="1"/>
  <c r="F10" i="33"/>
  <c r="L10" i="33" s="1"/>
  <c r="M10" i="33" s="1"/>
  <c r="F11" i="33"/>
  <c r="L11" i="33" s="1"/>
  <c r="M11" i="33" s="1"/>
  <c r="F12" i="33"/>
  <c r="L12" i="33" s="1"/>
  <c r="M12" i="33" s="1"/>
  <c r="F13" i="33"/>
  <c r="L13" i="33" s="1"/>
  <c r="M13" i="33" s="1"/>
  <c r="F14" i="33"/>
  <c r="L14" i="33" s="1"/>
  <c r="M14" i="33" s="1"/>
  <c r="L15" i="33"/>
  <c r="M15" i="33" s="1"/>
  <c r="F8" i="33"/>
  <c r="L8" i="33" s="1"/>
  <c r="M8" i="33" s="1"/>
  <c r="D33" i="33"/>
  <c r="D34" i="33"/>
  <c r="D35" i="33"/>
  <c r="D36" i="33"/>
  <c r="D37" i="33"/>
  <c r="D38" i="33"/>
  <c r="D39" i="33"/>
  <c r="D32" i="33"/>
  <c r="D9" i="33"/>
  <c r="D10" i="33"/>
  <c r="D11" i="33"/>
  <c r="D12" i="33"/>
  <c r="D13" i="33"/>
  <c r="D14" i="33"/>
  <c r="D15" i="33"/>
  <c r="D8" i="33"/>
  <c r="E31" i="33"/>
  <c r="K31" i="33" s="1"/>
  <c r="F31" i="33"/>
  <c r="D31" i="33"/>
  <c r="E19" i="33"/>
  <c r="F19" i="33"/>
  <c r="D19" i="33"/>
  <c r="B15" i="33"/>
  <c r="B9" i="33"/>
  <c r="B10" i="33"/>
  <c r="B11" i="33"/>
  <c r="B12" i="33"/>
  <c r="B13" i="33"/>
  <c r="B14" i="33"/>
  <c r="G27" i="33"/>
  <c r="C27" i="33"/>
  <c r="B27" i="33"/>
  <c r="G26" i="33"/>
  <c r="C26" i="33"/>
  <c r="B26" i="33"/>
  <c r="G25" i="33"/>
  <c r="C25" i="33"/>
  <c r="H25" i="33" s="1"/>
  <c r="B25" i="33"/>
  <c r="G24" i="33"/>
  <c r="C24" i="33"/>
  <c r="B24" i="33"/>
  <c r="G23" i="33"/>
  <c r="C23" i="33"/>
  <c r="B23" i="33"/>
  <c r="G22" i="33"/>
  <c r="C22" i="33"/>
  <c r="B22" i="33"/>
  <c r="G21" i="33"/>
  <c r="C21" i="33"/>
  <c r="B21" i="33"/>
  <c r="G20" i="33"/>
  <c r="C20" i="33"/>
  <c r="B20" i="33"/>
  <c r="I19" i="33"/>
  <c r="I31" i="33" s="1"/>
  <c r="H19" i="33"/>
  <c r="H31" i="33" s="1"/>
  <c r="G19" i="33"/>
  <c r="G31" i="33" s="1"/>
  <c r="C19" i="33"/>
  <c r="C31" i="33" s="1"/>
  <c r="B19" i="33"/>
  <c r="B31" i="33" s="1"/>
  <c r="G32" i="33" l="1"/>
  <c r="H32" i="33" s="1"/>
  <c r="J32" i="33"/>
  <c r="G39" i="33"/>
  <c r="I39" i="33" s="1"/>
  <c r="J39" i="33"/>
  <c r="G38" i="33"/>
  <c r="H38" i="33" s="1"/>
  <c r="J38" i="33"/>
  <c r="G34" i="33"/>
  <c r="I34" i="33" s="1"/>
  <c r="J34" i="33"/>
  <c r="G36" i="33"/>
  <c r="H36" i="33" s="1"/>
  <c r="J36" i="33"/>
  <c r="G35" i="33"/>
  <c r="H35" i="33" s="1"/>
  <c r="J35" i="33"/>
  <c r="G37" i="33"/>
  <c r="I37" i="33" s="1"/>
  <c r="J37" i="33"/>
  <c r="G33" i="33"/>
  <c r="I33" i="33" s="1"/>
  <c r="J33" i="33"/>
  <c r="G15" i="33"/>
  <c r="I15" i="33" s="1"/>
  <c r="M22" i="33"/>
  <c r="G10" i="33"/>
  <c r="H10" i="33" s="1"/>
  <c r="G8" i="33"/>
  <c r="H8" i="33" s="1"/>
  <c r="G12" i="33"/>
  <c r="I12" i="33" s="1"/>
  <c r="G11" i="33"/>
  <c r="G14" i="33"/>
  <c r="H14" i="33" s="1"/>
  <c r="G13" i="33"/>
  <c r="H13" i="33" s="1"/>
  <c r="G9" i="33"/>
  <c r="L21" i="33"/>
  <c r="I35" i="33"/>
  <c r="I26" i="33"/>
  <c r="I38" i="33"/>
  <c r="H23" i="33"/>
  <c r="I25" i="33"/>
  <c r="H26" i="33"/>
  <c r="H27" i="33"/>
  <c r="H22" i="33"/>
  <c r="L27" i="33"/>
  <c r="I20" i="33"/>
  <c r="H21" i="33"/>
  <c r="L25" i="33"/>
  <c r="M26" i="33"/>
  <c r="I21" i="33"/>
  <c r="I22" i="33"/>
  <c r="L23" i="33"/>
  <c r="I24" i="33"/>
  <c r="M20" i="33"/>
  <c r="M24" i="33"/>
  <c r="L22" i="33"/>
  <c r="M23" i="33"/>
  <c r="H24" i="33"/>
  <c r="L26" i="33"/>
  <c r="M27" i="33"/>
  <c r="L20" i="33"/>
  <c r="M21" i="33"/>
  <c r="I23" i="33"/>
  <c r="L24" i="33"/>
  <c r="M25" i="33"/>
  <c r="I27" i="33"/>
  <c r="H20" i="33"/>
  <c r="H37" i="33" l="1"/>
  <c r="I32" i="33"/>
  <c r="H39" i="33"/>
  <c r="I8" i="33"/>
  <c r="H15" i="33"/>
  <c r="H12" i="33"/>
  <c r="I36" i="33"/>
  <c r="H33" i="33"/>
  <c r="H34" i="33"/>
  <c r="I14" i="33"/>
  <c r="I13" i="33"/>
  <c r="H11" i="33"/>
  <c r="I11" i="33"/>
  <c r="I10" i="33"/>
  <c r="H9" i="33"/>
  <c r="I9" i="33"/>
  <c r="P134" i="32" l="1"/>
  <c r="P132" i="32"/>
  <c r="P124" i="32"/>
  <c r="P125" i="32"/>
  <c r="P126" i="32"/>
  <c r="P127" i="32"/>
  <c r="P128" i="32"/>
  <c r="P129" i="32"/>
  <c r="N137" i="32"/>
  <c r="M137" i="32"/>
  <c r="L137" i="32"/>
  <c r="P137" i="32" s="1"/>
  <c r="N136" i="32"/>
  <c r="M136" i="32"/>
  <c r="L136" i="32"/>
  <c r="O136" i="32" s="1"/>
  <c r="N135" i="32"/>
  <c r="M135" i="32"/>
  <c r="L135" i="32"/>
  <c r="P135" i="32" s="1"/>
  <c r="N134" i="32"/>
  <c r="O134" i="32" s="1"/>
  <c r="M134" i="32"/>
  <c r="L134" i="32"/>
  <c r="N133" i="32"/>
  <c r="M133" i="32"/>
  <c r="L133" i="32"/>
  <c r="P133" i="32" s="1"/>
  <c r="N132" i="32"/>
  <c r="M132" i="32"/>
  <c r="L132" i="32"/>
  <c r="O132" i="32" s="1"/>
  <c r="N125" i="32"/>
  <c r="M125" i="32"/>
  <c r="L125" i="32"/>
  <c r="O125" i="32" s="1"/>
  <c r="N124" i="32"/>
  <c r="M124" i="32"/>
  <c r="L124" i="32"/>
  <c r="N123" i="32"/>
  <c r="M123" i="32"/>
  <c r="L123" i="32"/>
  <c r="P123" i="32" s="1"/>
  <c r="N122" i="32"/>
  <c r="M122" i="32"/>
  <c r="L122" i="32"/>
  <c r="P122" i="32" s="1"/>
  <c r="N121" i="32"/>
  <c r="O121" i="32" s="1"/>
  <c r="M121" i="32"/>
  <c r="L121" i="32"/>
  <c r="P121" i="32" s="1"/>
  <c r="O124" i="32"/>
  <c r="O135" i="32"/>
  <c r="O126" i="32"/>
  <c r="O127" i="32"/>
  <c r="O128" i="32"/>
  <c r="O129" i="32"/>
  <c r="M27" i="32"/>
  <c r="L27" i="32"/>
  <c r="K27" i="32"/>
  <c r="M26" i="32"/>
  <c r="L26" i="32"/>
  <c r="K26" i="32"/>
  <c r="M25" i="32"/>
  <c r="L25" i="32"/>
  <c r="K25" i="32"/>
  <c r="M24" i="32"/>
  <c r="L24" i="32"/>
  <c r="K24" i="32"/>
  <c r="M23" i="32"/>
  <c r="L23" i="32"/>
  <c r="K23" i="32"/>
  <c r="M22" i="32"/>
  <c r="L22" i="32"/>
  <c r="K22" i="32"/>
  <c r="M21" i="32"/>
  <c r="L21" i="32"/>
  <c r="K21" i="32"/>
  <c r="M20" i="32"/>
  <c r="L20" i="32"/>
  <c r="K20" i="32"/>
  <c r="O123" i="32" l="1"/>
  <c r="O133" i="32"/>
  <c r="O137" i="32"/>
  <c r="P136" i="32"/>
  <c r="O122" i="32"/>
  <c r="J27" i="32"/>
  <c r="O27" i="32" s="1"/>
  <c r="J26" i="32"/>
  <c r="O26" i="32" s="1"/>
  <c r="J21" i="32"/>
  <c r="O21" i="32" s="1"/>
  <c r="J20" i="32"/>
  <c r="O20" i="32" s="1"/>
  <c r="J22" i="32"/>
  <c r="O22" i="32" s="1"/>
  <c r="J23" i="32"/>
  <c r="O23" i="32" s="1"/>
  <c r="J24" i="32"/>
  <c r="O24" i="32" s="1"/>
  <c r="J25" i="32"/>
  <c r="O25" i="32" s="1"/>
  <c r="B120" i="32"/>
  <c r="E120" i="32"/>
  <c r="C120" i="32"/>
  <c r="F4" i="20" l="1"/>
  <c r="F4" i="19"/>
  <c r="F4" i="18"/>
  <c r="F4" i="17"/>
  <c r="F4" i="16"/>
  <c r="F4" i="15"/>
  <c r="F4" i="14"/>
  <c r="F17" i="20"/>
  <c r="E4" i="20"/>
  <c r="D4" i="20"/>
  <c r="C4" i="20"/>
  <c r="B4" i="20"/>
  <c r="E4" i="19"/>
  <c r="D4" i="19"/>
  <c r="C4" i="19"/>
  <c r="B4" i="19"/>
  <c r="E4" i="18"/>
  <c r="D4" i="18"/>
  <c r="C4" i="18"/>
  <c r="B4" i="18"/>
  <c r="E4" i="17"/>
  <c r="D4" i="17"/>
  <c r="C4" i="17"/>
  <c r="B4" i="17"/>
  <c r="E4" i="16"/>
  <c r="D4" i="16"/>
  <c r="C4" i="16"/>
  <c r="B4" i="16"/>
  <c r="E4" i="15"/>
  <c r="D4" i="15"/>
  <c r="C4" i="15"/>
  <c r="B4" i="15"/>
  <c r="C4" i="14"/>
  <c r="D4" i="14"/>
  <c r="E4" i="14"/>
  <c r="B4" i="14"/>
  <c r="D30" i="23"/>
  <c r="D20" i="23"/>
  <c r="D21" i="23"/>
  <c r="D22" i="23"/>
  <c r="D23" i="23"/>
  <c r="D24" i="23"/>
  <c r="D25" i="23"/>
  <c r="D26" i="23"/>
  <c r="D19" i="23"/>
  <c r="D15" i="23"/>
  <c r="D16" i="23"/>
  <c r="D14" i="23"/>
  <c r="D12" i="23"/>
  <c r="D10" i="23"/>
  <c r="D9" i="23"/>
  <c r="D6" i="23"/>
  <c r="D7" i="23"/>
  <c r="D5" i="23"/>
  <c r="D31" i="23" l="1"/>
  <c r="F31" i="23" s="1"/>
  <c r="E31" i="23"/>
  <c r="C31" i="23"/>
  <c r="F39" i="4" l="1"/>
  <c r="F38" i="4"/>
  <c r="F37" i="4"/>
  <c r="K87" i="3" l="1"/>
  <c r="N4" i="25"/>
  <c r="O4" i="25" s="1"/>
  <c r="N3" i="25"/>
  <c r="H7" i="25"/>
  <c r="H6" i="25"/>
  <c r="I7" i="25"/>
  <c r="I6" i="25"/>
  <c r="J7" i="25"/>
  <c r="J6" i="25"/>
  <c r="Z87" i="29" l="1"/>
  <c r="Z86" i="29"/>
  <c r="Z85" i="29"/>
  <c r="Z84" i="29"/>
  <c r="Z83" i="29"/>
  <c r="Z81" i="29"/>
  <c r="Z78" i="29"/>
  <c r="Z76" i="29"/>
  <c r="Z75" i="29"/>
  <c r="Z72" i="29"/>
  <c r="Z71" i="29"/>
  <c r="Z69" i="29"/>
  <c r="Z68" i="29"/>
  <c r="Z67" i="29"/>
  <c r="Z59" i="29"/>
  <c r="Z56" i="29"/>
  <c r="Z53" i="29"/>
  <c r="Z52" i="29"/>
  <c r="Z51" i="29"/>
  <c r="Z42" i="29"/>
  <c r="Z37" i="29"/>
  <c r="Z36" i="29"/>
  <c r="Z35" i="29"/>
  <c r="Z29" i="29"/>
  <c r="Z27" i="29"/>
  <c r="Z21" i="29"/>
  <c r="Z18" i="29"/>
  <c r="Z6" i="29"/>
  <c r="Z82" i="29"/>
  <c r="Z80" i="29"/>
  <c r="Z79" i="29"/>
  <c r="Z77" i="29"/>
  <c r="Z74" i="29"/>
  <c r="Z73" i="29"/>
  <c r="Z70" i="29"/>
  <c r="Z66" i="29"/>
  <c r="Z65" i="29"/>
  <c r="Z64" i="29"/>
  <c r="Z63" i="29"/>
  <c r="Z62" i="29"/>
  <c r="Z61" i="29"/>
  <c r="Z60" i="29"/>
  <c r="Z58" i="29"/>
  <c r="Z57" i="29"/>
  <c r="Z55" i="29"/>
  <c r="Z54" i="29"/>
  <c r="Z50" i="29"/>
  <c r="Z49" i="29"/>
  <c r="Z48" i="29"/>
  <c r="Z47" i="29"/>
  <c r="Z46" i="29"/>
  <c r="Z44" i="29"/>
  <c r="Z43" i="29"/>
  <c r="Z41" i="29"/>
  <c r="Z40" i="29"/>
  <c r="Z38" i="29"/>
  <c r="Z34" i="29"/>
  <c r="Z33" i="29"/>
  <c r="Z32" i="29"/>
  <c r="Z31" i="29"/>
  <c r="Z30" i="29"/>
  <c r="Z28" i="29"/>
  <c r="Z26" i="29"/>
  <c r="Z25" i="29"/>
  <c r="Z24" i="29"/>
  <c r="Z23" i="29"/>
  <c r="Z22" i="29"/>
  <c r="Z20" i="29"/>
  <c r="Z19" i="29"/>
  <c r="Z17" i="29"/>
  <c r="Z16" i="29"/>
  <c r="Z15" i="29"/>
  <c r="Z14" i="29"/>
  <c r="Z13" i="29"/>
  <c r="Z12" i="29"/>
  <c r="Z11" i="29"/>
  <c r="Z10" i="29"/>
  <c r="Z9" i="29"/>
  <c r="Z8" i="29"/>
  <c r="Z7" i="29"/>
  <c r="Y45" i="29"/>
  <c r="X45" i="29"/>
  <c r="X39" i="29"/>
  <c r="Y39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Z95" i="29"/>
  <c r="Y95" i="29"/>
  <c r="X95" i="29"/>
  <c r="Z94" i="29"/>
  <c r="Y94" i="29"/>
  <c r="X94" i="29"/>
  <c r="Z93" i="29"/>
  <c r="Y93" i="29"/>
  <c r="X93" i="29"/>
  <c r="Z92" i="29"/>
  <c r="Y92" i="29"/>
  <c r="X92" i="29"/>
  <c r="Z91" i="29"/>
  <c r="Y91" i="29"/>
  <c r="X91" i="29"/>
  <c r="Z90" i="29"/>
  <c r="Y90" i="29"/>
  <c r="X90" i="29"/>
  <c r="Z89" i="29"/>
  <c r="Y89" i="29"/>
  <c r="X89" i="29"/>
  <c r="Z88" i="29"/>
  <c r="Y88" i="29"/>
  <c r="X88" i="29"/>
  <c r="Y87" i="29"/>
  <c r="X87" i="29"/>
  <c r="Y86" i="29"/>
  <c r="X86" i="29"/>
  <c r="Y85" i="29"/>
  <c r="X85" i="29"/>
  <c r="Y84" i="29"/>
  <c r="X84" i="29"/>
  <c r="Y83" i="29"/>
  <c r="X83" i="29"/>
  <c r="Y82" i="29"/>
  <c r="X82" i="29"/>
  <c r="Y81" i="29"/>
  <c r="X81" i="29"/>
  <c r="Y80" i="29"/>
  <c r="X80" i="29"/>
  <c r="Y79" i="29"/>
  <c r="X79" i="29"/>
  <c r="Y78" i="29"/>
  <c r="X78" i="29"/>
  <c r="Y77" i="29"/>
  <c r="X77" i="29"/>
  <c r="Y76" i="29"/>
  <c r="X76" i="29"/>
  <c r="Y75" i="29"/>
  <c r="X75" i="29"/>
  <c r="Y74" i="29"/>
  <c r="X74" i="29"/>
  <c r="Y73" i="29"/>
  <c r="X73" i="29"/>
  <c r="Y72" i="29"/>
  <c r="X72" i="29"/>
  <c r="Y71" i="29"/>
  <c r="X71" i="29"/>
  <c r="Y70" i="29"/>
  <c r="X70" i="29"/>
  <c r="Y69" i="29"/>
  <c r="X69" i="29"/>
  <c r="Y68" i="29"/>
  <c r="X68" i="29"/>
  <c r="Y67" i="29"/>
  <c r="X67" i="29"/>
  <c r="Y66" i="29"/>
  <c r="X66" i="29"/>
  <c r="Y65" i="29"/>
  <c r="X65" i="29"/>
  <c r="Y64" i="29"/>
  <c r="X64" i="29"/>
  <c r="Y63" i="29"/>
  <c r="X63" i="29"/>
  <c r="Y62" i="29"/>
  <c r="X62" i="29"/>
  <c r="Y61" i="29"/>
  <c r="X61" i="29"/>
  <c r="Y60" i="29"/>
  <c r="X60" i="29"/>
  <c r="Y59" i="29"/>
  <c r="X59" i="29"/>
  <c r="Y58" i="29"/>
  <c r="X58" i="29"/>
  <c r="Y57" i="29"/>
  <c r="X57" i="29"/>
  <c r="Y56" i="29"/>
  <c r="X56" i="29"/>
  <c r="Y55" i="29"/>
  <c r="X55" i="29"/>
  <c r="Y54" i="29"/>
  <c r="X54" i="29"/>
  <c r="Y53" i="29"/>
  <c r="X53" i="29"/>
  <c r="Y52" i="29"/>
  <c r="X52" i="29"/>
  <c r="Y51" i="29"/>
  <c r="X51" i="29"/>
  <c r="Y50" i="29"/>
  <c r="X50" i="29"/>
  <c r="Y49" i="29"/>
  <c r="X49" i="29"/>
  <c r="Y48" i="29"/>
  <c r="X48" i="29"/>
  <c r="Y47" i="29"/>
  <c r="X47" i="29"/>
  <c r="Y46" i="29"/>
  <c r="X46" i="29"/>
  <c r="Y44" i="29"/>
  <c r="X44" i="29"/>
  <c r="Y43" i="29"/>
  <c r="X43" i="29"/>
  <c r="Y42" i="29"/>
  <c r="X42" i="29"/>
  <c r="Y41" i="29"/>
  <c r="X41" i="29"/>
  <c r="Y40" i="29"/>
  <c r="X40" i="29"/>
  <c r="Y38" i="29"/>
  <c r="X38" i="29"/>
  <c r="Y37" i="29"/>
  <c r="X37" i="29"/>
  <c r="Y36" i="29"/>
  <c r="X36" i="29"/>
  <c r="Y35" i="29"/>
  <c r="X35" i="29"/>
  <c r="Y34" i="29"/>
  <c r="X34" i="29"/>
  <c r="Y33" i="29"/>
  <c r="X33" i="29"/>
  <c r="Y32" i="29"/>
  <c r="X32" i="29"/>
  <c r="Y31" i="29"/>
  <c r="X31" i="29"/>
  <c r="Y30" i="29"/>
  <c r="X30" i="29"/>
  <c r="Y29" i="29"/>
  <c r="X29" i="29"/>
  <c r="Y28" i="29"/>
  <c r="X28" i="29"/>
  <c r="Y27" i="29"/>
  <c r="X27" i="29"/>
  <c r="Y26" i="29"/>
  <c r="X26" i="29"/>
  <c r="Y25" i="29"/>
  <c r="X25" i="29"/>
  <c r="Y24" i="29"/>
  <c r="X24" i="29"/>
  <c r="Y23" i="29"/>
  <c r="X23" i="29"/>
  <c r="Y22" i="29"/>
  <c r="X22" i="29"/>
  <c r="Y21" i="29"/>
  <c r="X21" i="29"/>
  <c r="Y20" i="29"/>
  <c r="X20" i="29"/>
  <c r="Y19" i="29"/>
  <c r="X19" i="29"/>
  <c r="Y18" i="29"/>
  <c r="X18" i="29"/>
  <c r="Y17" i="29"/>
  <c r="X17" i="29"/>
  <c r="Y16" i="29"/>
  <c r="X16" i="29"/>
  <c r="Y15" i="29"/>
  <c r="X15" i="29"/>
  <c r="Y14" i="29"/>
  <c r="X14" i="29"/>
  <c r="Y13" i="29"/>
  <c r="X13" i="29"/>
  <c r="Y12" i="29"/>
  <c r="X12" i="29"/>
  <c r="Y11" i="29"/>
  <c r="X11" i="29"/>
  <c r="Y10" i="29"/>
  <c r="X10" i="29"/>
  <c r="Y9" i="29"/>
  <c r="X9" i="29"/>
  <c r="Y8" i="29"/>
  <c r="X8" i="29"/>
  <c r="Y7" i="29"/>
  <c r="X7" i="29"/>
  <c r="Y6" i="29"/>
  <c r="X6" i="29"/>
  <c r="N27" i="32" l="1"/>
  <c r="N26" i="32"/>
  <c r="N25" i="32"/>
  <c r="N24" i="32"/>
  <c r="N23" i="32"/>
  <c r="N22" i="32"/>
  <c r="N21" i="32"/>
  <c r="N20" i="32"/>
  <c r="E310" i="32"/>
  <c r="D310" i="32"/>
  <c r="C310" i="32"/>
  <c r="G308" i="32"/>
  <c r="F308" i="32"/>
  <c r="G307" i="32"/>
  <c r="F307" i="32"/>
  <c r="G306" i="32"/>
  <c r="F306" i="32"/>
  <c r="G305" i="32"/>
  <c r="F305" i="32"/>
  <c r="G304" i="32"/>
  <c r="F304" i="32"/>
  <c r="G303" i="32"/>
  <c r="F303" i="32"/>
  <c r="G302" i="32"/>
  <c r="F302" i="32"/>
  <c r="G301" i="32"/>
  <c r="F301" i="32"/>
  <c r="G300" i="32"/>
  <c r="F300" i="32"/>
  <c r="G299" i="32"/>
  <c r="F299" i="32"/>
  <c r="G298" i="32"/>
  <c r="F298" i="32"/>
  <c r="G297" i="32"/>
  <c r="F297" i="32"/>
  <c r="G296" i="32"/>
  <c r="F296" i="32"/>
  <c r="G295" i="32"/>
  <c r="F295" i="32"/>
  <c r="G294" i="32"/>
  <c r="F294" i="32"/>
  <c r="G293" i="32"/>
  <c r="F293" i="32"/>
  <c r="G292" i="32"/>
  <c r="F292" i="32"/>
  <c r="G291" i="32"/>
  <c r="F291" i="32"/>
  <c r="G290" i="32"/>
  <c r="F290" i="32"/>
  <c r="G289" i="32"/>
  <c r="F289" i="32"/>
  <c r="G288" i="32"/>
  <c r="F288" i="32"/>
  <c r="G287" i="32"/>
  <c r="F287" i="32"/>
  <c r="G286" i="32"/>
  <c r="F286" i="32"/>
  <c r="G285" i="32"/>
  <c r="F285" i="32"/>
  <c r="G284" i="32"/>
  <c r="F284" i="32"/>
  <c r="G283" i="32"/>
  <c r="F283" i="32"/>
  <c r="G282" i="32"/>
  <c r="F282" i="32"/>
  <c r="G281" i="32"/>
  <c r="F281" i="32"/>
  <c r="G280" i="32"/>
  <c r="F280" i="32"/>
  <c r="G279" i="32"/>
  <c r="F279" i="32"/>
  <c r="G278" i="32"/>
  <c r="F278" i="32"/>
  <c r="G277" i="32"/>
  <c r="F277" i="32"/>
  <c r="I276" i="32"/>
  <c r="J276" i="32" s="1"/>
  <c r="H276" i="32"/>
  <c r="G276" i="32"/>
  <c r="F276" i="32"/>
  <c r="G275" i="32"/>
  <c r="F275" i="32"/>
  <c r="G274" i="32"/>
  <c r="F274" i="32"/>
  <c r="G273" i="32"/>
  <c r="F273" i="32"/>
  <c r="G272" i="32"/>
  <c r="F272" i="32"/>
  <c r="G271" i="32"/>
  <c r="F271" i="32"/>
  <c r="G270" i="32"/>
  <c r="F270" i="32"/>
  <c r="G269" i="32"/>
  <c r="F269" i="32"/>
  <c r="G268" i="32"/>
  <c r="F268" i="32"/>
  <c r="G267" i="32"/>
  <c r="F267" i="32"/>
  <c r="G266" i="32"/>
  <c r="F266" i="32"/>
  <c r="G265" i="32"/>
  <c r="F265" i="32"/>
  <c r="G264" i="32"/>
  <c r="F264" i="32"/>
  <c r="G263" i="32"/>
  <c r="F263" i="32"/>
  <c r="G262" i="32"/>
  <c r="F262" i="32"/>
  <c r="G261" i="32"/>
  <c r="F261" i="32"/>
  <c r="G260" i="32"/>
  <c r="F260" i="32"/>
  <c r="G259" i="32"/>
  <c r="F259" i="32"/>
  <c r="G258" i="32"/>
  <c r="F258" i="32"/>
  <c r="G257" i="32"/>
  <c r="F257" i="32"/>
  <c r="G256" i="32"/>
  <c r="F256" i="32"/>
  <c r="G255" i="32"/>
  <c r="F255" i="32"/>
  <c r="G254" i="32"/>
  <c r="F254" i="32"/>
  <c r="G253" i="32"/>
  <c r="F253" i="32"/>
  <c r="G252" i="32"/>
  <c r="F252" i="32"/>
  <c r="G251" i="32"/>
  <c r="F251" i="32"/>
  <c r="G250" i="32"/>
  <c r="F250" i="32"/>
  <c r="G249" i="32"/>
  <c r="F249" i="32"/>
  <c r="G248" i="32"/>
  <c r="F248" i="32"/>
  <c r="G247" i="32"/>
  <c r="F247" i="32"/>
  <c r="G246" i="32"/>
  <c r="F246" i="32"/>
  <c r="G245" i="32"/>
  <c r="F245" i="32"/>
  <c r="G244" i="32"/>
  <c r="F244" i="32"/>
  <c r="G243" i="32"/>
  <c r="F243" i="32"/>
  <c r="G242" i="32"/>
  <c r="F242" i="32"/>
  <c r="G241" i="32"/>
  <c r="F241" i="32"/>
  <c r="G240" i="32"/>
  <c r="F240" i="32"/>
  <c r="G239" i="32"/>
  <c r="F239" i="32"/>
  <c r="G238" i="32"/>
  <c r="F238" i="32"/>
  <c r="G237" i="32"/>
  <c r="F237" i="32"/>
  <c r="G236" i="32"/>
  <c r="F236" i="32"/>
  <c r="G235" i="32"/>
  <c r="F235" i="32"/>
  <c r="G234" i="32"/>
  <c r="F234" i="32"/>
  <c r="G233" i="32"/>
  <c r="F233" i="32"/>
  <c r="G232" i="32"/>
  <c r="F232" i="32"/>
  <c r="G231" i="32"/>
  <c r="F231" i="32"/>
  <c r="G230" i="32"/>
  <c r="F230" i="32"/>
  <c r="G229" i="32"/>
  <c r="F229" i="32"/>
  <c r="G228" i="32"/>
  <c r="F228" i="32"/>
  <c r="G227" i="32"/>
  <c r="F227" i="32"/>
  <c r="G226" i="32"/>
  <c r="F226" i="32"/>
  <c r="G225" i="32"/>
  <c r="F225" i="32"/>
  <c r="G224" i="32"/>
  <c r="F224" i="32"/>
  <c r="G223" i="32"/>
  <c r="F223" i="32"/>
  <c r="G222" i="32"/>
  <c r="F222" i="32"/>
  <c r="G221" i="32"/>
  <c r="F221" i="32"/>
  <c r="G220" i="32"/>
  <c r="F220" i="32"/>
  <c r="G219" i="32"/>
  <c r="F219" i="32"/>
  <c r="G218" i="32"/>
  <c r="F218" i="32"/>
  <c r="G217" i="32"/>
  <c r="F217" i="32"/>
  <c r="G216" i="32"/>
  <c r="F216" i="32"/>
  <c r="G215" i="32"/>
  <c r="F215" i="32"/>
  <c r="G214" i="32"/>
  <c r="F214" i="32"/>
  <c r="G213" i="32"/>
  <c r="F213" i="32"/>
  <c r="G212" i="32"/>
  <c r="F212" i="32"/>
  <c r="G211" i="32"/>
  <c r="F211" i="32"/>
  <c r="G210" i="32"/>
  <c r="F210" i="32"/>
  <c r="G209" i="32"/>
  <c r="F209" i="32"/>
  <c r="G208" i="32"/>
  <c r="F208" i="32"/>
  <c r="G207" i="32"/>
  <c r="F207" i="32"/>
  <c r="G206" i="32"/>
  <c r="F206" i="32"/>
  <c r="G205" i="32"/>
  <c r="F205" i="32"/>
  <c r="G204" i="32"/>
  <c r="F204" i="32"/>
  <c r="G203" i="32"/>
  <c r="F203" i="32"/>
  <c r="G202" i="32"/>
  <c r="F202" i="32"/>
  <c r="G201" i="32"/>
  <c r="F201" i="32"/>
  <c r="G200" i="32"/>
  <c r="F200" i="32"/>
  <c r="G199" i="32"/>
  <c r="F199" i="32"/>
  <c r="G198" i="32"/>
  <c r="F198" i="32"/>
  <c r="G197" i="32"/>
  <c r="F197" i="32"/>
  <c r="G196" i="32"/>
  <c r="F196" i="32"/>
  <c r="G195" i="32"/>
  <c r="F195" i="32"/>
  <c r="G194" i="32"/>
  <c r="F194" i="32"/>
  <c r="G193" i="32"/>
  <c r="F193" i="32"/>
  <c r="G192" i="32"/>
  <c r="F192" i="32"/>
  <c r="G191" i="32"/>
  <c r="F191" i="32"/>
  <c r="G190" i="32"/>
  <c r="F190" i="32"/>
  <c r="G189" i="32"/>
  <c r="F189" i="32"/>
  <c r="G188" i="32"/>
  <c r="F188" i="32"/>
  <c r="G187" i="32"/>
  <c r="F187" i="32"/>
  <c r="G186" i="32"/>
  <c r="F186" i="32"/>
  <c r="G185" i="32"/>
  <c r="F185" i="32"/>
  <c r="G184" i="32"/>
  <c r="F184" i="32"/>
  <c r="G183" i="32"/>
  <c r="F183" i="32"/>
  <c r="G182" i="32"/>
  <c r="F182" i="32"/>
  <c r="G181" i="32"/>
  <c r="F181" i="32"/>
  <c r="N180" i="32"/>
  <c r="M180" i="32"/>
  <c r="L180" i="32"/>
  <c r="J180" i="32"/>
  <c r="I180" i="32"/>
  <c r="G180" i="32"/>
  <c r="F180" i="32"/>
  <c r="N179" i="32"/>
  <c r="M179" i="32"/>
  <c r="L179" i="32"/>
  <c r="J179" i="32"/>
  <c r="G179" i="32"/>
  <c r="F179" i="32"/>
  <c r="N178" i="32"/>
  <c r="M178" i="32"/>
  <c r="L178" i="32"/>
  <c r="J178" i="32"/>
  <c r="I178" i="32"/>
  <c r="G178" i="32"/>
  <c r="F178" i="32"/>
  <c r="N177" i="32"/>
  <c r="M177" i="32"/>
  <c r="L177" i="32"/>
  <c r="J177" i="32"/>
  <c r="I177" i="32"/>
  <c r="G177" i="32"/>
  <c r="F177" i="32"/>
  <c r="N176" i="32"/>
  <c r="M176" i="32"/>
  <c r="L176" i="32"/>
  <c r="J176" i="32"/>
  <c r="G176" i="32"/>
  <c r="F176" i="32"/>
  <c r="N175" i="32"/>
  <c r="M175" i="32"/>
  <c r="L175" i="32"/>
  <c r="J175" i="32"/>
  <c r="G175" i="32"/>
  <c r="F175" i="32"/>
  <c r="N174" i="32"/>
  <c r="M174" i="32"/>
  <c r="L174" i="32"/>
  <c r="J174" i="32"/>
  <c r="G174" i="32"/>
  <c r="F174" i="32"/>
  <c r="N173" i="32"/>
  <c r="M173" i="32"/>
  <c r="L173" i="32"/>
  <c r="J173" i="32"/>
  <c r="G173" i="32"/>
  <c r="F173" i="32"/>
  <c r="J172" i="32"/>
  <c r="G172" i="32"/>
  <c r="F172" i="32"/>
  <c r="G171" i="32"/>
  <c r="F171" i="32"/>
  <c r="G170" i="32"/>
  <c r="F170" i="32"/>
  <c r="G169" i="32"/>
  <c r="F169" i="32"/>
  <c r="G168" i="32"/>
  <c r="F168" i="32"/>
  <c r="G167" i="32"/>
  <c r="F167" i="32"/>
  <c r="G166" i="32"/>
  <c r="F166" i="32"/>
  <c r="G165" i="32"/>
  <c r="F165" i="32"/>
  <c r="G164" i="32"/>
  <c r="F164" i="32"/>
  <c r="G163" i="32"/>
  <c r="F163" i="32"/>
  <c r="G162" i="32"/>
  <c r="F162" i="32"/>
  <c r="G161" i="32"/>
  <c r="F161" i="32"/>
  <c r="G160" i="32"/>
  <c r="F160" i="32"/>
  <c r="G159" i="32"/>
  <c r="F159" i="32"/>
  <c r="G158" i="32"/>
  <c r="F158" i="32"/>
  <c r="G157" i="32"/>
  <c r="F157" i="32"/>
  <c r="G156" i="32"/>
  <c r="F156" i="32"/>
  <c r="G155" i="32"/>
  <c r="F155" i="32"/>
  <c r="G154" i="32"/>
  <c r="F154" i="32"/>
  <c r="G153" i="32"/>
  <c r="F153" i="32"/>
  <c r="G152" i="32"/>
  <c r="F152" i="32"/>
  <c r="G151" i="32"/>
  <c r="F151" i="32"/>
  <c r="G150" i="32"/>
  <c r="F150" i="32"/>
  <c r="G149" i="32"/>
  <c r="F149" i="32"/>
  <c r="G148" i="32"/>
  <c r="F148" i="32"/>
  <c r="G147" i="32"/>
  <c r="F147" i="32"/>
  <c r="G146" i="32"/>
  <c r="F146" i="32"/>
  <c r="G145" i="32"/>
  <c r="F145" i="32"/>
  <c r="G144" i="32"/>
  <c r="F144" i="32"/>
  <c r="G143" i="32"/>
  <c r="F143" i="32"/>
  <c r="G142" i="32"/>
  <c r="F142" i="32"/>
  <c r="G141" i="32"/>
  <c r="F141" i="32"/>
  <c r="G140" i="32"/>
  <c r="F140" i="32"/>
  <c r="G139" i="32"/>
  <c r="F139" i="32"/>
  <c r="G138" i="32"/>
  <c r="F138" i="32"/>
  <c r="G137" i="32"/>
  <c r="F137" i="32"/>
  <c r="G136" i="32"/>
  <c r="F136" i="32"/>
  <c r="G135" i="32"/>
  <c r="F135" i="32"/>
  <c r="G134" i="32"/>
  <c r="F134" i="32"/>
  <c r="G133" i="32"/>
  <c r="F133" i="32"/>
  <c r="G132" i="32"/>
  <c r="F132" i="32"/>
  <c r="G131" i="32"/>
  <c r="F131" i="32"/>
  <c r="G130" i="32"/>
  <c r="F130" i="32"/>
  <c r="G129" i="32"/>
  <c r="F129" i="32"/>
  <c r="G128" i="32"/>
  <c r="F128" i="32"/>
  <c r="G127" i="32"/>
  <c r="F127" i="32"/>
  <c r="G126" i="32"/>
  <c r="F126" i="32"/>
  <c r="G125" i="32"/>
  <c r="F125" i="32"/>
  <c r="G124" i="32"/>
  <c r="F124" i="32"/>
  <c r="G123" i="32"/>
  <c r="F123" i="32"/>
  <c r="G122" i="32"/>
  <c r="F122" i="32"/>
  <c r="G121" i="32"/>
  <c r="F121" i="32"/>
  <c r="N172" i="32"/>
  <c r="M172" i="32"/>
  <c r="L172" i="32"/>
  <c r="G119" i="32"/>
  <c r="F119" i="32"/>
  <c r="G118" i="32"/>
  <c r="F118" i="32"/>
  <c r="G117" i="32"/>
  <c r="F117" i="32"/>
  <c r="G116" i="32"/>
  <c r="F116" i="32"/>
  <c r="G115" i="32"/>
  <c r="F115" i="32"/>
  <c r="G114" i="32"/>
  <c r="F114" i="32"/>
  <c r="G113" i="32"/>
  <c r="F113" i="32"/>
  <c r="G112" i="32"/>
  <c r="F112" i="32"/>
  <c r="G111" i="32"/>
  <c r="F111" i="32"/>
  <c r="G110" i="32"/>
  <c r="F110" i="32"/>
  <c r="G109" i="32"/>
  <c r="F109" i="32"/>
  <c r="G108" i="32"/>
  <c r="F108" i="32"/>
  <c r="G107" i="32"/>
  <c r="F107" i="32"/>
  <c r="G106" i="32"/>
  <c r="F106" i="32"/>
  <c r="G105" i="32"/>
  <c r="F105" i="32"/>
  <c r="G104" i="32"/>
  <c r="F104" i="32"/>
  <c r="G103" i="32"/>
  <c r="F103" i="32"/>
  <c r="G102" i="32"/>
  <c r="F102" i="32"/>
  <c r="G101" i="32"/>
  <c r="F101" i="32"/>
  <c r="G100" i="32"/>
  <c r="F100" i="32"/>
  <c r="G99" i="32"/>
  <c r="F99" i="32"/>
  <c r="G98" i="32"/>
  <c r="F98" i="32"/>
  <c r="G97" i="32"/>
  <c r="F97" i="32"/>
  <c r="G96" i="32"/>
  <c r="F96" i="32"/>
  <c r="G95" i="32"/>
  <c r="F95" i="32"/>
  <c r="G94" i="32"/>
  <c r="F94" i="32"/>
  <c r="G93" i="32"/>
  <c r="F93" i="32"/>
  <c r="G92" i="32"/>
  <c r="F92" i="32"/>
  <c r="G91" i="32"/>
  <c r="F91" i="32"/>
  <c r="G90" i="32"/>
  <c r="F90" i="32"/>
  <c r="G89" i="32"/>
  <c r="F89" i="32"/>
  <c r="G88" i="32"/>
  <c r="F88" i="32"/>
  <c r="G87" i="32"/>
  <c r="F87" i="32"/>
  <c r="G86" i="32"/>
  <c r="F86" i="32"/>
  <c r="G85" i="32"/>
  <c r="F85" i="32"/>
  <c r="G84" i="32"/>
  <c r="F84" i="32"/>
  <c r="G83" i="32"/>
  <c r="F83" i="32"/>
  <c r="G82" i="32"/>
  <c r="F82" i="32"/>
  <c r="G81" i="32"/>
  <c r="F81" i="32"/>
  <c r="G80" i="32"/>
  <c r="F80" i="32"/>
  <c r="G79" i="32"/>
  <c r="F79" i="32"/>
  <c r="G78" i="32"/>
  <c r="F78" i="32"/>
  <c r="G77" i="32"/>
  <c r="F77" i="32"/>
  <c r="G76" i="32"/>
  <c r="F76" i="32"/>
  <c r="G75" i="32"/>
  <c r="F75" i="32"/>
  <c r="G74" i="32"/>
  <c r="F74" i="32"/>
  <c r="G73" i="32"/>
  <c r="F73" i="32"/>
  <c r="G72" i="32"/>
  <c r="F72" i="32"/>
  <c r="G71" i="32"/>
  <c r="F71" i="32"/>
  <c r="G70" i="32"/>
  <c r="F70" i="32"/>
  <c r="G69" i="32"/>
  <c r="F69" i="32"/>
  <c r="G68" i="32"/>
  <c r="F68" i="32"/>
  <c r="G67" i="32"/>
  <c r="F67" i="32"/>
  <c r="G66" i="32"/>
  <c r="F66" i="32"/>
  <c r="G65" i="32"/>
  <c r="F65" i="32"/>
  <c r="G64" i="32"/>
  <c r="F64" i="32"/>
  <c r="G63" i="32"/>
  <c r="F63" i="32"/>
  <c r="G62" i="32"/>
  <c r="F62" i="32"/>
  <c r="G61" i="32"/>
  <c r="F61" i="32"/>
  <c r="F60" i="32"/>
  <c r="G59" i="32"/>
  <c r="F59" i="32"/>
  <c r="G58" i="32"/>
  <c r="F58" i="32"/>
  <c r="G57" i="32"/>
  <c r="F57" i="32"/>
  <c r="G56" i="32"/>
  <c r="F56" i="32"/>
  <c r="G55" i="32"/>
  <c r="F55" i="32"/>
  <c r="G54" i="32"/>
  <c r="F54" i="32"/>
  <c r="G53" i="32"/>
  <c r="F53" i="32"/>
  <c r="G52" i="32"/>
  <c r="F52" i="32"/>
  <c r="G51" i="32"/>
  <c r="F51" i="32"/>
  <c r="G50" i="32"/>
  <c r="F50" i="32"/>
  <c r="G49" i="32"/>
  <c r="F49" i="32"/>
  <c r="G48" i="32"/>
  <c r="F48" i="32"/>
  <c r="G47" i="32"/>
  <c r="F47" i="32"/>
  <c r="G46" i="32"/>
  <c r="F46" i="32"/>
  <c r="F45" i="32"/>
  <c r="G44" i="32"/>
  <c r="F44" i="32"/>
  <c r="G43" i="32"/>
  <c r="F43" i="32"/>
  <c r="G42" i="32"/>
  <c r="F42" i="32"/>
  <c r="G41" i="32"/>
  <c r="F41" i="32"/>
  <c r="G40" i="32"/>
  <c r="F40" i="32"/>
  <c r="G39" i="32"/>
  <c r="F39" i="32"/>
  <c r="G38" i="32"/>
  <c r="F38" i="32"/>
  <c r="G37" i="32"/>
  <c r="F37" i="32"/>
  <c r="G36" i="32"/>
  <c r="F36" i="32"/>
  <c r="G35" i="32"/>
  <c r="F35" i="32"/>
  <c r="G34" i="32"/>
  <c r="F34" i="32"/>
  <c r="G33" i="32"/>
  <c r="F33" i="32"/>
  <c r="G32" i="32"/>
  <c r="F32" i="32"/>
  <c r="G31" i="32"/>
  <c r="F31" i="32"/>
  <c r="G30" i="32"/>
  <c r="F30" i="32"/>
  <c r="G29" i="32"/>
  <c r="F29" i="32"/>
  <c r="G28" i="32"/>
  <c r="F28" i="32"/>
  <c r="G27" i="32"/>
  <c r="F27" i="32"/>
  <c r="G26" i="32"/>
  <c r="F26" i="32"/>
  <c r="G25" i="32"/>
  <c r="F25" i="32"/>
  <c r="G24" i="32"/>
  <c r="F24" i="32"/>
  <c r="G23" i="32"/>
  <c r="F23" i="32"/>
  <c r="G22" i="32"/>
  <c r="F22" i="32"/>
  <c r="G21" i="32"/>
  <c r="F21" i="32"/>
  <c r="G20" i="32"/>
  <c r="F20" i="32"/>
  <c r="G19" i="32"/>
  <c r="F19" i="32"/>
  <c r="N18" i="32"/>
  <c r="G18" i="32"/>
  <c r="F18" i="32"/>
  <c r="N17" i="32"/>
  <c r="G17" i="32"/>
  <c r="F17" i="32"/>
  <c r="N16" i="32"/>
  <c r="G16" i="32"/>
  <c r="F16" i="32"/>
  <c r="N15" i="32"/>
  <c r="G15" i="32"/>
  <c r="F15" i="32"/>
  <c r="N14" i="32"/>
  <c r="G14" i="32"/>
  <c r="F14" i="32"/>
  <c r="N13" i="32"/>
  <c r="G13" i="32"/>
  <c r="F13" i="32"/>
  <c r="N12" i="32"/>
  <c r="N11" i="32"/>
  <c r="G11" i="32"/>
  <c r="F11" i="32"/>
  <c r="G10" i="32"/>
  <c r="F10" i="32"/>
  <c r="G9" i="32"/>
  <c r="F9" i="32"/>
  <c r="G8" i="32"/>
  <c r="F8" i="32"/>
  <c r="G7" i="32"/>
  <c r="F7" i="32"/>
  <c r="G310" i="32" l="1"/>
  <c r="L276" i="32"/>
  <c r="O175" i="32"/>
  <c r="O172" i="32"/>
  <c r="G120" i="32"/>
  <c r="O174" i="32"/>
  <c r="O177" i="32"/>
  <c r="O179" i="32"/>
  <c r="O173" i="32"/>
  <c r="O176" i="32"/>
  <c r="F120" i="32"/>
  <c r="O178" i="32"/>
  <c r="O180" i="32"/>
  <c r="F310" i="32"/>
  <c r="D34" i="31"/>
  <c r="C34" i="31"/>
  <c r="B34" i="31"/>
  <c r="D33" i="31"/>
  <c r="C33" i="31"/>
  <c r="B33" i="31"/>
  <c r="D32" i="31"/>
  <c r="C32" i="31"/>
  <c r="B32" i="31"/>
  <c r="D31" i="31"/>
  <c r="C31" i="31"/>
  <c r="B31" i="31"/>
  <c r="D30" i="31"/>
  <c r="C30" i="31"/>
  <c r="B30" i="31"/>
  <c r="D29" i="31"/>
  <c r="C29" i="31"/>
  <c r="B29" i="31"/>
  <c r="D28" i="31"/>
  <c r="C28" i="31"/>
  <c r="B28" i="31"/>
  <c r="D27" i="31"/>
  <c r="C27" i="31"/>
  <c r="E20" i="31"/>
  <c r="D20" i="31"/>
  <c r="C20" i="31"/>
  <c r="D19" i="31"/>
  <c r="D17" i="31"/>
  <c r="D16" i="31"/>
  <c r="D15" i="31"/>
  <c r="D13" i="31"/>
  <c r="D12" i="31"/>
  <c r="D10" i="31"/>
  <c r="D8" i="31"/>
  <c r="E6" i="31"/>
  <c r="D6" i="31"/>
  <c r="C6" i="31"/>
  <c r="D5" i="31"/>
  <c r="D17" i="23"/>
  <c r="D28" i="23"/>
  <c r="D29" i="23"/>
  <c r="D37" i="23"/>
  <c r="D38" i="23"/>
  <c r="D39" i="23"/>
  <c r="D40" i="23"/>
  <c r="D41" i="23"/>
  <c r="D42" i="23"/>
  <c r="D43" i="23"/>
  <c r="D44" i="23"/>
  <c r="D44" i="30"/>
  <c r="C44" i="30"/>
  <c r="B44" i="30"/>
  <c r="D43" i="30"/>
  <c r="C43" i="30"/>
  <c r="B43" i="30"/>
  <c r="D42" i="30"/>
  <c r="C42" i="30"/>
  <c r="B42" i="30"/>
  <c r="D41" i="30"/>
  <c r="C41" i="30"/>
  <c r="B41" i="30"/>
  <c r="D40" i="30"/>
  <c r="C40" i="30"/>
  <c r="B40" i="30"/>
  <c r="D39" i="30"/>
  <c r="C39" i="30"/>
  <c r="B39" i="30"/>
  <c r="D38" i="30"/>
  <c r="C38" i="30"/>
  <c r="B38" i="30"/>
  <c r="D37" i="30"/>
  <c r="C37" i="30"/>
  <c r="D30" i="30"/>
  <c r="E29" i="30"/>
  <c r="D29" i="30"/>
  <c r="C29" i="30"/>
  <c r="D28" i="30"/>
  <c r="D26" i="30"/>
  <c r="D25" i="30"/>
  <c r="D24" i="30"/>
  <c r="D23" i="30"/>
  <c r="D22" i="30"/>
  <c r="D21" i="30"/>
  <c r="D20" i="30"/>
  <c r="D19" i="30"/>
  <c r="D17" i="30"/>
  <c r="D16" i="30"/>
  <c r="D15" i="30"/>
  <c r="D14" i="30"/>
  <c r="D12" i="30"/>
  <c r="D10" i="30"/>
  <c r="D9" i="30"/>
  <c r="E7" i="30"/>
  <c r="D7" i="30"/>
  <c r="C7" i="30"/>
  <c r="D6" i="30"/>
  <c r="D5" i="30"/>
  <c r="C5" i="23"/>
  <c r="E5" i="23"/>
  <c r="C6" i="23"/>
  <c r="E6" i="23"/>
  <c r="C9" i="23"/>
  <c r="E9" i="23"/>
  <c r="C10" i="23"/>
  <c r="E10" i="23"/>
  <c r="C12" i="23"/>
  <c r="E12" i="23"/>
  <c r="C14" i="23"/>
  <c r="AC95" i="29"/>
  <c r="AB95" i="29"/>
  <c r="AQ95" i="29" s="1"/>
  <c r="AA95" i="29"/>
  <c r="AC94" i="29"/>
  <c r="AB94" i="29"/>
  <c r="AQ94" i="29" s="1"/>
  <c r="AA94" i="29"/>
  <c r="AC93" i="29"/>
  <c r="AB93" i="29"/>
  <c r="AA93" i="29"/>
  <c r="AC92" i="29"/>
  <c r="AB92" i="29"/>
  <c r="AA92" i="29"/>
  <c r="AC91" i="29"/>
  <c r="AR91" i="29" s="1"/>
  <c r="AB91" i="29"/>
  <c r="AQ91" i="29" s="1"/>
  <c r="AA91" i="29"/>
  <c r="AC90" i="29"/>
  <c r="AB90" i="29"/>
  <c r="AQ90" i="29" s="1"/>
  <c r="AA90" i="29"/>
  <c r="AC89" i="29"/>
  <c r="AR89" i="29" s="1"/>
  <c r="AB89" i="29"/>
  <c r="AE89" i="29" s="1"/>
  <c r="AA89" i="29"/>
  <c r="AC88" i="29"/>
  <c r="AB88" i="29"/>
  <c r="AA88" i="29"/>
  <c r="AC87" i="29"/>
  <c r="AB87" i="29"/>
  <c r="AQ87" i="29" s="1"/>
  <c r="AA87" i="29"/>
  <c r="AC86" i="29"/>
  <c r="AB86" i="29"/>
  <c r="AQ86" i="29" s="1"/>
  <c r="AA86" i="29"/>
  <c r="AC85" i="29"/>
  <c r="AB85" i="29"/>
  <c r="AA85" i="29"/>
  <c r="AC84" i="29"/>
  <c r="AB84" i="29"/>
  <c r="AQ84" i="29" s="1"/>
  <c r="AA84" i="29"/>
  <c r="AC83" i="29"/>
  <c r="AR83" i="29" s="1"/>
  <c r="AB83" i="29"/>
  <c r="AA83" i="29"/>
  <c r="AC82" i="29"/>
  <c r="AB82" i="29"/>
  <c r="AQ82" i="29" s="1"/>
  <c r="AA82" i="29"/>
  <c r="AC81" i="29"/>
  <c r="AR81" i="29" s="1"/>
  <c r="AB81" i="29"/>
  <c r="AA81" i="29"/>
  <c r="AC80" i="29"/>
  <c r="AB80" i="29"/>
  <c r="AQ80" i="29" s="1"/>
  <c r="AA80" i="29"/>
  <c r="AC79" i="29"/>
  <c r="AR79" i="29" s="1"/>
  <c r="AB79" i="29"/>
  <c r="AA79" i="29"/>
  <c r="AC78" i="29"/>
  <c r="D38" i="28" s="1"/>
  <c r="AB78" i="29"/>
  <c r="AQ78" i="29" s="1"/>
  <c r="AA78" i="29"/>
  <c r="AC77" i="29"/>
  <c r="E26" i="30" s="1"/>
  <c r="AB77" i="29"/>
  <c r="AA77" i="29"/>
  <c r="AC76" i="29"/>
  <c r="E25" i="30" s="1"/>
  <c r="AB76" i="29"/>
  <c r="AQ76" i="29" s="1"/>
  <c r="AA76" i="29"/>
  <c r="AC75" i="29"/>
  <c r="E24" i="30" s="1"/>
  <c r="AB75" i="29"/>
  <c r="AA75" i="29"/>
  <c r="AC74" i="29"/>
  <c r="AB74" i="29"/>
  <c r="AQ74" i="29" s="1"/>
  <c r="AA74" i="29"/>
  <c r="AC73" i="29"/>
  <c r="AR73" i="29" s="1"/>
  <c r="AB73" i="29"/>
  <c r="AA73" i="29"/>
  <c r="AC72" i="29"/>
  <c r="E15" i="31" s="1"/>
  <c r="AB72" i="29"/>
  <c r="AQ72" i="29" s="1"/>
  <c r="AA72" i="29"/>
  <c r="AC71" i="29"/>
  <c r="E22" i="30" s="1"/>
  <c r="AB71" i="29"/>
  <c r="AA71" i="29"/>
  <c r="AC70" i="29"/>
  <c r="E21" i="30" s="1"/>
  <c r="AB70" i="29"/>
  <c r="AQ70" i="29" s="1"/>
  <c r="AA70" i="29"/>
  <c r="AC69" i="29"/>
  <c r="E20" i="30" s="1"/>
  <c r="AB69" i="29"/>
  <c r="AA69" i="29"/>
  <c r="AC68" i="29"/>
  <c r="E19" i="30" s="1"/>
  <c r="AB68" i="29"/>
  <c r="AA68" i="29"/>
  <c r="AC67" i="29"/>
  <c r="AR67" i="29" s="1"/>
  <c r="AB67" i="29"/>
  <c r="C37" i="28" s="1"/>
  <c r="AA67" i="29"/>
  <c r="AC66" i="29"/>
  <c r="AB66" i="29"/>
  <c r="AQ66" i="29" s="1"/>
  <c r="AA66" i="29"/>
  <c r="AC65" i="29"/>
  <c r="AR65" i="29" s="1"/>
  <c r="AB65" i="29"/>
  <c r="AA65" i="29"/>
  <c r="AC64" i="29"/>
  <c r="AB64" i="29"/>
  <c r="AQ64" i="29" s="1"/>
  <c r="AA64" i="29"/>
  <c r="AC63" i="29"/>
  <c r="AB63" i="29"/>
  <c r="AA63" i="29"/>
  <c r="AC62" i="29"/>
  <c r="AB62" i="29"/>
  <c r="AQ62" i="29" s="1"/>
  <c r="AA62" i="29"/>
  <c r="AC61" i="29"/>
  <c r="AB61" i="29"/>
  <c r="AA61" i="29"/>
  <c r="AC60" i="29"/>
  <c r="AB60" i="29"/>
  <c r="AA60" i="29"/>
  <c r="AC59" i="29"/>
  <c r="AR59" i="29" s="1"/>
  <c r="AB59" i="29"/>
  <c r="AA59" i="29"/>
  <c r="AC58" i="29"/>
  <c r="AB58" i="29"/>
  <c r="AQ58" i="29" s="1"/>
  <c r="AA58" i="29"/>
  <c r="AC57" i="29"/>
  <c r="D36" i="28" s="1"/>
  <c r="AB57" i="29"/>
  <c r="AA57" i="29"/>
  <c r="AC56" i="29"/>
  <c r="E17" i="30" s="1"/>
  <c r="AB56" i="29"/>
  <c r="AA56" i="29"/>
  <c r="AC55" i="29"/>
  <c r="AR55" i="29" s="1"/>
  <c r="AB55" i="29"/>
  <c r="AA55" i="29"/>
  <c r="AC54" i="29"/>
  <c r="AB54" i="29"/>
  <c r="AQ54" i="29" s="1"/>
  <c r="AA54" i="29"/>
  <c r="AC53" i="29"/>
  <c r="AR53" i="29" s="1"/>
  <c r="AB53" i="29"/>
  <c r="AA53" i="29"/>
  <c r="AC52" i="29"/>
  <c r="E13" i="31" s="1"/>
  <c r="AB52" i="29"/>
  <c r="AQ52" i="29" s="1"/>
  <c r="AA52" i="29"/>
  <c r="AC51" i="29"/>
  <c r="E12" i="31" s="1"/>
  <c r="AB51" i="29"/>
  <c r="AA51" i="29"/>
  <c r="AC50" i="29"/>
  <c r="AB50" i="29"/>
  <c r="AQ50" i="29" s="1"/>
  <c r="AA50" i="29"/>
  <c r="AC49" i="29"/>
  <c r="AR49" i="29" s="1"/>
  <c r="AB49" i="29"/>
  <c r="AA49" i="29"/>
  <c r="AC48" i="29"/>
  <c r="AB48" i="29"/>
  <c r="AQ48" i="29" s="1"/>
  <c r="AA48" i="29"/>
  <c r="AC47" i="29"/>
  <c r="AB47" i="29"/>
  <c r="AA47" i="29"/>
  <c r="AC46" i="29"/>
  <c r="D35" i="28" s="1"/>
  <c r="AB46" i="29"/>
  <c r="AQ46" i="29" s="1"/>
  <c r="AA46" i="29"/>
  <c r="AC45" i="29"/>
  <c r="AB45" i="29"/>
  <c r="AA45" i="29"/>
  <c r="AC44" i="29"/>
  <c r="AB44" i="29"/>
  <c r="AA44" i="29"/>
  <c r="AC43" i="29"/>
  <c r="AR43" i="29" s="1"/>
  <c r="AB43" i="29"/>
  <c r="AA43" i="29"/>
  <c r="AC42" i="29"/>
  <c r="AB42" i="29"/>
  <c r="AQ42" i="29" s="1"/>
  <c r="AA42" i="29"/>
  <c r="AC41" i="29"/>
  <c r="AB41" i="29"/>
  <c r="AA41" i="29"/>
  <c r="AC40" i="29"/>
  <c r="AB40" i="29"/>
  <c r="AQ40" i="29" s="1"/>
  <c r="AA40" i="29"/>
  <c r="AC39" i="29"/>
  <c r="AB39" i="29"/>
  <c r="AA39" i="29"/>
  <c r="AC38" i="29"/>
  <c r="AB38" i="29"/>
  <c r="AQ38" i="29" s="1"/>
  <c r="AA38" i="29"/>
  <c r="AC37" i="29"/>
  <c r="AR37" i="29" s="1"/>
  <c r="AB37" i="29"/>
  <c r="AA37" i="29"/>
  <c r="AC36" i="29"/>
  <c r="AR36" i="29" s="1"/>
  <c r="AB36" i="29"/>
  <c r="AQ36" i="29" s="1"/>
  <c r="AA36" i="29"/>
  <c r="AC35" i="29"/>
  <c r="E10" i="31" s="1"/>
  <c r="AB35" i="29"/>
  <c r="AQ35" i="29" s="1"/>
  <c r="AA35" i="29"/>
  <c r="AC34" i="29"/>
  <c r="AB34" i="29"/>
  <c r="C34" i="28" s="1"/>
  <c r="AA34" i="29"/>
  <c r="AC33" i="29"/>
  <c r="AR33" i="29" s="1"/>
  <c r="AB33" i="29"/>
  <c r="AA33" i="29"/>
  <c r="AC32" i="29"/>
  <c r="AB32" i="29"/>
  <c r="AQ32" i="29" s="1"/>
  <c r="AA32" i="29"/>
  <c r="AC31" i="29"/>
  <c r="AR31" i="29" s="1"/>
  <c r="AB31" i="29"/>
  <c r="AQ31" i="29" s="1"/>
  <c r="AA31" i="29"/>
  <c r="AC30" i="29"/>
  <c r="AB30" i="29"/>
  <c r="AQ30" i="29" s="1"/>
  <c r="AA30" i="29"/>
  <c r="AC29" i="29"/>
  <c r="AR29" i="29" s="1"/>
  <c r="AB29" i="29"/>
  <c r="AA29" i="29"/>
  <c r="AC28" i="29"/>
  <c r="E10" i="30" s="1"/>
  <c r="AB28" i="29"/>
  <c r="AA28" i="29"/>
  <c r="AC27" i="29"/>
  <c r="AR27" i="29" s="1"/>
  <c r="AB27" i="29"/>
  <c r="AQ27" i="29" s="1"/>
  <c r="AA27" i="29"/>
  <c r="AC26" i="29"/>
  <c r="AB26" i="29"/>
  <c r="AQ26" i="29" s="1"/>
  <c r="AA26" i="29"/>
  <c r="AC25" i="29"/>
  <c r="AR25" i="29" s="1"/>
  <c r="AB25" i="29"/>
  <c r="AA25" i="29"/>
  <c r="AC24" i="29"/>
  <c r="AB24" i="29"/>
  <c r="AQ24" i="29" s="1"/>
  <c r="AA24" i="29"/>
  <c r="AC23" i="29"/>
  <c r="AB23" i="29"/>
  <c r="AQ23" i="29" s="1"/>
  <c r="AA23" i="29"/>
  <c r="AC22" i="29"/>
  <c r="AR22" i="29" s="1"/>
  <c r="AB22" i="29"/>
  <c r="AQ22" i="29" s="1"/>
  <c r="AA22" i="29"/>
  <c r="AC21" i="29"/>
  <c r="AR21" i="29" s="1"/>
  <c r="AB21" i="29"/>
  <c r="AA21" i="29"/>
  <c r="AC20" i="29"/>
  <c r="AR20" i="29" s="1"/>
  <c r="AB20" i="29"/>
  <c r="AA20" i="29"/>
  <c r="AC19" i="29"/>
  <c r="AR19" i="29" s="1"/>
  <c r="AB19" i="29"/>
  <c r="AA19" i="29"/>
  <c r="AC18" i="29"/>
  <c r="AB18" i="29"/>
  <c r="AQ18" i="29" s="1"/>
  <c r="AA18" i="29"/>
  <c r="AC17" i="29"/>
  <c r="E5" i="30" s="1"/>
  <c r="AB17" i="29"/>
  <c r="AA17" i="29"/>
  <c r="AC16" i="29"/>
  <c r="AR16" i="29" s="1"/>
  <c r="AB16" i="29"/>
  <c r="AA16" i="29"/>
  <c r="AC15" i="29"/>
  <c r="AR15" i="29" s="1"/>
  <c r="AB15" i="29"/>
  <c r="AQ15" i="29" s="1"/>
  <c r="AA15" i="29"/>
  <c r="AC14" i="29"/>
  <c r="AR14" i="29" s="1"/>
  <c r="AB14" i="29"/>
  <c r="AQ14" i="29" s="1"/>
  <c r="AA14" i="29"/>
  <c r="AC13" i="29"/>
  <c r="AR13" i="29" s="1"/>
  <c r="AB13" i="29"/>
  <c r="AA13" i="29"/>
  <c r="AC12" i="29"/>
  <c r="AB12" i="29"/>
  <c r="AA12" i="29"/>
  <c r="AC11" i="29"/>
  <c r="AR11" i="29" s="1"/>
  <c r="AB11" i="29"/>
  <c r="AA11" i="29"/>
  <c r="AC10" i="29"/>
  <c r="AB10" i="29"/>
  <c r="AA10" i="29"/>
  <c r="AC9" i="29"/>
  <c r="AB9" i="29"/>
  <c r="AA9" i="29"/>
  <c r="AC8" i="29"/>
  <c r="D32" i="28" s="1"/>
  <c r="AB8" i="29"/>
  <c r="AQ8" i="29" s="1"/>
  <c r="AA8" i="29"/>
  <c r="AC7" i="29"/>
  <c r="AB7" i="29"/>
  <c r="AQ7" i="29" s="1"/>
  <c r="AA7" i="29"/>
  <c r="AC6" i="29"/>
  <c r="AR6" i="29" s="1"/>
  <c r="AB6" i="29"/>
  <c r="AQ6" i="29" s="1"/>
  <c r="AE88" i="29"/>
  <c r="AA6" i="29"/>
  <c r="AP95" i="29"/>
  <c r="AO95" i="29"/>
  <c r="T95" i="29"/>
  <c r="G95" i="29"/>
  <c r="F95" i="29"/>
  <c r="E95" i="29"/>
  <c r="AP94" i="29"/>
  <c r="AO94" i="29"/>
  <c r="T94" i="29"/>
  <c r="G94" i="29"/>
  <c r="F94" i="29"/>
  <c r="E94" i="29"/>
  <c r="AR93" i="29"/>
  <c r="AP93" i="29"/>
  <c r="AO93" i="29"/>
  <c r="T93" i="29"/>
  <c r="G93" i="29"/>
  <c r="F93" i="29"/>
  <c r="E93" i="29"/>
  <c r="AQ92" i="29"/>
  <c r="AP92" i="29"/>
  <c r="AO92" i="29"/>
  <c r="T92" i="29"/>
  <c r="G92" i="29"/>
  <c r="F92" i="29"/>
  <c r="E92" i="29"/>
  <c r="AP91" i="29"/>
  <c r="AO91" i="29"/>
  <c r="T91" i="29"/>
  <c r="G91" i="29"/>
  <c r="F91" i="29"/>
  <c r="E91" i="29"/>
  <c r="AP90" i="29"/>
  <c r="AO90" i="29"/>
  <c r="T90" i="29"/>
  <c r="G90" i="29"/>
  <c r="F90" i="29"/>
  <c r="E90" i="29"/>
  <c r="AP89" i="29"/>
  <c r="AO89" i="29"/>
  <c r="T89" i="29"/>
  <c r="G89" i="29"/>
  <c r="F89" i="29"/>
  <c r="E89" i="29"/>
  <c r="AQ88" i="29"/>
  <c r="AP88" i="29"/>
  <c r="AO88" i="29"/>
  <c r="T88" i="29"/>
  <c r="G88" i="29"/>
  <c r="F88" i="29"/>
  <c r="E88" i="29"/>
  <c r="AP87" i="29"/>
  <c r="AO87" i="29"/>
  <c r="T87" i="29"/>
  <c r="K87" i="29"/>
  <c r="G87" i="29"/>
  <c r="F87" i="29"/>
  <c r="E87" i="29"/>
  <c r="AP86" i="29"/>
  <c r="AO86" i="29"/>
  <c r="T86" i="29"/>
  <c r="G86" i="29"/>
  <c r="F86" i="29"/>
  <c r="E86" i="29"/>
  <c r="AP85" i="29"/>
  <c r="AO85" i="29"/>
  <c r="T85" i="29"/>
  <c r="G85" i="29"/>
  <c r="F85" i="29"/>
  <c r="E85" i="29"/>
  <c r="AP84" i="29"/>
  <c r="AO84" i="29"/>
  <c r="T84" i="29"/>
  <c r="G84" i="29"/>
  <c r="F84" i="29"/>
  <c r="E84" i="29"/>
  <c r="AP83" i="29"/>
  <c r="AO83" i="29"/>
  <c r="T83" i="29"/>
  <c r="G83" i="29"/>
  <c r="F83" i="29"/>
  <c r="E83" i="29"/>
  <c r="AP82" i="29"/>
  <c r="AO82" i="29"/>
  <c r="T82" i="29"/>
  <c r="G82" i="29"/>
  <c r="F82" i="29"/>
  <c r="E82" i="29"/>
  <c r="AP81" i="29"/>
  <c r="AO81" i="29"/>
  <c r="T81" i="29"/>
  <c r="G81" i="29"/>
  <c r="F81" i="29"/>
  <c r="E81" i="29"/>
  <c r="AP80" i="29"/>
  <c r="AO80" i="29"/>
  <c r="T80" i="29"/>
  <c r="G80" i="29"/>
  <c r="F80" i="29"/>
  <c r="E80" i="29"/>
  <c r="AP79" i="29"/>
  <c r="AO79" i="29"/>
  <c r="T79" i="29"/>
  <c r="G79" i="29"/>
  <c r="F79" i="29"/>
  <c r="E79" i="29"/>
  <c r="AP78" i="29"/>
  <c r="AO78" i="29"/>
  <c r="T78" i="29"/>
  <c r="G78" i="29"/>
  <c r="F78" i="29"/>
  <c r="E78" i="29"/>
  <c r="AP77" i="29"/>
  <c r="AO77" i="29"/>
  <c r="T77" i="29"/>
  <c r="G77" i="29"/>
  <c r="F77" i="29"/>
  <c r="E77" i="29"/>
  <c r="AP76" i="29"/>
  <c r="AO76" i="29"/>
  <c r="T76" i="29"/>
  <c r="G76" i="29"/>
  <c r="F76" i="29"/>
  <c r="E76" i="29"/>
  <c r="AP75" i="29"/>
  <c r="AO75" i="29"/>
  <c r="T75" i="29"/>
  <c r="G75" i="29"/>
  <c r="F75" i="29"/>
  <c r="E75" i="29"/>
  <c r="AP74" i="29"/>
  <c r="AO74" i="29"/>
  <c r="T74" i="29"/>
  <c r="G74" i="29"/>
  <c r="F74" i="29"/>
  <c r="E74" i="29"/>
  <c r="AP73" i="29"/>
  <c r="AO73" i="29"/>
  <c r="T73" i="29"/>
  <c r="G73" i="29"/>
  <c r="F73" i="29"/>
  <c r="E73" i="29"/>
  <c r="AP72" i="29"/>
  <c r="AO72" i="29"/>
  <c r="T72" i="29"/>
  <c r="G72" i="29"/>
  <c r="F72" i="29"/>
  <c r="E72" i="29"/>
  <c r="AP71" i="29"/>
  <c r="AO71" i="29"/>
  <c r="T71" i="29"/>
  <c r="G71" i="29"/>
  <c r="F71" i="29"/>
  <c r="E71" i="29"/>
  <c r="AP70" i="29"/>
  <c r="AO70" i="29"/>
  <c r="T70" i="29"/>
  <c r="G70" i="29"/>
  <c r="F70" i="29"/>
  <c r="E70" i="29"/>
  <c r="AR69" i="29"/>
  <c r="AP69" i="29"/>
  <c r="AO69" i="29"/>
  <c r="T69" i="29"/>
  <c r="G69" i="29"/>
  <c r="F69" i="29"/>
  <c r="E69" i="29"/>
  <c r="AQ68" i="29"/>
  <c r="AP68" i="29"/>
  <c r="AO68" i="29"/>
  <c r="T68" i="29"/>
  <c r="G68" i="29"/>
  <c r="F68" i="29"/>
  <c r="E68" i="29"/>
  <c r="AP67" i="29"/>
  <c r="AO67" i="29"/>
  <c r="T67" i="29"/>
  <c r="G67" i="29"/>
  <c r="F67" i="29"/>
  <c r="E67" i="29"/>
  <c r="AP66" i="29"/>
  <c r="AO66" i="29"/>
  <c r="T66" i="29"/>
  <c r="G66" i="29"/>
  <c r="F66" i="29"/>
  <c r="E66" i="29"/>
  <c r="AP65" i="29"/>
  <c r="AO65" i="29"/>
  <c r="T65" i="29"/>
  <c r="G65" i="29"/>
  <c r="F65" i="29"/>
  <c r="E65" i="29"/>
  <c r="AP64" i="29"/>
  <c r="AO64" i="29"/>
  <c r="T64" i="29"/>
  <c r="G64" i="29"/>
  <c r="F64" i="29"/>
  <c r="E64" i="29"/>
  <c r="AP63" i="29"/>
  <c r="AO63" i="29"/>
  <c r="T63" i="29"/>
  <c r="G63" i="29"/>
  <c r="F63" i="29"/>
  <c r="E63" i="29"/>
  <c r="AP62" i="29"/>
  <c r="AO62" i="29"/>
  <c r="T62" i="29"/>
  <c r="G62" i="29"/>
  <c r="F62" i="29"/>
  <c r="E62" i="29"/>
  <c r="AR61" i="29"/>
  <c r="AP61" i="29"/>
  <c r="AO61" i="29"/>
  <c r="T61" i="29"/>
  <c r="G61" i="29"/>
  <c r="F61" i="29"/>
  <c r="E61" i="29"/>
  <c r="AQ60" i="29"/>
  <c r="AP60" i="29"/>
  <c r="AO60" i="29"/>
  <c r="T60" i="29"/>
  <c r="G60" i="29"/>
  <c r="F60" i="29"/>
  <c r="E60" i="29"/>
  <c r="AP59" i="29"/>
  <c r="AO59" i="29"/>
  <c r="T59" i="29"/>
  <c r="G59" i="29"/>
  <c r="F59" i="29"/>
  <c r="E59" i="29"/>
  <c r="AP58" i="29"/>
  <c r="AO58" i="29"/>
  <c r="T58" i="29"/>
  <c r="G58" i="29"/>
  <c r="F58" i="29"/>
  <c r="E58" i="29"/>
  <c r="AP57" i="29"/>
  <c r="AO57" i="29"/>
  <c r="T57" i="29"/>
  <c r="G57" i="29"/>
  <c r="F57" i="29"/>
  <c r="E57" i="29"/>
  <c r="AP56" i="29"/>
  <c r="AO56" i="29"/>
  <c r="T56" i="29"/>
  <c r="G56" i="29"/>
  <c r="F56" i="29"/>
  <c r="E56" i="29"/>
  <c r="AP55" i="29"/>
  <c r="AO55" i="29"/>
  <c r="T55" i="29"/>
  <c r="G55" i="29"/>
  <c r="F55" i="29"/>
  <c r="E55" i="29"/>
  <c r="AP54" i="29"/>
  <c r="AO54" i="29"/>
  <c r="T54" i="29"/>
  <c r="G54" i="29"/>
  <c r="F54" i="29"/>
  <c r="E54" i="29"/>
  <c r="AP53" i="29"/>
  <c r="AO53" i="29"/>
  <c r="T53" i="29"/>
  <c r="G53" i="29"/>
  <c r="F53" i="29"/>
  <c r="E53" i="29"/>
  <c r="AP52" i="29"/>
  <c r="AO52" i="29"/>
  <c r="T52" i="29"/>
  <c r="G52" i="29"/>
  <c r="F52" i="29"/>
  <c r="E52" i="29"/>
  <c r="AP51" i="29"/>
  <c r="AO51" i="29"/>
  <c r="T51" i="29"/>
  <c r="G51" i="29"/>
  <c r="F51" i="29"/>
  <c r="E51" i="29"/>
  <c r="AP50" i="29"/>
  <c r="AO50" i="29"/>
  <c r="T50" i="29"/>
  <c r="G50" i="29"/>
  <c r="F50" i="29"/>
  <c r="E50" i="29"/>
  <c r="AP49" i="29"/>
  <c r="AO49" i="29"/>
  <c r="T49" i="29"/>
  <c r="G49" i="29"/>
  <c r="F49" i="29"/>
  <c r="E49" i="29"/>
  <c r="AP48" i="29"/>
  <c r="AO48" i="29"/>
  <c r="T48" i="29"/>
  <c r="G48" i="29"/>
  <c r="F48" i="29"/>
  <c r="E48" i="29"/>
  <c r="AP47" i="29"/>
  <c r="AO47" i="29"/>
  <c r="T47" i="29"/>
  <c r="G47" i="29"/>
  <c r="F47" i="29"/>
  <c r="E47" i="29"/>
  <c r="AP46" i="29"/>
  <c r="AO46" i="29"/>
  <c r="T46" i="29"/>
  <c r="G46" i="29"/>
  <c r="F46" i="29"/>
  <c r="E46" i="29"/>
  <c r="G45" i="29"/>
  <c r="F45" i="29"/>
  <c r="E45" i="29"/>
  <c r="AP44" i="29"/>
  <c r="AO44" i="29"/>
  <c r="T44" i="29"/>
  <c r="G44" i="29"/>
  <c r="F44" i="29"/>
  <c r="E44" i="29"/>
  <c r="AP43" i="29"/>
  <c r="AO43" i="29"/>
  <c r="T43" i="29"/>
  <c r="G43" i="29"/>
  <c r="F43" i="29"/>
  <c r="E43" i="29"/>
  <c r="AP42" i="29"/>
  <c r="AO42" i="29"/>
  <c r="T42" i="29"/>
  <c r="G42" i="29"/>
  <c r="F42" i="29"/>
  <c r="E42" i="29"/>
  <c r="AR41" i="29"/>
  <c r="AP41" i="29"/>
  <c r="AO41" i="29"/>
  <c r="T41" i="29"/>
  <c r="G41" i="29"/>
  <c r="F41" i="29"/>
  <c r="E41" i="29"/>
  <c r="AP40" i="29"/>
  <c r="AO40" i="29"/>
  <c r="T40" i="29"/>
  <c r="G40" i="29"/>
  <c r="F40" i="29"/>
  <c r="E40" i="29"/>
  <c r="G39" i="29"/>
  <c r="F39" i="29"/>
  <c r="E39" i="29"/>
  <c r="AP38" i="29"/>
  <c r="AO38" i="29"/>
  <c r="T38" i="29"/>
  <c r="G38" i="29"/>
  <c r="F38" i="29"/>
  <c r="E38" i="29"/>
  <c r="AP37" i="29"/>
  <c r="AO37" i="29"/>
  <c r="T37" i="29"/>
  <c r="G37" i="29"/>
  <c r="F37" i="29"/>
  <c r="E37" i="29"/>
  <c r="AP36" i="29"/>
  <c r="AO36" i="29"/>
  <c r="T36" i="29"/>
  <c r="G36" i="29"/>
  <c r="F36" i="29"/>
  <c r="E36" i="29"/>
  <c r="AP35" i="29"/>
  <c r="AO35" i="29"/>
  <c r="T35" i="29"/>
  <c r="G35" i="29"/>
  <c r="F35" i="29"/>
  <c r="E35" i="29"/>
  <c r="AP34" i="29"/>
  <c r="AO34" i="29"/>
  <c r="T34" i="29"/>
  <c r="G34" i="29"/>
  <c r="F34" i="29"/>
  <c r="E34" i="29"/>
  <c r="AP33" i="29"/>
  <c r="AO33" i="29"/>
  <c r="T33" i="29"/>
  <c r="G33" i="29"/>
  <c r="F33" i="29"/>
  <c r="E33" i="29"/>
  <c r="AP32" i="29"/>
  <c r="AO32" i="29"/>
  <c r="T32" i="29"/>
  <c r="G32" i="29"/>
  <c r="F32" i="29"/>
  <c r="E32" i="29"/>
  <c r="AP31" i="29"/>
  <c r="AO31" i="29"/>
  <c r="T31" i="29"/>
  <c r="G31" i="29"/>
  <c r="F31" i="29"/>
  <c r="E31" i="29"/>
  <c r="AP30" i="29"/>
  <c r="AO30" i="29"/>
  <c r="T30" i="29"/>
  <c r="G30" i="29"/>
  <c r="F30" i="29"/>
  <c r="E30" i="29"/>
  <c r="AP29" i="29"/>
  <c r="AO29" i="29"/>
  <c r="T29" i="29"/>
  <c r="G29" i="29"/>
  <c r="F29" i="29"/>
  <c r="E29" i="29"/>
  <c r="AP28" i="29"/>
  <c r="AO28" i="29"/>
  <c r="T28" i="29"/>
  <c r="G28" i="29"/>
  <c r="F28" i="29"/>
  <c r="E28" i="29"/>
  <c r="AP27" i="29"/>
  <c r="AO27" i="29"/>
  <c r="T27" i="29"/>
  <c r="G27" i="29"/>
  <c r="F27" i="29"/>
  <c r="E27" i="29"/>
  <c r="AP26" i="29"/>
  <c r="AO26" i="29"/>
  <c r="T26" i="29"/>
  <c r="G26" i="29"/>
  <c r="F26" i="29"/>
  <c r="E26" i="29"/>
  <c r="AP25" i="29"/>
  <c r="AO25" i="29"/>
  <c r="T25" i="29"/>
  <c r="G25" i="29"/>
  <c r="F25" i="29"/>
  <c r="E25" i="29"/>
  <c r="AP24" i="29"/>
  <c r="AO24" i="29"/>
  <c r="T24" i="29"/>
  <c r="G24" i="29"/>
  <c r="F24" i="29"/>
  <c r="E24" i="29"/>
  <c r="AP23" i="29"/>
  <c r="AO23" i="29"/>
  <c r="T23" i="29"/>
  <c r="G23" i="29"/>
  <c r="F23" i="29"/>
  <c r="E23" i="29"/>
  <c r="AP22" i="29"/>
  <c r="AO22" i="29"/>
  <c r="T22" i="29"/>
  <c r="G22" i="29"/>
  <c r="F22" i="29"/>
  <c r="E22" i="29"/>
  <c r="AP21" i="29"/>
  <c r="AO21" i="29"/>
  <c r="T21" i="29"/>
  <c r="G21" i="29"/>
  <c r="F21" i="29"/>
  <c r="E21" i="29"/>
  <c r="AQ20" i="29"/>
  <c r="AP20" i="29"/>
  <c r="AO20" i="29"/>
  <c r="T20" i="29"/>
  <c r="G20" i="29"/>
  <c r="F20" i="29"/>
  <c r="E20" i="29"/>
  <c r="AP19" i="29"/>
  <c r="AO19" i="29"/>
  <c r="T19" i="29"/>
  <c r="G19" i="29"/>
  <c r="F19" i="29"/>
  <c r="E19" i="29"/>
  <c r="AP18" i="29"/>
  <c r="AO18" i="29"/>
  <c r="T18" i="29"/>
  <c r="G18" i="29"/>
  <c r="F18" i="29"/>
  <c r="E18" i="29"/>
  <c r="AP17" i="29"/>
  <c r="AO17" i="29"/>
  <c r="T17" i="29"/>
  <c r="G17" i="29"/>
  <c r="F17" i="29"/>
  <c r="E17" i="29"/>
  <c r="AP16" i="29"/>
  <c r="AO16" i="29"/>
  <c r="T16" i="29"/>
  <c r="G16" i="29"/>
  <c r="F16" i="29"/>
  <c r="E16" i="29"/>
  <c r="AP15" i="29"/>
  <c r="AO15" i="29"/>
  <c r="T15" i="29"/>
  <c r="G15" i="29"/>
  <c r="F15" i="29"/>
  <c r="E15" i="29"/>
  <c r="AP14" i="29"/>
  <c r="AO14" i="29"/>
  <c r="T14" i="29"/>
  <c r="G14" i="29"/>
  <c r="F14" i="29"/>
  <c r="E14" i="29"/>
  <c r="AP13" i="29"/>
  <c r="AO13" i="29"/>
  <c r="T13" i="29"/>
  <c r="G13" i="29"/>
  <c r="F13" i="29"/>
  <c r="E13" i="29"/>
  <c r="AP12" i="29"/>
  <c r="AO12" i="29"/>
  <c r="T12" i="29"/>
  <c r="G12" i="29"/>
  <c r="F12" i="29"/>
  <c r="E12" i="29"/>
  <c r="AP11" i="29"/>
  <c r="AO11" i="29"/>
  <c r="T11" i="29"/>
  <c r="G11" i="29"/>
  <c r="F11" i="29"/>
  <c r="E11" i="29"/>
  <c r="AP10" i="29"/>
  <c r="AO10" i="29"/>
  <c r="T10" i="29"/>
  <c r="G10" i="29"/>
  <c r="F10" i="29"/>
  <c r="E10" i="29"/>
  <c r="AR9" i="29"/>
  <c r="AP9" i="29"/>
  <c r="AO9" i="29"/>
  <c r="T9" i="29"/>
  <c r="G9" i="29"/>
  <c r="F9" i="29"/>
  <c r="E9" i="29"/>
  <c r="AP8" i="29"/>
  <c r="AO8" i="29"/>
  <c r="T8" i="29"/>
  <c r="G8" i="29"/>
  <c r="F8" i="29"/>
  <c r="E8" i="29"/>
  <c r="AP7" i="29"/>
  <c r="AO7" i="29"/>
  <c r="T7" i="29"/>
  <c r="G7" i="29"/>
  <c r="F7" i="29"/>
  <c r="E7" i="29"/>
  <c r="AP6" i="29"/>
  <c r="AO6" i="29"/>
  <c r="T6" i="29"/>
  <c r="G6" i="29"/>
  <c r="F6" i="29"/>
  <c r="E6" i="29"/>
  <c r="E31" i="28"/>
  <c r="D27" i="28"/>
  <c r="C27" i="28"/>
  <c r="B27" i="28"/>
  <c r="D26" i="28"/>
  <c r="C26" i="28"/>
  <c r="G26" i="28" s="1"/>
  <c r="B26" i="28"/>
  <c r="D25" i="28"/>
  <c r="E25" i="28" s="1"/>
  <c r="C25" i="28"/>
  <c r="B25" i="28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G20" i="28" s="1"/>
  <c r="B20" i="28"/>
  <c r="F19" i="28"/>
  <c r="F31" i="28" s="1"/>
  <c r="E19" i="28"/>
  <c r="D19" i="28"/>
  <c r="D31" i="28" s="1"/>
  <c r="C19" i="28"/>
  <c r="C31" i="28" s="1"/>
  <c r="B19" i="28"/>
  <c r="B31" i="28" s="1"/>
  <c r="D15" i="28"/>
  <c r="C15" i="28"/>
  <c r="B15" i="28"/>
  <c r="D14" i="28"/>
  <c r="C14" i="28"/>
  <c r="B14" i="28"/>
  <c r="D13" i="28"/>
  <c r="C13" i="28"/>
  <c r="B13" i="28"/>
  <c r="D12" i="28"/>
  <c r="E12" i="28" s="1"/>
  <c r="C12" i="28"/>
  <c r="B12" i="28"/>
  <c r="D11" i="28"/>
  <c r="C11" i="28"/>
  <c r="B11" i="28"/>
  <c r="D10" i="28"/>
  <c r="H10" i="28" s="1"/>
  <c r="C10" i="28"/>
  <c r="B10" i="28"/>
  <c r="D9" i="28"/>
  <c r="C9" i="28"/>
  <c r="B9" i="28"/>
  <c r="D8" i="28"/>
  <c r="E8" i="28" s="1"/>
  <c r="C8" i="28"/>
  <c r="B8" i="28"/>
  <c r="D33" i="23" l="1"/>
  <c r="AE12" i="29"/>
  <c r="AD79" i="29"/>
  <c r="C45" i="30"/>
  <c r="AD9" i="29"/>
  <c r="AD13" i="29"/>
  <c r="AE18" i="29"/>
  <c r="AD21" i="29"/>
  <c r="AD25" i="29"/>
  <c r="AE34" i="29"/>
  <c r="AE38" i="29"/>
  <c r="AE86" i="29"/>
  <c r="D45" i="30"/>
  <c r="AF7" i="29"/>
  <c r="AF11" i="29"/>
  <c r="AF15" i="29"/>
  <c r="AF19" i="29"/>
  <c r="AF23" i="29"/>
  <c r="AF31" i="29"/>
  <c r="D45" i="23"/>
  <c r="G21" i="28"/>
  <c r="H24" i="28"/>
  <c r="F22" i="28"/>
  <c r="AR12" i="29"/>
  <c r="AF12" i="29"/>
  <c r="AF16" i="29"/>
  <c r="AF20" i="29"/>
  <c r="AF24" i="29"/>
  <c r="AF32" i="29"/>
  <c r="AF36" i="29"/>
  <c r="AF6" i="29"/>
  <c r="AE45" i="29"/>
  <c r="AD45" i="29"/>
  <c r="AR57" i="29"/>
  <c r="AF42" i="29"/>
  <c r="AE48" i="29"/>
  <c r="AF50" i="29"/>
  <c r="AF54" i="29"/>
  <c r="AF58" i="29"/>
  <c r="AF62" i="29"/>
  <c r="AE64" i="29"/>
  <c r="AF66" i="29"/>
  <c r="AF74" i="29"/>
  <c r="AE80" i="29"/>
  <c r="AF82" i="29"/>
  <c r="AF86" i="29"/>
  <c r="AE39" i="29"/>
  <c r="AD39" i="29"/>
  <c r="AF41" i="29"/>
  <c r="AF49" i="29"/>
  <c r="AF61" i="29"/>
  <c r="AF65" i="29"/>
  <c r="AF73" i="29"/>
  <c r="AF77" i="29"/>
  <c r="AF81" i="29"/>
  <c r="AF10" i="29"/>
  <c r="AF14" i="29"/>
  <c r="AF22" i="29"/>
  <c r="AF26" i="29"/>
  <c r="AF30" i="29"/>
  <c r="AD32" i="29"/>
  <c r="AF38" i="29"/>
  <c r="AR17" i="29"/>
  <c r="AQ21" i="29"/>
  <c r="AF9" i="29"/>
  <c r="AF13" i="29"/>
  <c r="AF21" i="29"/>
  <c r="AF29" i="29"/>
  <c r="AF33" i="29"/>
  <c r="AF37" i="29"/>
  <c r="AF40" i="29"/>
  <c r="AF44" i="29"/>
  <c r="AF43" i="29"/>
  <c r="AR75" i="29"/>
  <c r="AF48" i="29"/>
  <c r="AF52" i="29"/>
  <c r="AE54" i="29"/>
  <c r="AF60" i="29"/>
  <c r="AF64" i="29"/>
  <c r="AF80" i="29"/>
  <c r="AE78" i="29"/>
  <c r="AF47" i="29"/>
  <c r="AF55" i="29"/>
  <c r="AF59" i="29"/>
  <c r="AF63" i="29"/>
  <c r="AF79" i="29"/>
  <c r="AF84" i="29"/>
  <c r="B39" i="28"/>
  <c r="AF87" i="29"/>
  <c r="C21" i="30"/>
  <c r="AF70" i="29"/>
  <c r="B38" i="28"/>
  <c r="F38" i="28" s="1"/>
  <c r="AF78" i="29"/>
  <c r="C16" i="30"/>
  <c r="AF53" i="29"/>
  <c r="B36" i="28"/>
  <c r="AF57" i="29"/>
  <c r="C17" i="30"/>
  <c r="AF56" i="29"/>
  <c r="C19" i="30"/>
  <c r="AF68" i="29"/>
  <c r="C23" i="30"/>
  <c r="AF72" i="29"/>
  <c r="C16" i="31"/>
  <c r="AF76" i="29"/>
  <c r="B35" i="28"/>
  <c r="F35" i="28" s="1"/>
  <c r="AF46" i="29"/>
  <c r="C20" i="30"/>
  <c r="AF69" i="29"/>
  <c r="C30" i="30"/>
  <c r="AF85" i="29"/>
  <c r="C12" i="31"/>
  <c r="AF51" i="29"/>
  <c r="B37" i="28"/>
  <c r="AF67" i="29"/>
  <c r="C22" i="30"/>
  <c r="AF71" i="29"/>
  <c r="C24" i="30"/>
  <c r="AF75" i="29"/>
  <c r="C19" i="31"/>
  <c r="AF83" i="29"/>
  <c r="B34" i="28"/>
  <c r="AF34" i="29"/>
  <c r="C5" i="30"/>
  <c r="AF17" i="29"/>
  <c r="B33" i="28"/>
  <c r="AF25" i="29"/>
  <c r="B32" i="28"/>
  <c r="F32" i="28" s="1"/>
  <c r="AF8" i="29"/>
  <c r="C10" i="30"/>
  <c r="AF28" i="29"/>
  <c r="C5" i="31"/>
  <c r="AF18" i="29"/>
  <c r="C8" i="31"/>
  <c r="AF27" i="29"/>
  <c r="C12" i="30"/>
  <c r="AF35" i="29"/>
  <c r="H11" i="28"/>
  <c r="H15" i="28"/>
  <c r="H14" i="28"/>
  <c r="F9" i="28"/>
  <c r="F13" i="28"/>
  <c r="AR28" i="29"/>
  <c r="AD36" i="29"/>
  <c r="C9" i="30"/>
  <c r="AR8" i="29"/>
  <c r="AE20" i="29"/>
  <c r="C10" i="31"/>
  <c r="C39" i="28"/>
  <c r="E15" i="30"/>
  <c r="AQ9" i="29"/>
  <c r="AD14" i="29"/>
  <c r="AE7" i="29"/>
  <c r="AE10" i="29"/>
  <c r="AE11" i="29"/>
  <c r="AD18" i="29"/>
  <c r="AE19" i="29"/>
  <c r="AE23" i="29"/>
  <c r="AD43" i="29"/>
  <c r="AD47" i="29"/>
  <c r="AD63" i="29"/>
  <c r="AE95" i="29"/>
  <c r="E23" i="30"/>
  <c r="C6" i="30"/>
  <c r="E16" i="31"/>
  <c r="AE6" i="29"/>
  <c r="AD24" i="29"/>
  <c r="AE32" i="29"/>
  <c r="AD33" i="29"/>
  <c r="AE44" i="29"/>
  <c r="AE56" i="29"/>
  <c r="AE72" i="29"/>
  <c r="AE92" i="29"/>
  <c r="AE93" i="29"/>
  <c r="D33" i="28"/>
  <c r="E16" i="30"/>
  <c r="C17" i="31"/>
  <c r="C26" i="30"/>
  <c r="D39" i="28"/>
  <c r="AR87" i="29"/>
  <c r="C38" i="28"/>
  <c r="E38" i="28" s="1"/>
  <c r="E28" i="30"/>
  <c r="AR7" i="29"/>
  <c r="AQ10" i="29"/>
  <c r="AR23" i="29"/>
  <c r="AR51" i="29"/>
  <c r="AR71" i="29"/>
  <c r="AR10" i="29"/>
  <c r="AD10" i="29"/>
  <c r="AD17" i="29"/>
  <c r="AQ17" i="29"/>
  <c r="AR18" i="29"/>
  <c r="E6" i="30"/>
  <c r="E5" i="31"/>
  <c r="AE26" i="29"/>
  <c r="AD30" i="29"/>
  <c r="AE42" i="29"/>
  <c r="AE50" i="29"/>
  <c r="C13" i="31"/>
  <c r="C15" i="30"/>
  <c r="C36" i="28"/>
  <c r="G36" i="28" s="1"/>
  <c r="AE58" i="29"/>
  <c r="AE62" i="29"/>
  <c r="AE66" i="29"/>
  <c r="AE74" i="29"/>
  <c r="AE82" i="29"/>
  <c r="AE90" i="29"/>
  <c r="AE94" i="29"/>
  <c r="C33" i="28"/>
  <c r="C35" i="28"/>
  <c r="H35" i="28" s="1"/>
  <c r="D37" i="28"/>
  <c r="E12" i="30"/>
  <c r="C25" i="30"/>
  <c r="C15" i="31"/>
  <c r="E19" i="31"/>
  <c r="AD6" i="29"/>
  <c r="AD22" i="29"/>
  <c r="AQ34" i="29"/>
  <c r="AR35" i="29"/>
  <c r="AR47" i="29"/>
  <c r="AD55" i="29"/>
  <c r="AE70" i="29"/>
  <c r="AD71" i="29"/>
  <c r="AR95" i="29"/>
  <c r="AE22" i="29"/>
  <c r="C32" i="28"/>
  <c r="E32" i="28" s="1"/>
  <c r="AE8" i="29"/>
  <c r="AE16" i="29"/>
  <c r="AQ16" i="29"/>
  <c r="E30" i="30"/>
  <c r="AR85" i="29"/>
  <c r="D34" i="28"/>
  <c r="G34" i="28" s="1"/>
  <c r="E9" i="30"/>
  <c r="C14" i="30"/>
  <c r="AQ12" i="29"/>
  <c r="AQ13" i="29"/>
  <c r="AE15" i="29"/>
  <c r="AQ28" i="29"/>
  <c r="AD35" i="29"/>
  <c r="AQ44" i="29"/>
  <c r="AE46" i="29"/>
  <c r="AQ56" i="29"/>
  <c r="AR63" i="29"/>
  <c r="AR77" i="29"/>
  <c r="AD92" i="29"/>
  <c r="AF94" i="29"/>
  <c r="AR94" i="29"/>
  <c r="AE14" i="29"/>
  <c r="AD28" i="29"/>
  <c r="D33" i="30"/>
  <c r="E14" i="30"/>
  <c r="C28" i="30"/>
  <c r="E8" i="31"/>
  <c r="E17" i="31"/>
  <c r="AD8" i="29"/>
  <c r="AD12" i="29"/>
  <c r="AD16" i="29"/>
  <c r="AD20" i="29"/>
  <c r="AE24" i="29"/>
  <c r="AE31" i="29"/>
  <c r="AD51" i="29"/>
  <c r="AD59" i="29"/>
  <c r="AD67" i="29"/>
  <c r="AD75" i="29"/>
  <c r="AD83" i="29"/>
  <c r="AD88" i="29"/>
  <c r="D31" i="30"/>
  <c r="D35" i="31"/>
  <c r="D21" i="31"/>
  <c r="C35" i="31"/>
  <c r="D23" i="31"/>
  <c r="E45" i="30"/>
  <c r="AQ11" i="29"/>
  <c r="AE13" i="29"/>
  <c r="AQ19" i="29"/>
  <c r="AE21" i="29"/>
  <c r="AD27" i="29"/>
  <c r="AF90" i="29"/>
  <c r="AR90" i="29"/>
  <c r="AD31" i="29"/>
  <c r="AE87" i="29"/>
  <c r="AE9" i="29"/>
  <c r="AE17" i="29"/>
  <c r="AQ25" i="29"/>
  <c r="AE25" i="29"/>
  <c r="AR26" i="29"/>
  <c r="AQ29" i="29"/>
  <c r="AE29" i="29"/>
  <c r="AR30" i="29"/>
  <c r="AQ33" i="29"/>
  <c r="AE33" i="29"/>
  <c r="AR34" i="29"/>
  <c r="AQ37" i="29"/>
  <c r="AE37" i="29"/>
  <c r="AD38" i="29"/>
  <c r="AR38" i="29"/>
  <c r="AQ41" i="29"/>
  <c r="AE41" i="29"/>
  <c r="AD42" i="29"/>
  <c r="AR42" i="29"/>
  <c r="AD46" i="29"/>
  <c r="AR46" i="29"/>
  <c r="AQ49" i="29"/>
  <c r="AE49" i="29"/>
  <c r="AD50" i="29"/>
  <c r="AR50" i="29"/>
  <c r="AQ53" i="29"/>
  <c r="AE53" i="29"/>
  <c r="AD54" i="29"/>
  <c r="AR54" i="29"/>
  <c r="AQ57" i="29"/>
  <c r="AE57" i="29"/>
  <c r="AD58" i="29"/>
  <c r="AR58" i="29"/>
  <c r="AQ61" i="29"/>
  <c r="AE61" i="29"/>
  <c r="AD62" i="29"/>
  <c r="AR62" i="29"/>
  <c r="AQ65" i="29"/>
  <c r="AE65" i="29"/>
  <c r="AD66" i="29"/>
  <c r="AR66" i="29"/>
  <c r="AQ69" i="29"/>
  <c r="AE69" i="29"/>
  <c r="AD70" i="29"/>
  <c r="AR70" i="29"/>
  <c r="AQ73" i="29"/>
  <c r="AE73" i="29"/>
  <c r="AD74" i="29"/>
  <c r="AR74" i="29"/>
  <c r="AQ77" i="29"/>
  <c r="AE77" i="29"/>
  <c r="AD78" i="29"/>
  <c r="AR78" i="29"/>
  <c r="AQ81" i="29"/>
  <c r="AE81" i="29"/>
  <c r="AD82" i="29"/>
  <c r="AR82" i="29"/>
  <c r="AQ85" i="29"/>
  <c r="AE85" i="29"/>
  <c r="AD86" i="29"/>
  <c r="AR86" i="29"/>
  <c r="AF89" i="29"/>
  <c r="AD89" i="29"/>
  <c r="AF93" i="29"/>
  <c r="AD93" i="29"/>
  <c r="AD7" i="29"/>
  <c r="AD11" i="29"/>
  <c r="AD15" i="29"/>
  <c r="AD19" i="29"/>
  <c r="AD23" i="29"/>
  <c r="AR24" i="29"/>
  <c r="AE27" i="29"/>
  <c r="AD29" i="29"/>
  <c r="AD34" i="29"/>
  <c r="AE36" i="29"/>
  <c r="AD49" i="29"/>
  <c r="AD57" i="29"/>
  <c r="AD65" i="29"/>
  <c r="AD73" i="29"/>
  <c r="AD81" i="29"/>
  <c r="AD90" i="29"/>
  <c r="AF92" i="29"/>
  <c r="AR92" i="29"/>
  <c r="AQ93" i="29"/>
  <c r="AR40" i="29"/>
  <c r="AD40" i="29"/>
  <c r="AQ43" i="29"/>
  <c r="AE43" i="29"/>
  <c r="AR44" i="29"/>
  <c r="AD44" i="29"/>
  <c r="AQ47" i="29"/>
  <c r="AE47" i="29"/>
  <c r="AR48" i="29"/>
  <c r="AD48" i="29"/>
  <c r="AQ51" i="29"/>
  <c r="AE51" i="29"/>
  <c r="AR52" i="29"/>
  <c r="AD52" i="29"/>
  <c r="AQ55" i="29"/>
  <c r="AE55" i="29"/>
  <c r="AR56" i="29"/>
  <c r="AD56" i="29"/>
  <c r="AQ59" i="29"/>
  <c r="AE59" i="29"/>
  <c r="AR60" i="29"/>
  <c r="AD60" i="29"/>
  <c r="AQ63" i="29"/>
  <c r="AE63" i="29"/>
  <c r="AR64" i="29"/>
  <c r="AD64" i="29"/>
  <c r="AQ67" i="29"/>
  <c r="AE67" i="29"/>
  <c r="AR68" i="29"/>
  <c r="AD68" i="29"/>
  <c r="AQ71" i="29"/>
  <c r="AE71" i="29"/>
  <c r="AR72" i="29"/>
  <c r="AD72" i="29"/>
  <c r="AQ75" i="29"/>
  <c r="AE75" i="29"/>
  <c r="AR76" i="29"/>
  <c r="AD76" i="29"/>
  <c r="AQ79" i="29"/>
  <c r="AE79" i="29"/>
  <c r="AR80" i="29"/>
  <c r="AD80" i="29"/>
  <c r="AQ83" i="29"/>
  <c r="AE83" i="29"/>
  <c r="AR84" i="29"/>
  <c r="AD84" i="29"/>
  <c r="AD87" i="29"/>
  <c r="AD91" i="29"/>
  <c r="AF91" i="29"/>
  <c r="AD95" i="29"/>
  <c r="AF95" i="29"/>
  <c r="AD26" i="29"/>
  <c r="AE28" i="29"/>
  <c r="AE30" i="29"/>
  <c r="AR32" i="29"/>
  <c r="AE35" i="29"/>
  <c r="AD37" i="29"/>
  <c r="AE40" i="29"/>
  <c r="AD41" i="29"/>
  <c r="AE52" i="29"/>
  <c r="AD53" i="29"/>
  <c r="AE60" i="29"/>
  <c r="AD61" i="29"/>
  <c r="AE68" i="29"/>
  <c r="AD69" i="29"/>
  <c r="AE76" i="29"/>
  <c r="AD77" i="29"/>
  <c r="AE84" i="29"/>
  <c r="AD85" i="29"/>
  <c r="AF88" i="29"/>
  <c r="AR88" i="29"/>
  <c r="AQ89" i="29"/>
  <c r="AE91" i="29"/>
  <c r="AD94" i="29"/>
  <c r="F8" i="28"/>
  <c r="G9" i="28"/>
  <c r="E11" i="28"/>
  <c r="F12" i="28"/>
  <c r="G13" i="28"/>
  <c r="E15" i="28"/>
  <c r="H20" i="28"/>
  <c r="E21" i="28"/>
  <c r="E24" i="28"/>
  <c r="F11" i="28"/>
  <c r="F15" i="28"/>
  <c r="E20" i="28"/>
  <c r="F21" i="28"/>
  <c r="G22" i="28"/>
  <c r="F24" i="28"/>
  <c r="F25" i="28"/>
  <c r="G27" i="28"/>
  <c r="G8" i="28"/>
  <c r="G11" i="28"/>
  <c r="G12" i="28"/>
  <c r="G15" i="28"/>
  <c r="F20" i="28"/>
  <c r="G24" i="28"/>
  <c r="G25" i="28"/>
  <c r="F26" i="28"/>
  <c r="G35" i="28"/>
  <c r="G23" i="28"/>
  <c r="F23" i="28"/>
  <c r="E23" i="28"/>
  <c r="H23" i="28"/>
  <c r="G10" i="28"/>
  <c r="F10" i="28"/>
  <c r="E10" i="28"/>
  <c r="G14" i="28"/>
  <c r="F14" i="28"/>
  <c r="E14" i="28"/>
  <c r="H27" i="28"/>
  <c r="H9" i="28"/>
  <c r="H13" i="28"/>
  <c r="H22" i="28"/>
  <c r="H26" i="28"/>
  <c r="E27" i="28"/>
  <c r="H8" i="28"/>
  <c r="E9" i="28"/>
  <c r="H12" i="28"/>
  <c r="E13" i="28"/>
  <c r="H21" i="28"/>
  <c r="E22" i="28"/>
  <c r="H25" i="28"/>
  <c r="E26" i="28"/>
  <c r="F27" i="28"/>
  <c r="E35" i="28"/>
  <c r="F36" i="28"/>
  <c r="N27" i="27"/>
  <c r="N26" i="27"/>
  <c r="N25" i="27"/>
  <c r="N24" i="27"/>
  <c r="N23" i="27"/>
  <c r="N22" i="27"/>
  <c r="N21" i="27"/>
  <c r="N20" i="27"/>
  <c r="N11" i="27"/>
  <c r="N12" i="27"/>
  <c r="N13" i="27"/>
  <c r="N14" i="27"/>
  <c r="N15" i="27"/>
  <c r="N16" i="27"/>
  <c r="N17" i="27"/>
  <c r="N18" i="27"/>
  <c r="E310" i="27"/>
  <c r="D310" i="27"/>
  <c r="C310" i="27"/>
  <c r="G308" i="27"/>
  <c r="F308" i="27"/>
  <c r="G307" i="27"/>
  <c r="F307" i="27"/>
  <c r="G306" i="27"/>
  <c r="F306" i="27"/>
  <c r="G305" i="27"/>
  <c r="F305" i="27"/>
  <c r="G304" i="27"/>
  <c r="F304" i="27"/>
  <c r="G303" i="27"/>
  <c r="F303" i="27"/>
  <c r="G302" i="27"/>
  <c r="F302" i="27"/>
  <c r="G301" i="27"/>
  <c r="F301" i="27"/>
  <c r="G300" i="27"/>
  <c r="F300" i="27"/>
  <c r="G299" i="27"/>
  <c r="F299" i="27"/>
  <c r="G298" i="27"/>
  <c r="F298" i="27"/>
  <c r="G297" i="27"/>
  <c r="F297" i="27"/>
  <c r="G296" i="27"/>
  <c r="F296" i="27"/>
  <c r="G295" i="27"/>
  <c r="F295" i="27"/>
  <c r="G294" i="27"/>
  <c r="F294" i="27"/>
  <c r="G293" i="27"/>
  <c r="F293" i="27"/>
  <c r="G292" i="27"/>
  <c r="F292" i="27"/>
  <c r="G291" i="27"/>
  <c r="F291" i="27"/>
  <c r="G290" i="27"/>
  <c r="F290" i="27"/>
  <c r="G289" i="27"/>
  <c r="F289" i="27"/>
  <c r="G288" i="27"/>
  <c r="F288" i="27"/>
  <c r="G287" i="27"/>
  <c r="F287" i="27"/>
  <c r="G286" i="27"/>
  <c r="F286" i="27"/>
  <c r="G285" i="27"/>
  <c r="F285" i="27"/>
  <c r="G284" i="27"/>
  <c r="F284" i="27"/>
  <c r="G283" i="27"/>
  <c r="F283" i="27"/>
  <c r="G282" i="27"/>
  <c r="F282" i="27"/>
  <c r="G281" i="27"/>
  <c r="F281" i="27"/>
  <c r="G280" i="27"/>
  <c r="F280" i="27"/>
  <c r="G279" i="27"/>
  <c r="F279" i="27"/>
  <c r="G278" i="27"/>
  <c r="F278" i="27"/>
  <c r="G277" i="27"/>
  <c r="F277" i="27"/>
  <c r="I276" i="27"/>
  <c r="H276" i="27"/>
  <c r="G276" i="27"/>
  <c r="F276" i="27"/>
  <c r="G275" i="27"/>
  <c r="F275" i="27"/>
  <c r="G274" i="27"/>
  <c r="F274" i="27"/>
  <c r="G273" i="27"/>
  <c r="F273" i="27"/>
  <c r="G272" i="27"/>
  <c r="F272" i="27"/>
  <c r="G271" i="27"/>
  <c r="F271" i="27"/>
  <c r="G270" i="27"/>
  <c r="F270" i="27"/>
  <c r="G269" i="27"/>
  <c r="F269" i="27"/>
  <c r="G268" i="27"/>
  <c r="F268" i="27"/>
  <c r="G267" i="27"/>
  <c r="F267" i="27"/>
  <c r="G266" i="27"/>
  <c r="F266" i="27"/>
  <c r="G265" i="27"/>
  <c r="F265" i="27"/>
  <c r="G264" i="27"/>
  <c r="F264" i="27"/>
  <c r="G263" i="27"/>
  <c r="F263" i="27"/>
  <c r="G262" i="27"/>
  <c r="F262" i="27"/>
  <c r="G261" i="27"/>
  <c r="F261" i="27"/>
  <c r="G260" i="27"/>
  <c r="F260" i="27"/>
  <c r="G259" i="27"/>
  <c r="F259" i="27"/>
  <c r="G258" i="27"/>
  <c r="F258" i="27"/>
  <c r="G257" i="27"/>
  <c r="F257" i="27"/>
  <c r="G256" i="27"/>
  <c r="F256" i="27"/>
  <c r="G255" i="27"/>
  <c r="F255" i="27"/>
  <c r="G254" i="27"/>
  <c r="F254" i="27"/>
  <c r="G253" i="27"/>
  <c r="F253" i="27"/>
  <c r="G252" i="27"/>
  <c r="F252" i="27"/>
  <c r="G251" i="27"/>
  <c r="F251" i="27"/>
  <c r="G250" i="27"/>
  <c r="F250" i="27"/>
  <c r="G249" i="27"/>
  <c r="F249" i="27"/>
  <c r="G248" i="27"/>
  <c r="F248" i="27"/>
  <c r="G247" i="27"/>
  <c r="F247" i="27"/>
  <c r="G246" i="27"/>
  <c r="F246" i="27"/>
  <c r="G245" i="27"/>
  <c r="F245" i="27"/>
  <c r="G244" i="27"/>
  <c r="F244" i="27"/>
  <c r="G243" i="27"/>
  <c r="F243" i="27"/>
  <c r="G242" i="27"/>
  <c r="F242" i="27"/>
  <c r="G241" i="27"/>
  <c r="F241" i="27"/>
  <c r="G240" i="27"/>
  <c r="F240" i="27"/>
  <c r="G239" i="27"/>
  <c r="F239" i="27"/>
  <c r="G238" i="27"/>
  <c r="F238" i="27"/>
  <c r="G237" i="27"/>
  <c r="F237" i="27"/>
  <c r="G236" i="27"/>
  <c r="F236" i="27"/>
  <c r="G235" i="27"/>
  <c r="F235" i="27"/>
  <c r="G234" i="27"/>
  <c r="F234" i="27"/>
  <c r="G233" i="27"/>
  <c r="F233" i="27"/>
  <c r="G232" i="27"/>
  <c r="F232" i="27"/>
  <c r="G231" i="27"/>
  <c r="F231" i="27"/>
  <c r="G230" i="27"/>
  <c r="F230" i="27"/>
  <c r="G229" i="27"/>
  <c r="F229" i="27"/>
  <c r="G228" i="27"/>
  <c r="F228" i="27"/>
  <c r="G227" i="27"/>
  <c r="F227" i="27"/>
  <c r="G226" i="27"/>
  <c r="F226" i="27"/>
  <c r="G225" i="27"/>
  <c r="F225" i="27"/>
  <c r="G224" i="27"/>
  <c r="F224" i="27"/>
  <c r="G223" i="27"/>
  <c r="F223" i="27"/>
  <c r="G222" i="27"/>
  <c r="F222" i="27"/>
  <c r="G221" i="27"/>
  <c r="F221" i="27"/>
  <c r="G220" i="27"/>
  <c r="F220" i="27"/>
  <c r="G219" i="27"/>
  <c r="F219" i="27"/>
  <c r="G218" i="27"/>
  <c r="F218" i="27"/>
  <c r="G217" i="27"/>
  <c r="F217" i="27"/>
  <c r="G216" i="27"/>
  <c r="F216" i="27"/>
  <c r="G215" i="27"/>
  <c r="F215" i="27"/>
  <c r="G214" i="27"/>
  <c r="F214" i="27"/>
  <c r="G213" i="27"/>
  <c r="F213" i="27"/>
  <c r="G212" i="27"/>
  <c r="F212" i="27"/>
  <c r="G211" i="27"/>
  <c r="F211" i="27"/>
  <c r="G210" i="27"/>
  <c r="F210" i="27"/>
  <c r="G209" i="27"/>
  <c r="F209" i="27"/>
  <c r="G208" i="27"/>
  <c r="F208" i="27"/>
  <c r="G207" i="27"/>
  <c r="F207" i="27"/>
  <c r="G206" i="27"/>
  <c r="F206" i="27"/>
  <c r="G205" i="27"/>
  <c r="F205" i="27"/>
  <c r="G204" i="27"/>
  <c r="F204" i="27"/>
  <c r="G203" i="27"/>
  <c r="F203" i="27"/>
  <c r="G202" i="27"/>
  <c r="F202" i="27"/>
  <c r="G201" i="27"/>
  <c r="F201" i="27"/>
  <c r="G200" i="27"/>
  <c r="F200" i="27"/>
  <c r="G199" i="27"/>
  <c r="F199" i="27"/>
  <c r="G198" i="27"/>
  <c r="F198" i="27"/>
  <c r="G197" i="27"/>
  <c r="F197" i="27"/>
  <c r="G196" i="27"/>
  <c r="F196" i="27"/>
  <c r="G195" i="27"/>
  <c r="F195" i="27"/>
  <c r="G194" i="27"/>
  <c r="F194" i="27"/>
  <c r="G193" i="27"/>
  <c r="F193" i="27"/>
  <c r="G192" i="27"/>
  <c r="F192" i="27"/>
  <c r="G191" i="27"/>
  <c r="F191" i="27"/>
  <c r="G190" i="27"/>
  <c r="F190" i="27"/>
  <c r="G189" i="27"/>
  <c r="F189" i="27"/>
  <c r="G188" i="27"/>
  <c r="F188" i="27"/>
  <c r="G187" i="27"/>
  <c r="F187" i="27"/>
  <c r="G186" i="27"/>
  <c r="F186" i="27"/>
  <c r="G185" i="27"/>
  <c r="F185" i="27"/>
  <c r="G184" i="27"/>
  <c r="F184" i="27"/>
  <c r="G183" i="27"/>
  <c r="F183" i="27"/>
  <c r="G182" i="27"/>
  <c r="F182" i="27"/>
  <c r="G181" i="27"/>
  <c r="F181" i="27"/>
  <c r="N180" i="27"/>
  <c r="M180" i="27"/>
  <c r="M148" i="27" s="1"/>
  <c r="L180" i="27"/>
  <c r="J180" i="27"/>
  <c r="I180" i="27"/>
  <c r="I148" i="27" s="1"/>
  <c r="G180" i="27"/>
  <c r="F180" i="27"/>
  <c r="N179" i="27"/>
  <c r="O179" i="27" s="1"/>
  <c r="O143" i="27" s="1"/>
  <c r="M179" i="27"/>
  <c r="L179" i="27"/>
  <c r="J179" i="27"/>
  <c r="J143" i="27" s="1"/>
  <c r="G179" i="27"/>
  <c r="F179" i="27"/>
  <c r="N178" i="27"/>
  <c r="N149" i="27" s="1"/>
  <c r="M178" i="27"/>
  <c r="M149" i="27" s="1"/>
  <c r="L178" i="27"/>
  <c r="L149" i="27" s="1"/>
  <c r="J178" i="27"/>
  <c r="I178" i="27"/>
  <c r="G178" i="27"/>
  <c r="F178" i="27"/>
  <c r="N177" i="27"/>
  <c r="O177" i="27" s="1"/>
  <c r="O146" i="27" s="1"/>
  <c r="M177" i="27"/>
  <c r="M146" i="27" s="1"/>
  <c r="L177" i="27"/>
  <c r="L146" i="27" s="1"/>
  <c r="J177" i="27"/>
  <c r="J146" i="27" s="1"/>
  <c r="I177" i="27"/>
  <c r="I146" i="27" s="1"/>
  <c r="G177" i="27"/>
  <c r="F177" i="27"/>
  <c r="N176" i="27"/>
  <c r="M176" i="27"/>
  <c r="P176" i="27" s="1"/>
  <c r="P147" i="27" s="1"/>
  <c r="L176" i="27"/>
  <c r="L147" i="27" s="1"/>
  <c r="J176" i="27"/>
  <c r="G176" i="27"/>
  <c r="F176" i="27"/>
  <c r="Q175" i="27"/>
  <c r="Q144" i="27" s="1"/>
  <c r="N175" i="27"/>
  <c r="M175" i="27"/>
  <c r="M144" i="27" s="1"/>
  <c r="L175" i="27"/>
  <c r="L144" i="27" s="1"/>
  <c r="J175" i="27"/>
  <c r="J144" i="27" s="1"/>
  <c r="G175" i="27"/>
  <c r="F175" i="27"/>
  <c r="N174" i="27"/>
  <c r="M174" i="27"/>
  <c r="L174" i="27"/>
  <c r="J174" i="27"/>
  <c r="G174" i="27"/>
  <c r="F174" i="27"/>
  <c r="N173" i="27"/>
  <c r="P173" i="27" s="1"/>
  <c r="P145" i="27" s="1"/>
  <c r="M173" i="27"/>
  <c r="M145" i="27" s="1"/>
  <c r="L173" i="27"/>
  <c r="J173" i="27"/>
  <c r="J145" i="27" s="1"/>
  <c r="G173" i="27"/>
  <c r="F173" i="27"/>
  <c r="J172" i="27"/>
  <c r="G172" i="27"/>
  <c r="F172" i="27"/>
  <c r="G171" i="27"/>
  <c r="F171" i="27"/>
  <c r="G170" i="27"/>
  <c r="F170" i="27"/>
  <c r="G169" i="27"/>
  <c r="F169" i="27"/>
  <c r="G168" i="27"/>
  <c r="F168" i="27"/>
  <c r="G167" i="27"/>
  <c r="F167" i="27"/>
  <c r="G166" i="27"/>
  <c r="F166" i="27"/>
  <c r="G165" i="27"/>
  <c r="F165" i="27"/>
  <c r="G164" i="27"/>
  <c r="F164" i="27"/>
  <c r="G163" i="27"/>
  <c r="F163" i="27"/>
  <c r="G162" i="27"/>
  <c r="F162" i="27"/>
  <c r="G161" i="27"/>
  <c r="F161" i="27"/>
  <c r="G160" i="27"/>
  <c r="F160" i="27"/>
  <c r="G159" i="27"/>
  <c r="F159" i="27"/>
  <c r="G158" i="27"/>
  <c r="F158" i="27"/>
  <c r="G157" i="27"/>
  <c r="F157" i="27"/>
  <c r="G156" i="27"/>
  <c r="F156" i="27"/>
  <c r="G155" i="27"/>
  <c r="F155" i="27"/>
  <c r="G154" i="27"/>
  <c r="F154" i="27"/>
  <c r="G153" i="27"/>
  <c r="F153" i="27"/>
  <c r="G152" i="27"/>
  <c r="F152" i="27"/>
  <c r="G151" i="27"/>
  <c r="F151" i="27"/>
  <c r="G150" i="27"/>
  <c r="F150" i="27"/>
  <c r="J149" i="27"/>
  <c r="I149" i="27"/>
  <c r="G149" i="27"/>
  <c r="F149" i="27"/>
  <c r="L148" i="27"/>
  <c r="J148" i="27"/>
  <c r="G148" i="27"/>
  <c r="F148" i="27"/>
  <c r="N147" i="27"/>
  <c r="M147" i="27"/>
  <c r="J147" i="27"/>
  <c r="I147" i="27"/>
  <c r="G147" i="27"/>
  <c r="F147" i="27"/>
  <c r="G146" i="27"/>
  <c r="F146" i="27"/>
  <c r="I145" i="27"/>
  <c r="G145" i="27"/>
  <c r="F145" i="27"/>
  <c r="I144" i="27"/>
  <c r="G144" i="27"/>
  <c r="F144" i="27"/>
  <c r="M143" i="27"/>
  <c r="I143" i="27"/>
  <c r="G143" i="27"/>
  <c r="F143" i="27"/>
  <c r="M142" i="27"/>
  <c r="L142" i="27"/>
  <c r="J142" i="27"/>
  <c r="I142" i="27"/>
  <c r="G142" i="27"/>
  <c r="F142" i="27"/>
  <c r="J141" i="27"/>
  <c r="I141" i="27"/>
  <c r="G141" i="27"/>
  <c r="F141" i="27"/>
  <c r="I140" i="27"/>
  <c r="G140" i="27"/>
  <c r="F140" i="27"/>
  <c r="I139" i="27"/>
  <c r="G139" i="27"/>
  <c r="F139" i="27"/>
  <c r="J138" i="27"/>
  <c r="I138" i="27"/>
  <c r="G138" i="27"/>
  <c r="F138" i="27"/>
  <c r="I137" i="27"/>
  <c r="G137" i="27"/>
  <c r="F137" i="27"/>
  <c r="L136" i="27"/>
  <c r="J136" i="27"/>
  <c r="I136" i="27"/>
  <c r="G136" i="27"/>
  <c r="F136" i="27"/>
  <c r="I135" i="27"/>
  <c r="G135" i="27"/>
  <c r="F135" i="27"/>
  <c r="I134" i="27"/>
  <c r="G134" i="27"/>
  <c r="F134" i="27"/>
  <c r="I133" i="27"/>
  <c r="G133" i="27"/>
  <c r="F133" i="27"/>
  <c r="J132" i="27"/>
  <c r="I132" i="27"/>
  <c r="G132" i="27"/>
  <c r="F132" i="27"/>
  <c r="N131" i="27"/>
  <c r="M131" i="27"/>
  <c r="L131" i="27"/>
  <c r="J131" i="27"/>
  <c r="G131" i="27"/>
  <c r="F131" i="27"/>
  <c r="G130" i="27"/>
  <c r="F130" i="27"/>
  <c r="N129" i="27"/>
  <c r="Q129" i="27" s="1"/>
  <c r="Q137" i="27" s="1"/>
  <c r="M129" i="27"/>
  <c r="M137" i="27" s="1"/>
  <c r="L129" i="27"/>
  <c r="L137" i="27" s="1"/>
  <c r="J129" i="27"/>
  <c r="J137" i="27" s="1"/>
  <c r="G129" i="27"/>
  <c r="F129" i="27"/>
  <c r="N128" i="27"/>
  <c r="M128" i="27"/>
  <c r="M139" i="27" s="1"/>
  <c r="L128" i="27"/>
  <c r="L139" i="27" s="1"/>
  <c r="J128" i="27"/>
  <c r="J139" i="27" s="1"/>
  <c r="G128" i="27"/>
  <c r="F128" i="27"/>
  <c r="Q127" i="27"/>
  <c r="Q140" i="27" s="1"/>
  <c r="N127" i="27"/>
  <c r="N140" i="27" s="1"/>
  <c r="M127" i="27"/>
  <c r="M140" i="27" s="1"/>
  <c r="L127" i="27"/>
  <c r="L140" i="27" s="1"/>
  <c r="J127" i="27"/>
  <c r="J140" i="27" s="1"/>
  <c r="G127" i="27"/>
  <c r="F127" i="27"/>
  <c r="N126" i="27"/>
  <c r="M126" i="27"/>
  <c r="M132" i="27" s="1"/>
  <c r="L126" i="27"/>
  <c r="L132" i="27" s="1"/>
  <c r="J126" i="27"/>
  <c r="G126" i="27"/>
  <c r="F126" i="27"/>
  <c r="N125" i="27"/>
  <c r="O125" i="27" s="1"/>
  <c r="O135" i="27" s="1"/>
  <c r="M125" i="27"/>
  <c r="M135" i="27" s="1"/>
  <c r="L125" i="27"/>
  <c r="L135" i="27" s="1"/>
  <c r="J125" i="27"/>
  <c r="J135" i="27" s="1"/>
  <c r="G125" i="27"/>
  <c r="F125" i="27"/>
  <c r="N124" i="27"/>
  <c r="M124" i="27"/>
  <c r="M138" i="27" s="1"/>
  <c r="L124" i="27"/>
  <c r="L138" i="27" s="1"/>
  <c r="J124" i="27"/>
  <c r="G124" i="27"/>
  <c r="F124" i="27"/>
  <c r="N123" i="27"/>
  <c r="N136" i="27" s="1"/>
  <c r="M123" i="27"/>
  <c r="M136" i="27" s="1"/>
  <c r="L123" i="27"/>
  <c r="J123" i="27"/>
  <c r="G123" i="27"/>
  <c r="F123" i="27"/>
  <c r="N122" i="27"/>
  <c r="M122" i="27"/>
  <c r="M134" i="27" s="1"/>
  <c r="L122" i="27"/>
  <c r="L134" i="27" s="1"/>
  <c r="J122" i="27"/>
  <c r="J134" i="27" s="1"/>
  <c r="G122" i="27"/>
  <c r="F122" i="27"/>
  <c r="N121" i="27"/>
  <c r="M121" i="27"/>
  <c r="M133" i="27" s="1"/>
  <c r="L121" i="27"/>
  <c r="L133" i="27" s="1"/>
  <c r="J121" i="27"/>
  <c r="J133" i="27" s="1"/>
  <c r="G121" i="27"/>
  <c r="F121" i="27"/>
  <c r="E120" i="27"/>
  <c r="D120" i="27"/>
  <c r="C120" i="27"/>
  <c r="M172" i="27" s="1"/>
  <c r="M141" i="27" s="1"/>
  <c r="B120" i="27"/>
  <c r="L172" i="27" s="1"/>
  <c r="L141" i="27" s="1"/>
  <c r="G119" i="27"/>
  <c r="F119" i="27"/>
  <c r="G118" i="27"/>
  <c r="F118" i="27"/>
  <c r="G117" i="27"/>
  <c r="F117" i="27"/>
  <c r="G116" i="27"/>
  <c r="F116" i="27"/>
  <c r="G115" i="27"/>
  <c r="F115" i="27"/>
  <c r="G114" i="27"/>
  <c r="F114" i="27"/>
  <c r="G113" i="27"/>
  <c r="F113" i="27"/>
  <c r="G112" i="27"/>
  <c r="F112" i="27"/>
  <c r="G111" i="27"/>
  <c r="F111" i="27"/>
  <c r="G110" i="27"/>
  <c r="F110" i="27"/>
  <c r="G109" i="27"/>
  <c r="F109" i="27"/>
  <c r="G108" i="27"/>
  <c r="F108" i="27"/>
  <c r="G107" i="27"/>
  <c r="F107" i="27"/>
  <c r="G106" i="27"/>
  <c r="F106" i="27"/>
  <c r="G105" i="27"/>
  <c r="F105" i="27"/>
  <c r="G104" i="27"/>
  <c r="F104" i="27"/>
  <c r="G103" i="27"/>
  <c r="F103" i="27"/>
  <c r="G102" i="27"/>
  <c r="F102" i="27"/>
  <c r="G101" i="27"/>
  <c r="F101" i="27"/>
  <c r="G100" i="27"/>
  <c r="F100" i="27"/>
  <c r="G99" i="27"/>
  <c r="F99" i="27"/>
  <c r="G98" i="27"/>
  <c r="F98" i="27"/>
  <c r="G97" i="27"/>
  <c r="F97" i="27"/>
  <c r="G96" i="27"/>
  <c r="F96" i="27"/>
  <c r="G95" i="27"/>
  <c r="F95" i="27"/>
  <c r="G94" i="27"/>
  <c r="F94" i="27"/>
  <c r="G93" i="27"/>
  <c r="F93" i="27"/>
  <c r="G92" i="27"/>
  <c r="F92" i="27"/>
  <c r="G91" i="27"/>
  <c r="F91" i="27"/>
  <c r="G90" i="27"/>
  <c r="F90" i="27"/>
  <c r="G89" i="27"/>
  <c r="F89" i="27"/>
  <c r="G88" i="27"/>
  <c r="F88" i="27"/>
  <c r="G87" i="27"/>
  <c r="F87" i="27"/>
  <c r="G86" i="27"/>
  <c r="F86" i="27"/>
  <c r="G85" i="27"/>
  <c r="F85" i="27"/>
  <c r="G84" i="27"/>
  <c r="F84" i="27"/>
  <c r="G83" i="27"/>
  <c r="F83" i="27"/>
  <c r="G82" i="27"/>
  <c r="F82" i="27"/>
  <c r="G81" i="27"/>
  <c r="F81" i="27"/>
  <c r="G80" i="27"/>
  <c r="F80" i="27"/>
  <c r="G79" i="27"/>
  <c r="F79" i="27"/>
  <c r="G78" i="27"/>
  <c r="F78" i="27"/>
  <c r="G77" i="27"/>
  <c r="F77" i="27"/>
  <c r="G76" i="27"/>
  <c r="F76" i="27"/>
  <c r="G75" i="27"/>
  <c r="F75" i="27"/>
  <c r="G74" i="27"/>
  <c r="F74" i="27"/>
  <c r="G73" i="27"/>
  <c r="F73" i="27"/>
  <c r="G72" i="27"/>
  <c r="F72" i="27"/>
  <c r="G71" i="27"/>
  <c r="F71" i="27"/>
  <c r="G70" i="27"/>
  <c r="F70" i="27"/>
  <c r="G69" i="27"/>
  <c r="F69" i="27"/>
  <c r="G68" i="27"/>
  <c r="F68" i="27"/>
  <c r="G67" i="27"/>
  <c r="F67" i="27"/>
  <c r="G66" i="27"/>
  <c r="F66" i="27"/>
  <c r="G65" i="27"/>
  <c r="F65" i="27"/>
  <c r="G64" i="27"/>
  <c r="F64" i="27"/>
  <c r="G63" i="27"/>
  <c r="F63" i="27"/>
  <c r="G62" i="27"/>
  <c r="F62" i="27"/>
  <c r="G61" i="27"/>
  <c r="F61" i="27"/>
  <c r="F60" i="27"/>
  <c r="G59" i="27"/>
  <c r="F59" i="27"/>
  <c r="G58" i="27"/>
  <c r="F58" i="27"/>
  <c r="G57" i="27"/>
  <c r="F57" i="27"/>
  <c r="G56" i="27"/>
  <c r="F56" i="27"/>
  <c r="G55" i="27"/>
  <c r="F55" i="27"/>
  <c r="G54" i="27"/>
  <c r="F54" i="27"/>
  <c r="G53" i="27"/>
  <c r="F53" i="27"/>
  <c r="G52" i="27"/>
  <c r="F52" i="27"/>
  <c r="G51" i="27"/>
  <c r="F51" i="27"/>
  <c r="G50" i="27"/>
  <c r="F50" i="27"/>
  <c r="G49" i="27"/>
  <c r="F49" i="27"/>
  <c r="G48" i="27"/>
  <c r="F48" i="27"/>
  <c r="G47" i="27"/>
  <c r="F47" i="27"/>
  <c r="G46" i="27"/>
  <c r="F46" i="27"/>
  <c r="F45" i="27"/>
  <c r="G44" i="27"/>
  <c r="F44" i="27"/>
  <c r="G43" i="27"/>
  <c r="F43" i="27"/>
  <c r="G42" i="27"/>
  <c r="F42" i="27"/>
  <c r="G41" i="27"/>
  <c r="F41" i="27"/>
  <c r="G40" i="27"/>
  <c r="F40" i="27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2" i="27"/>
  <c r="F32" i="27"/>
  <c r="G31" i="27"/>
  <c r="F31" i="27"/>
  <c r="G30" i="27"/>
  <c r="F30" i="27"/>
  <c r="G29" i="27"/>
  <c r="F29" i="27"/>
  <c r="G28" i="27"/>
  <c r="F28" i="27"/>
  <c r="G27" i="27"/>
  <c r="F27" i="27"/>
  <c r="G26" i="27"/>
  <c r="F26" i="27"/>
  <c r="G25" i="27"/>
  <c r="F25" i="27"/>
  <c r="G24" i="27"/>
  <c r="F24" i="27"/>
  <c r="G23" i="27"/>
  <c r="F23" i="27"/>
  <c r="G22" i="27"/>
  <c r="F22" i="27"/>
  <c r="G21" i="27"/>
  <c r="F21" i="27"/>
  <c r="G20" i="27"/>
  <c r="F20" i="27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1" i="27"/>
  <c r="F11" i="27"/>
  <c r="G10" i="27"/>
  <c r="F10" i="27"/>
  <c r="G9" i="27"/>
  <c r="F9" i="27"/>
  <c r="G8" i="27"/>
  <c r="F8" i="27"/>
  <c r="G7" i="27"/>
  <c r="F7" i="27"/>
  <c r="J11" i="24"/>
  <c r="K11" i="24"/>
  <c r="L11" i="24"/>
  <c r="J12" i="24"/>
  <c r="K12" i="24"/>
  <c r="L12" i="24"/>
  <c r="J13" i="24"/>
  <c r="K13" i="24"/>
  <c r="L13" i="24"/>
  <c r="J14" i="24"/>
  <c r="K14" i="24"/>
  <c r="L14" i="24"/>
  <c r="J15" i="24"/>
  <c r="K15" i="24"/>
  <c r="L15" i="24"/>
  <c r="J16" i="24"/>
  <c r="K16" i="24"/>
  <c r="L16" i="24"/>
  <c r="J20" i="24"/>
  <c r="K20" i="24"/>
  <c r="L20" i="24"/>
  <c r="J24" i="24"/>
  <c r="K24" i="24"/>
  <c r="L24" i="24"/>
  <c r="J25" i="24"/>
  <c r="K25" i="24"/>
  <c r="L25" i="24"/>
  <c r="O3" i="25"/>
  <c r="P3" i="25"/>
  <c r="H32" i="28" l="1"/>
  <c r="E33" i="28"/>
  <c r="H39" i="28"/>
  <c r="H34" i="28"/>
  <c r="F34" i="28"/>
  <c r="G32" i="28"/>
  <c r="G33" i="28"/>
  <c r="F33" i="28"/>
  <c r="H37" i="28"/>
  <c r="E37" i="28"/>
  <c r="F37" i="28"/>
  <c r="C23" i="31"/>
  <c r="C33" i="30"/>
  <c r="C21" i="31"/>
  <c r="H36" i="28"/>
  <c r="H33" i="28"/>
  <c r="E31" i="30"/>
  <c r="E36" i="28"/>
  <c r="C31" i="30"/>
  <c r="E23" i="31"/>
  <c r="F23" i="31" s="1"/>
  <c r="G38" i="28"/>
  <c r="G39" i="28"/>
  <c r="F39" i="28"/>
  <c r="E39" i="28"/>
  <c r="G37" i="28"/>
  <c r="H38" i="28"/>
  <c r="E33" i="30"/>
  <c r="F33" i="30" s="1"/>
  <c r="E34" i="28"/>
  <c r="E21" i="31"/>
  <c r="E35" i="31"/>
  <c r="P121" i="27"/>
  <c r="P133" i="27" s="1"/>
  <c r="F120" i="27"/>
  <c r="O123" i="27"/>
  <c r="O136" i="27" s="1"/>
  <c r="O173" i="27"/>
  <c r="O145" i="27" s="1"/>
  <c r="P178" i="27"/>
  <c r="P149" i="27" s="1"/>
  <c r="P179" i="27"/>
  <c r="P143" i="27" s="1"/>
  <c r="N137" i="27"/>
  <c r="N143" i="27"/>
  <c r="Q123" i="27"/>
  <c r="Q136" i="27" s="1"/>
  <c r="N145" i="27"/>
  <c r="N134" i="27"/>
  <c r="O122" i="27"/>
  <c r="O134" i="27" s="1"/>
  <c r="P180" i="27"/>
  <c r="P148" i="27" s="1"/>
  <c r="N148" i="27"/>
  <c r="O180" i="27"/>
  <c r="O148" i="27" s="1"/>
  <c r="N138" i="27"/>
  <c r="Q124" i="27"/>
  <c r="Q138" i="27" s="1"/>
  <c r="N132" i="27"/>
  <c r="O126" i="27"/>
  <c r="O132" i="27" s="1"/>
  <c r="L143" i="27"/>
  <c r="Q179" i="27"/>
  <c r="Q143" i="27" s="1"/>
  <c r="Q180" i="27"/>
  <c r="Q148" i="27" s="1"/>
  <c r="F310" i="27"/>
  <c r="Q121" i="27"/>
  <c r="Q133" i="27" s="1"/>
  <c r="Q122" i="27"/>
  <c r="Q134" i="27" s="1"/>
  <c r="P123" i="27"/>
  <c r="P136" i="27" s="1"/>
  <c r="O124" i="27"/>
  <c r="O138" i="27" s="1"/>
  <c r="P126" i="27"/>
  <c r="P132" i="27" s="1"/>
  <c r="O127" i="27"/>
  <c r="O140" i="27" s="1"/>
  <c r="Q128" i="27"/>
  <c r="Q139" i="27" s="1"/>
  <c r="P128" i="27"/>
  <c r="P139" i="27" s="1"/>
  <c r="N133" i="27"/>
  <c r="N139" i="27"/>
  <c r="L145" i="27"/>
  <c r="Q173" i="27"/>
  <c r="Q145" i="27" s="1"/>
  <c r="O176" i="27"/>
  <c r="O147" i="27" s="1"/>
  <c r="G120" i="27"/>
  <c r="N172" i="27"/>
  <c r="Q174" i="27"/>
  <c r="Q142" i="27" s="1"/>
  <c r="N142" i="27"/>
  <c r="P174" i="27"/>
  <c r="P142" i="27" s="1"/>
  <c r="Q176" i="27"/>
  <c r="Q147" i="27" s="1"/>
  <c r="O121" i="27"/>
  <c r="O133" i="27" s="1"/>
  <c r="P122" i="27"/>
  <c r="P134" i="27" s="1"/>
  <c r="P125" i="27"/>
  <c r="P135" i="27" s="1"/>
  <c r="P129" i="27"/>
  <c r="P137" i="27" s="1"/>
  <c r="O129" i="27"/>
  <c r="O137" i="27" s="1"/>
  <c r="O174" i="27"/>
  <c r="O142" i="27" s="1"/>
  <c r="Q178" i="27"/>
  <c r="Q149" i="27" s="1"/>
  <c r="P124" i="27"/>
  <c r="P138" i="27" s="1"/>
  <c r="Q125" i="27"/>
  <c r="Q135" i="27" s="1"/>
  <c r="Q126" i="27"/>
  <c r="Q132" i="27" s="1"/>
  <c r="P127" i="27"/>
  <c r="P140" i="27" s="1"/>
  <c r="O128" i="27"/>
  <c r="O139" i="27" s="1"/>
  <c r="N135" i="27"/>
  <c r="P175" i="27"/>
  <c r="P144" i="27" s="1"/>
  <c r="N144" i="27"/>
  <c r="O175" i="27"/>
  <c r="O144" i="27" s="1"/>
  <c r="Q177" i="27"/>
  <c r="Q146" i="27" s="1"/>
  <c r="N146" i="27"/>
  <c r="P177" i="27"/>
  <c r="P146" i="27" s="1"/>
  <c r="O178" i="27"/>
  <c r="O149" i="27" s="1"/>
  <c r="L276" i="27"/>
  <c r="G310" i="27"/>
  <c r="P4" i="25"/>
  <c r="C30" i="23"/>
  <c r="O172" i="27" l="1"/>
  <c r="O141" i="27" s="1"/>
  <c r="N141" i="27"/>
  <c r="Q172" i="27"/>
  <c r="Q141" i="27" s="1"/>
  <c r="P172" i="27"/>
  <c r="P141" i="27" s="1"/>
  <c r="H7" i="12"/>
  <c r="H6" i="12"/>
  <c r="I7" i="12"/>
  <c r="I6" i="12"/>
  <c r="D309" i="24" l="1"/>
  <c r="E309" i="24"/>
  <c r="C309" i="24"/>
  <c r="I148" i="24"/>
  <c r="I146" i="24"/>
  <c r="I144" i="24"/>
  <c r="I143" i="24"/>
  <c r="I142" i="24"/>
  <c r="I141" i="24"/>
  <c r="I140" i="24"/>
  <c r="L179" i="24"/>
  <c r="L147" i="24" s="1"/>
  <c r="M179" i="24"/>
  <c r="M147" i="24" s="1"/>
  <c r="K179" i="24"/>
  <c r="K147" i="24" s="1"/>
  <c r="K178" i="24"/>
  <c r="P178" i="24" s="1"/>
  <c r="P142" i="24" s="1"/>
  <c r="I179" i="24"/>
  <c r="I147" i="24" s="1"/>
  <c r="L178" i="24"/>
  <c r="M178" i="24"/>
  <c r="L177" i="24"/>
  <c r="M177" i="24"/>
  <c r="M148" i="24" s="1"/>
  <c r="K177" i="24"/>
  <c r="I177" i="24"/>
  <c r="L176" i="24"/>
  <c r="M176" i="24"/>
  <c r="M145" i="24" s="1"/>
  <c r="K176" i="24"/>
  <c r="I176" i="24"/>
  <c r="I145" i="24" s="1"/>
  <c r="L175" i="24"/>
  <c r="M175" i="24"/>
  <c r="M146" i="24" s="1"/>
  <c r="K175" i="24"/>
  <c r="K146" i="24" s="1"/>
  <c r="L174" i="24"/>
  <c r="L143" i="24" s="1"/>
  <c r="M174" i="24"/>
  <c r="O174" i="24" s="1"/>
  <c r="O143" i="24" s="1"/>
  <c r="K174" i="24"/>
  <c r="K143" i="24" s="1"/>
  <c r="L173" i="24"/>
  <c r="L141" i="24" s="1"/>
  <c r="M173" i="24"/>
  <c r="K173" i="24"/>
  <c r="P173" i="24" s="1"/>
  <c r="P141" i="24" s="1"/>
  <c r="L172" i="24"/>
  <c r="L144" i="24" s="1"/>
  <c r="M172" i="24"/>
  <c r="K172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I275" i="24"/>
  <c r="H275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I139" i="24"/>
  <c r="G139" i="24"/>
  <c r="F139" i="24"/>
  <c r="I138" i="24"/>
  <c r="G138" i="24"/>
  <c r="F138" i="24"/>
  <c r="I137" i="24"/>
  <c r="G137" i="24"/>
  <c r="F137" i="24"/>
  <c r="I136" i="24"/>
  <c r="G136" i="24"/>
  <c r="F136" i="24"/>
  <c r="I135" i="24"/>
  <c r="G135" i="24"/>
  <c r="F135" i="24"/>
  <c r="I134" i="24"/>
  <c r="G134" i="24"/>
  <c r="F134" i="24"/>
  <c r="I133" i="24"/>
  <c r="G133" i="24"/>
  <c r="F133" i="24"/>
  <c r="I132" i="24"/>
  <c r="G132" i="24"/>
  <c r="F132" i="24"/>
  <c r="I131" i="24"/>
  <c r="G131" i="24"/>
  <c r="F131" i="24"/>
  <c r="M130" i="24"/>
  <c r="L130" i="24"/>
  <c r="K130" i="24"/>
  <c r="G130" i="24"/>
  <c r="F130" i="24"/>
  <c r="G129" i="24"/>
  <c r="F129" i="24"/>
  <c r="M128" i="24"/>
  <c r="M136" i="24" s="1"/>
  <c r="L128" i="24"/>
  <c r="L136" i="24" s="1"/>
  <c r="K128" i="24"/>
  <c r="K136" i="24" s="1"/>
  <c r="G128" i="24"/>
  <c r="F128" i="24"/>
  <c r="M127" i="24"/>
  <c r="L127" i="24"/>
  <c r="L138" i="24" s="1"/>
  <c r="K127" i="24"/>
  <c r="K138" i="24" s="1"/>
  <c r="G127" i="24"/>
  <c r="F127" i="24"/>
  <c r="M126" i="24"/>
  <c r="L126" i="24"/>
  <c r="L139" i="24" s="1"/>
  <c r="K126" i="24"/>
  <c r="G126" i="24"/>
  <c r="F126" i="24"/>
  <c r="M125" i="24"/>
  <c r="L125" i="24"/>
  <c r="L131" i="24" s="1"/>
  <c r="K125" i="24"/>
  <c r="G125" i="24"/>
  <c r="F125" i="24"/>
  <c r="M124" i="24"/>
  <c r="L124" i="24"/>
  <c r="L134" i="24" s="1"/>
  <c r="K124" i="24"/>
  <c r="K134" i="24" s="1"/>
  <c r="G124" i="24"/>
  <c r="F124" i="24"/>
  <c r="M123" i="24"/>
  <c r="M137" i="24" s="1"/>
  <c r="L123" i="24"/>
  <c r="L137" i="24" s="1"/>
  <c r="K123" i="24"/>
  <c r="K137" i="24" s="1"/>
  <c r="G123" i="24"/>
  <c r="F123" i="24"/>
  <c r="M122" i="24"/>
  <c r="L122" i="24"/>
  <c r="L135" i="24" s="1"/>
  <c r="K122" i="24"/>
  <c r="G122" i="24"/>
  <c r="F122" i="24"/>
  <c r="M121" i="24"/>
  <c r="L121" i="24"/>
  <c r="L133" i="24" s="1"/>
  <c r="K121" i="24"/>
  <c r="K133" i="24" s="1"/>
  <c r="G121" i="24"/>
  <c r="F121" i="24"/>
  <c r="M120" i="24"/>
  <c r="M132" i="24" s="1"/>
  <c r="L120" i="24"/>
  <c r="L132" i="24" s="1"/>
  <c r="K120" i="24"/>
  <c r="K132" i="24" s="1"/>
  <c r="G120" i="24"/>
  <c r="F120" i="24"/>
  <c r="E119" i="24"/>
  <c r="D119" i="24"/>
  <c r="M171" i="24" s="1"/>
  <c r="C119" i="24"/>
  <c r="B119" i="24"/>
  <c r="K171" i="24" s="1"/>
  <c r="K140" i="24" s="1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M131" i="22"/>
  <c r="N131" i="22"/>
  <c r="O131" i="22"/>
  <c r="M132" i="22"/>
  <c r="N132" i="22"/>
  <c r="O132" i="22"/>
  <c r="M133" i="22"/>
  <c r="N133" i="22"/>
  <c r="O133" i="22"/>
  <c r="M134" i="22"/>
  <c r="N134" i="22"/>
  <c r="O134" i="22"/>
  <c r="M135" i="22"/>
  <c r="N135" i="22"/>
  <c r="O135" i="22"/>
  <c r="M136" i="22"/>
  <c r="N136" i="22"/>
  <c r="O136" i="22"/>
  <c r="M137" i="22"/>
  <c r="N137" i="22"/>
  <c r="O137" i="22"/>
  <c r="M138" i="22"/>
  <c r="N138" i="22"/>
  <c r="O138" i="22"/>
  <c r="M139" i="22"/>
  <c r="N139" i="22"/>
  <c r="O139" i="22"/>
  <c r="J139" i="22"/>
  <c r="K139" i="22"/>
  <c r="L139" i="22"/>
  <c r="I139" i="22"/>
  <c r="J138" i="22"/>
  <c r="K138" i="22"/>
  <c r="L138" i="22"/>
  <c r="I138" i="22"/>
  <c r="J137" i="22"/>
  <c r="K137" i="22"/>
  <c r="L137" i="22"/>
  <c r="I137" i="22"/>
  <c r="J136" i="22"/>
  <c r="K136" i="22"/>
  <c r="L136" i="22"/>
  <c r="I136" i="22"/>
  <c r="J135" i="22"/>
  <c r="K135" i="22"/>
  <c r="L135" i="22"/>
  <c r="I135" i="22"/>
  <c r="J134" i="22"/>
  <c r="K134" i="22"/>
  <c r="L134" i="22"/>
  <c r="I134" i="22"/>
  <c r="J133" i="22"/>
  <c r="K133" i="22"/>
  <c r="L133" i="22"/>
  <c r="I133" i="22"/>
  <c r="K132" i="22"/>
  <c r="L132" i="22"/>
  <c r="J132" i="22"/>
  <c r="I132" i="22"/>
  <c r="K131" i="22"/>
  <c r="L131" i="22"/>
  <c r="J131" i="22"/>
  <c r="I131" i="22"/>
  <c r="K130" i="22"/>
  <c r="L130" i="22"/>
  <c r="J130" i="22"/>
  <c r="O121" i="22"/>
  <c r="O122" i="22"/>
  <c r="O123" i="22"/>
  <c r="O124" i="22"/>
  <c r="O125" i="22"/>
  <c r="O126" i="22"/>
  <c r="O127" i="22"/>
  <c r="O128" i="22"/>
  <c r="O120" i="22"/>
  <c r="N121" i="22"/>
  <c r="N122" i="22"/>
  <c r="N123" i="22"/>
  <c r="N124" i="22"/>
  <c r="N125" i="22"/>
  <c r="N126" i="22"/>
  <c r="N127" i="22"/>
  <c r="N128" i="22"/>
  <c r="N120" i="22"/>
  <c r="M128" i="22"/>
  <c r="K128" i="22"/>
  <c r="L128" i="22"/>
  <c r="J128" i="22"/>
  <c r="M121" i="22"/>
  <c r="M122" i="22"/>
  <c r="M123" i="22"/>
  <c r="M124" i="22"/>
  <c r="M125" i="22"/>
  <c r="M126" i="22"/>
  <c r="M127" i="22"/>
  <c r="M120" i="22"/>
  <c r="B48" i="21"/>
  <c r="A48" i="21"/>
  <c r="K127" i="22"/>
  <c r="L127" i="22"/>
  <c r="J127" i="22"/>
  <c r="K126" i="22"/>
  <c r="L126" i="22"/>
  <c r="J126" i="22"/>
  <c r="K125" i="22"/>
  <c r="L125" i="22"/>
  <c r="K124" i="22"/>
  <c r="L124" i="22"/>
  <c r="J125" i="22"/>
  <c r="J124" i="22"/>
  <c r="K123" i="22"/>
  <c r="L123" i="22"/>
  <c r="J123" i="22"/>
  <c r="K122" i="22"/>
  <c r="L122" i="22"/>
  <c r="J122" i="22"/>
  <c r="K121" i="22"/>
  <c r="L121" i="22"/>
  <c r="J121" i="22"/>
  <c r="K120" i="22"/>
  <c r="L120" i="22"/>
  <c r="J120" i="22"/>
  <c r="B119" i="22"/>
  <c r="J11" i="22"/>
  <c r="K11" i="22"/>
  <c r="J12" i="22"/>
  <c r="K12" i="22"/>
  <c r="J13" i="22"/>
  <c r="K13" i="22"/>
  <c r="J14" i="22"/>
  <c r="K14" i="22"/>
  <c r="J15" i="22"/>
  <c r="K15" i="22"/>
  <c r="J16" i="22"/>
  <c r="K16" i="22"/>
  <c r="J20" i="22"/>
  <c r="K20" i="22"/>
  <c r="J24" i="22"/>
  <c r="K24" i="22"/>
  <c r="J25" i="22"/>
  <c r="K25" i="22"/>
  <c r="G7" i="22"/>
  <c r="E119" i="22"/>
  <c r="P179" i="24" l="1"/>
  <c r="P147" i="24" s="1"/>
  <c r="O175" i="24"/>
  <c r="O146" i="24" s="1"/>
  <c r="N177" i="24"/>
  <c r="N148" i="24" s="1"/>
  <c r="M20" i="24"/>
  <c r="O176" i="24"/>
  <c r="O145" i="24" s="1"/>
  <c r="G309" i="24"/>
  <c r="G119" i="24"/>
  <c r="O173" i="24"/>
  <c r="O141" i="24" s="1"/>
  <c r="P172" i="24"/>
  <c r="P144" i="24" s="1"/>
  <c r="N173" i="24"/>
  <c r="N141" i="24" s="1"/>
  <c r="O178" i="24"/>
  <c r="O142" i="24" s="1"/>
  <c r="N179" i="24"/>
  <c r="N147" i="24" s="1"/>
  <c r="O172" i="24"/>
  <c r="O144" i="24" s="1"/>
  <c r="P175" i="24"/>
  <c r="P146" i="24" s="1"/>
  <c r="P176" i="24"/>
  <c r="P145" i="24" s="1"/>
  <c r="P177" i="24"/>
  <c r="P148" i="24" s="1"/>
  <c r="M11" i="24"/>
  <c r="M12" i="24"/>
  <c r="M16" i="24"/>
  <c r="K275" i="24"/>
  <c r="N122" i="24"/>
  <c r="N135" i="24" s="1"/>
  <c r="N126" i="24"/>
  <c r="N139" i="24" s="1"/>
  <c r="P174" i="24"/>
  <c r="P143" i="24" s="1"/>
  <c r="K145" i="24"/>
  <c r="P125" i="24"/>
  <c r="P131" i="24" s="1"/>
  <c r="M144" i="24"/>
  <c r="F309" i="24"/>
  <c r="N124" i="24"/>
  <c r="N134" i="24" s="1"/>
  <c r="M140" i="24"/>
  <c r="P171" i="24"/>
  <c r="P140" i="24" s="1"/>
  <c r="O120" i="24"/>
  <c r="O132" i="24" s="1"/>
  <c r="O122" i="24"/>
  <c r="O135" i="24" s="1"/>
  <c r="O124" i="24"/>
  <c r="O134" i="24" s="1"/>
  <c r="O126" i="24"/>
  <c r="O139" i="24" s="1"/>
  <c r="O128" i="24"/>
  <c r="O136" i="24" s="1"/>
  <c r="N176" i="24"/>
  <c r="N145" i="24" s="1"/>
  <c r="K141" i="24"/>
  <c r="M143" i="24"/>
  <c r="L148" i="24"/>
  <c r="M24" i="24"/>
  <c r="M25" i="24"/>
  <c r="N121" i="24"/>
  <c r="N133" i="24" s="1"/>
  <c r="P122" i="24"/>
  <c r="P135" i="24" s="1"/>
  <c r="N123" i="24"/>
  <c r="N137" i="24" s="1"/>
  <c r="N125" i="24"/>
  <c r="N131" i="24" s="1"/>
  <c r="P126" i="24"/>
  <c r="P139" i="24" s="1"/>
  <c r="N127" i="24"/>
  <c r="N138" i="24" s="1"/>
  <c r="M133" i="24"/>
  <c r="M138" i="24"/>
  <c r="N174" i="24"/>
  <c r="N143" i="24" s="1"/>
  <c r="O177" i="24"/>
  <c r="O148" i="24" s="1"/>
  <c r="N178" i="24"/>
  <c r="N142" i="24" s="1"/>
  <c r="M142" i="24"/>
  <c r="K144" i="24"/>
  <c r="K148" i="24"/>
  <c r="F119" i="24"/>
  <c r="O121" i="24"/>
  <c r="O133" i="24" s="1"/>
  <c r="O123" i="24"/>
  <c r="O137" i="24" s="1"/>
  <c r="O125" i="24"/>
  <c r="O131" i="24" s="1"/>
  <c r="O127" i="24"/>
  <c r="O138" i="24" s="1"/>
  <c r="M134" i="24"/>
  <c r="N172" i="24"/>
  <c r="N144" i="24" s="1"/>
  <c r="O179" i="24"/>
  <c r="O147" i="24" s="1"/>
  <c r="M141" i="24"/>
  <c r="L142" i="24"/>
  <c r="L146" i="24"/>
  <c r="K142" i="24"/>
  <c r="M13" i="24"/>
  <c r="M15" i="24"/>
  <c r="L171" i="24"/>
  <c r="L140" i="24" s="1"/>
  <c r="L145" i="24"/>
  <c r="M14" i="24"/>
  <c r="N175" i="24"/>
  <c r="N146" i="24" s="1"/>
  <c r="K131" i="24"/>
  <c r="K135" i="24"/>
  <c r="K139" i="24"/>
  <c r="P120" i="24"/>
  <c r="P132" i="24" s="1"/>
  <c r="P121" i="24"/>
  <c r="P133" i="24" s="1"/>
  <c r="P123" i="24"/>
  <c r="P137" i="24" s="1"/>
  <c r="P124" i="24"/>
  <c r="P134" i="24" s="1"/>
  <c r="P127" i="24"/>
  <c r="P138" i="24" s="1"/>
  <c r="P128" i="24"/>
  <c r="P136" i="24" s="1"/>
  <c r="M131" i="24"/>
  <c r="M135" i="24"/>
  <c r="M139" i="24"/>
  <c r="N120" i="24"/>
  <c r="N132" i="24" s="1"/>
  <c r="N128" i="24"/>
  <c r="N136" i="24" s="1"/>
  <c r="L20" i="22"/>
  <c r="L25" i="22"/>
  <c r="L24" i="22"/>
  <c r="L16" i="22"/>
  <c r="L15" i="22"/>
  <c r="L14" i="22"/>
  <c r="L13" i="22"/>
  <c r="L12" i="22"/>
  <c r="L11" i="22"/>
  <c r="C119" i="22"/>
  <c r="D119" i="22"/>
  <c r="N171" i="24" l="1"/>
  <c r="N140" i="24" s="1"/>
  <c r="O171" i="24"/>
  <c r="O140" i="24" s="1"/>
  <c r="G119" i="22"/>
  <c r="A52" i="21"/>
  <c r="C10" i="21"/>
  <c r="B10" i="21"/>
  <c r="C21" i="21"/>
  <c r="B21" i="21"/>
  <c r="E10" i="21" l="1"/>
  <c r="D10" i="21"/>
  <c r="F12" i="13" l="1"/>
  <c r="E12" i="13"/>
  <c r="D12" i="13"/>
  <c r="C12" i="13"/>
  <c r="B12" i="13"/>
  <c r="F12" i="14"/>
  <c r="E12" i="14"/>
  <c r="D12" i="14"/>
  <c r="C12" i="14"/>
  <c r="B12" i="14"/>
  <c r="F12" i="15"/>
  <c r="E12" i="15"/>
  <c r="D12" i="15"/>
  <c r="C12" i="15"/>
  <c r="B12" i="15"/>
  <c r="F12" i="16"/>
  <c r="E12" i="16"/>
  <c r="D12" i="16"/>
  <c r="C12" i="16"/>
  <c r="B12" i="16"/>
  <c r="F12" i="17"/>
  <c r="E12" i="17"/>
  <c r="D12" i="17"/>
  <c r="C12" i="17"/>
  <c r="B12" i="17"/>
  <c r="F12" i="18"/>
  <c r="E12" i="18"/>
  <c r="D12" i="18"/>
  <c r="C12" i="18"/>
  <c r="B12" i="18"/>
  <c r="C12" i="19"/>
  <c r="D12" i="19"/>
  <c r="E12" i="19"/>
  <c r="F12" i="19"/>
  <c r="B12" i="19"/>
  <c r="C14" i="20"/>
  <c r="D14" i="20"/>
  <c r="E14" i="20"/>
  <c r="F14" i="20"/>
  <c r="B14" i="20"/>
  <c r="C9" i="14"/>
  <c r="D9" i="14"/>
  <c r="E9" i="14"/>
  <c r="F9" i="14"/>
  <c r="B9" i="14"/>
  <c r="C9" i="15"/>
  <c r="D9" i="15"/>
  <c r="E9" i="15"/>
  <c r="F9" i="15"/>
  <c r="B9" i="15"/>
  <c r="C9" i="16"/>
  <c r="D9" i="16"/>
  <c r="E9" i="16"/>
  <c r="F9" i="16"/>
  <c r="B9" i="16"/>
  <c r="C9" i="17"/>
  <c r="D9" i="17"/>
  <c r="E9" i="17"/>
  <c r="F9" i="17"/>
  <c r="B9" i="17"/>
  <c r="C9" i="18"/>
  <c r="D9" i="18"/>
  <c r="E9" i="18"/>
  <c r="F9" i="18"/>
  <c r="B9" i="18"/>
  <c r="C9" i="19"/>
  <c r="D9" i="19"/>
  <c r="E9" i="19"/>
  <c r="F9" i="19"/>
  <c r="B9" i="19"/>
  <c r="F9" i="13"/>
  <c r="E9" i="13"/>
  <c r="D9" i="13"/>
  <c r="C9" i="13"/>
  <c r="B9" i="13"/>
  <c r="C18" i="20"/>
  <c r="D18" i="20"/>
  <c r="E18" i="20"/>
  <c r="F18" i="20"/>
  <c r="B18" i="20"/>
  <c r="C44" i="23" l="1"/>
  <c r="B44" i="23"/>
  <c r="C43" i="23"/>
  <c r="B43" i="23"/>
  <c r="C42" i="23"/>
  <c r="B42" i="23"/>
  <c r="C41" i="23"/>
  <c r="B41" i="23"/>
  <c r="C40" i="23"/>
  <c r="C39" i="23"/>
  <c r="B40" i="23"/>
  <c r="B39" i="23"/>
  <c r="C38" i="23"/>
  <c r="B38" i="23"/>
  <c r="C37" i="23"/>
  <c r="C45" i="23" l="1"/>
  <c r="E45" i="23" l="1"/>
  <c r="C29" i="23"/>
  <c r="C28" i="23"/>
  <c r="C25" i="23"/>
  <c r="C26" i="23"/>
  <c r="C24" i="23"/>
  <c r="C23" i="23"/>
  <c r="C21" i="23"/>
  <c r="C22" i="23"/>
  <c r="C20" i="23"/>
  <c r="C19" i="23"/>
  <c r="C17" i="23"/>
  <c r="C16" i="23"/>
  <c r="C15" i="23"/>
  <c r="C7" i="23"/>
  <c r="E30" i="23"/>
  <c r="E29" i="23"/>
  <c r="E28" i="23"/>
  <c r="E26" i="23"/>
  <c r="E25" i="23"/>
  <c r="E24" i="23"/>
  <c r="E23" i="23"/>
  <c r="E22" i="23"/>
  <c r="E21" i="23"/>
  <c r="E20" i="23"/>
  <c r="E19" i="23"/>
  <c r="E17" i="23"/>
  <c r="E16" i="23"/>
  <c r="E15" i="23"/>
  <c r="E14" i="23"/>
  <c r="E7" i="23"/>
  <c r="F12" i="9"/>
  <c r="D12" i="9"/>
  <c r="F10" i="9"/>
  <c r="D10" i="9"/>
  <c r="F8" i="6"/>
  <c r="D8" i="6"/>
  <c r="X94" i="3"/>
  <c r="X92" i="3"/>
  <c r="X91" i="3"/>
  <c r="X85" i="3"/>
  <c r="X84" i="3"/>
  <c r="X83" i="3"/>
  <c r="X81" i="3"/>
  <c r="X76" i="3"/>
  <c r="X75" i="3"/>
  <c r="X72" i="3"/>
  <c r="X71" i="3"/>
  <c r="X70" i="3"/>
  <c r="X69" i="3"/>
  <c r="X68" i="3"/>
  <c r="X67" i="3"/>
  <c r="X52" i="3"/>
  <c r="X37" i="3"/>
  <c r="X36" i="3"/>
  <c r="X35" i="3"/>
  <c r="X27" i="3"/>
  <c r="X21" i="3"/>
  <c r="X18" i="3"/>
  <c r="X14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M4" i="12"/>
  <c r="J7" i="12" s="1"/>
  <c r="M3" i="12"/>
  <c r="J6" i="12" s="1"/>
  <c r="D5" i="12"/>
  <c r="D4" i="12"/>
  <c r="E5" i="12"/>
  <c r="C33" i="23" l="1"/>
  <c r="E33" i="23"/>
  <c r="F33" i="23" s="1"/>
  <c r="C5" i="12"/>
  <c r="C4" i="12"/>
  <c r="B5" i="12"/>
  <c r="B4" i="12"/>
  <c r="E4" i="12"/>
  <c r="G4" i="12" l="1"/>
  <c r="F4" i="12"/>
  <c r="J5" i="12"/>
  <c r="I5" i="12"/>
  <c r="H5" i="12"/>
  <c r="G5" i="12"/>
  <c r="F5" i="12"/>
  <c r="J4" i="12"/>
  <c r="I4" i="12"/>
  <c r="H4" i="12"/>
  <c r="O4" i="12" l="1"/>
  <c r="N4" i="12"/>
  <c r="O3" i="12"/>
  <c r="N3" i="12"/>
  <c r="Q3" i="12" l="1"/>
  <c r="Q4" i="12"/>
  <c r="P3" i="12"/>
  <c r="P4" i="12"/>
  <c r="A50" i="21"/>
  <c r="A51" i="21"/>
  <c r="A49" i="21"/>
  <c r="A47" i="21"/>
  <c r="A46" i="21"/>
  <c r="A45" i="21"/>
  <c r="A44" i="21"/>
  <c r="A43" i="21"/>
  <c r="A42" i="21"/>
  <c r="I275" i="22"/>
  <c r="H275" i="22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9" i="21"/>
  <c r="B9" i="21"/>
  <c r="C8" i="21"/>
  <c r="B8" i="21"/>
  <c r="C7" i="21"/>
  <c r="B7" i="21"/>
  <c r="C6" i="21"/>
  <c r="B6" i="21"/>
  <c r="C3" i="21"/>
  <c r="B3" i="21"/>
  <c r="C2" i="21"/>
  <c r="B2" i="21"/>
  <c r="G8" i="22"/>
  <c r="G307" i="22"/>
  <c r="F307" i="22"/>
  <c r="G306" i="22"/>
  <c r="F306" i="22"/>
  <c r="G305" i="22"/>
  <c r="F305" i="22"/>
  <c r="G304" i="22"/>
  <c r="F304" i="22"/>
  <c r="G303" i="22"/>
  <c r="F303" i="22"/>
  <c r="G302" i="22"/>
  <c r="F302" i="22"/>
  <c r="G301" i="22"/>
  <c r="F301" i="22"/>
  <c r="G300" i="22"/>
  <c r="F300" i="22"/>
  <c r="G299" i="22"/>
  <c r="F299" i="22"/>
  <c r="G298" i="22"/>
  <c r="F298" i="22"/>
  <c r="G297" i="22"/>
  <c r="F297" i="22"/>
  <c r="G296" i="22"/>
  <c r="F296" i="22"/>
  <c r="G295" i="22"/>
  <c r="F295" i="22"/>
  <c r="G294" i="22"/>
  <c r="F294" i="22"/>
  <c r="G293" i="22"/>
  <c r="F293" i="22"/>
  <c r="G292" i="22"/>
  <c r="F292" i="22"/>
  <c r="G291" i="22"/>
  <c r="F291" i="22"/>
  <c r="G290" i="22"/>
  <c r="F290" i="22"/>
  <c r="G289" i="22"/>
  <c r="F289" i="22"/>
  <c r="G288" i="22"/>
  <c r="F288" i="22"/>
  <c r="G287" i="22"/>
  <c r="F287" i="22"/>
  <c r="G286" i="22"/>
  <c r="F286" i="22"/>
  <c r="G285" i="22"/>
  <c r="F285" i="22"/>
  <c r="G284" i="22"/>
  <c r="F284" i="22"/>
  <c r="G283" i="22"/>
  <c r="F283" i="22"/>
  <c r="G282" i="22"/>
  <c r="F282" i="22"/>
  <c r="G281" i="22"/>
  <c r="F281" i="22"/>
  <c r="G280" i="22"/>
  <c r="F280" i="22"/>
  <c r="G279" i="22"/>
  <c r="F279" i="22"/>
  <c r="G278" i="22"/>
  <c r="F278" i="22"/>
  <c r="G277" i="22"/>
  <c r="F277" i="22"/>
  <c r="G276" i="22"/>
  <c r="F276" i="22"/>
  <c r="G275" i="22"/>
  <c r="F275" i="22"/>
  <c r="G274" i="22"/>
  <c r="F274" i="22"/>
  <c r="G273" i="22"/>
  <c r="F273" i="22"/>
  <c r="G272" i="22"/>
  <c r="F272" i="22"/>
  <c r="G271" i="22"/>
  <c r="F271" i="22"/>
  <c r="G270" i="22"/>
  <c r="F270" i="22"/>
  <c r="G269" i="22"/>
  <c r="F269" i="22"/>
  <c r="G268" i="22"/>
  <c r="F268" i="22"/>
  <c r="G267" i="22"/>
  <c r="F267" i="22"/>
  <c r="G266" i="22"/>
  <c r="F266" i="22"/>
  <c r="G265" i="22"/>
  <c r="F265" i="22"/>
  <c r="G264" i="22"/>
  <c r="F264" i="22"/>
  <c r="G263" i="22"/>
  <c r="F263" i="22"/>
  <c r="G262" i="22"/>
  <c r="F262" i="22"/>
  <c r="G261" i="22"/>
  <c r="F261" i="22"/>
  <c r="G260" i="22"/>
  <c r="F260" i="22"/>
  <c r="G259" i="22"/>
  <c r="F259" i="22"/>
  <c r="G258" i="22"/>
  <c r="F258" i="22"/>
  <c r="G257" i="22"/>
  <c r="F257" i="22"/>
  <c r="G256" i="22"/>
  <c r="F256" i="22"/>
  <c r="G255" i="22"/>
  <c r="F255" i="22"/>
  <c r="G254" i="22"/>
  <c r="F254" i="22"/>
  <c r="G253" i="22"/>
  <c r="F253" i="22"/>
  <c r="G252" i="22"/>
  <c r="F252" i="22"/>
  <c r="G251" i="22"/>
  <c r="F251" i="22"/>
  <c r="G250" i="22"/>
  <c r="F250" i="22"/>
  <c r="G249" i="22"/>
  <c r="F249" i="22"/>
  <c r="G248" i="22"/>
  <c r="F248" i="22"/>
  <c r="G247" i="22"/>
  <c r="F247" i="22"/>
  <c r="G246" i="22"/>
  <c r="F246" i="22"/>
  <c r="G245" i="22"/>
  <c r="F245" i="22"/>
  <c r="G244" i="22"/>
  <c r="F244" i="22"/>
  <c r="G243" i="22"/>
  <c r="F243" i="22"/>
  <c r="G242" i="22"/>
  <c r="F242" i="22"/>
  <c r="G241" i="22"/>
  <c r="F241" i="22"/>
  <c r="G240" i="22"/>
  <c r="F240" i="22"/>
  <c r="G239" i="22"/>
  <c r="F239" i="22"/>
  <c r="G238" i="22"/>
  <c r="F238" i="22"/>
  <c r="G237" i="22"/>
  <c r="F237" i="22"/>
  <c r="G236" i="22"/>
  <c r="F236" i="22"/>
  <c r="G235" i="22"/>
  <c r="F235" i="22"/>
  <c r="G234" i="22"/>
  <c r="F234" i="22"/>
  <c r="G233" i="22"/>
  <c r="F233" i="22"/>
  <c r="G232" i="22"/>
  <c r="F232" i="22"/>
  <c r="G231" i="22"/>
  <c r="F231" i="22"/>
  <c r="G230" i="22"/>
  <c r="F230" i="22"/>
  <c r="G229" i="22"/>
  <c r="F229" i="22"/>
  <c r="G228" i="22"/>
  <c r="F228" i="22"/>
  <c r="G227" i="22"/>
  <c r="F227" i="22"/>
  <c r="G226" i="22"/>
  <c r="F226" i="22"/>
  <c r="G225" i="22"/>
  <c r="F225" i="22"/>
  <c r="G224" i="22"/>
  <c r="F224" i="22"/>
  <c r="G223" i="22"/>
  <c r="F223" i="22"/>
  <c r="G222" i="22"/>
  <c r="F222" i="22"/>
  <c r="G221" i="22"/>
  <c r="F221" i="22"/>
  <c r="G220" i="22"/>
  <c r="F220" i="22"/>
  <c r="G219" i="22"/>
  <c r="F219" i="22"/>
  <c r="G218" i="22"/>
  <c r="F218" i="22"/>
  <c r="G217" i="22"/>
  <c r="F217" i="22"/>
  <c r="G216" i="22"/>
  <c r="F216" i="22"/>
  <c r="G215" i="22"/>
  <c r="F215" i="22"/>
  <c r="G214" i="22"/>
  <c r="F214" i="22"/>
  <c r="G213" i="22"/>
  <c r="F213" i="22"/>
  <c r="G212" i="22"/>
  <c r="F212" i="22"/>
  <c r="G211" i="22"/>
  <c r="F211" i="22"/>
  <c r="G210" i="22"/>
  <c r="F210" i="22"/>
  <c r="G209" i="22"/>
  <c r="F209" i="22"/>
  <c r="G208" i="22"/>
  <c r="F208" i="22"/>
  <c r="G207" i="22"/>
  <c r="F207" i="22"/>
  <c r="G206" i="22"/>
  <c r="F206" i="22"/>
  <c r="G205" i="22"/>
  <c r="F205" i="22"/>
  <c r="G204" i="22"/>
  <c r="F204" i="22"/>
  <c r="G203" i="22"/>
  <c r="F203" i="22"/>
  <c r="G202" i="22"/>
  <c r="F202" i="22"/>
  <c r="G201" i="22"/>
  <c r="F201" i="22"/>
  <c r="G200" i="22"/>
  <c r="F200" i="22"/>
  <c r="G199" i="22"/>
  <c r="F199" i="22"/>
  <c r="G198" i="22"/>
  <c r="F198" i="22"/>
  <c r="G197" i="22"/>
  <c r="F197" i="22"/>
  <c r="G196" i="22"/>
  <c r="F196" i="22"/>
  <c r="G195" i="22"/>
  <c r="F195" i="22"/>
  <c r="G194" i="22"/>
  <c r="F194" i="22"/>
  <c r="G193" i="22"/>
  <c r="F193" i="22"/>
  <c r="G192" i="22"/>
  <c r="F192" i="22"/>
  <c r="G191" i="22"/>
  <c r="F191" i="22"/>
  <c r="G190" i="22"/>
  <c r="F190" i="22"/>
  <c r="G189" i="22"/>
  <c r="F189" i="22"/>
  <c r="G188" i="22"/>
  <c r="F188" i="22"/>
  <c r="G187" i="22"/>
  <c r="F187" i="22"/>
  <c r="G186" i="22"/>
  <c r="F186" i="22"/>
  <c r="G185" i="22"/>
  <c r="F185" i="22"/>
  <c r="G184" i="22"/>
  <c r="F184" i="22"/>
  <c r="G183" i="22"/>
  <c r="F183" i="22"/>
  <c r="G182" i="22"/>
  <c r="F182" i="22"/>
  <c r="G181" i="22"/>
  <c r="F181" i="22"/>
  <c r="G180" i="22"/>
  <c r="F180" i="22"/>
  <c r="G179" i="22"/>
  <c r="F179" i="22"/>
  <c r="G178" i="22"/>
  <c r="F178" i="22"/>
  <c r="G177" i="22"/>
  <c r="F177" i="22"/>
  <c r="G176" i="22"/>
  <c r="F176" i="22"/>
  <c r="G175" i="22"/>
  <c r="F175" i="22"/>
  <c r="G174" i="22"/>
  <c r="F174" i="22"/>
  <c r="G173" i="22"/>
  <c r="F173" i="22"/>
  <c r="G172" i="22"/>
  <c r="F172" i="22"/>
  <c r="G171" i="22"/>
  <c r="F171" i="22"/>
  <c r="G170" i="22"/>
  <c r="F170" i="22"/>
  <c r="G169" i="22"/>
  <c r="F169" i="22"/>
  <c r="G168" i="22"/>
  <c r="F168" i="22"/>
  <c r="G167" i="22"/>
  <c r="F167" i="22"/>
  <c r="G166" i="22"/>
  <c r="F166" i="22"/>
  <c r="G165" i="22"/>
  <c r="F165" i="22"/>
  <c r="G164" i="22"/>
  <c r="F164" i="22"/>
  <c r="G163" i="22"/>
  <c r="F163" i="22"/>
  <c r="G162" i="22"/>
  <c r="F162" i="22"/>
  <c r="G161" i="22"/>
  <c r="F161" i="22"/>
  <c r="G160" i="22"/>
  <c r="F160" i="22"/>
  <c r="G159" i="22"/>
  <c r="F159" i="22"/>
  <c r="G158" i="22"/>
  <c r="F158" i="22"/>
  <c r="G157" i="22"/>
  <c r="F157" i="22"/>
  <c r="G156" i="22"/>
  <c r="F156" i="22"/>
  <c r="G155" i="22"/>
  <c r="F155" i="22"/>
  <c r="G154" i="22"/>
  <c r="F154" i="22"/>
  <c r="G153" i="22"/>
  <c r="F153" i="22"/>
  <c r="G152" i="22"/>
  <c r="F152" i="22"/>
  <c r="G151" i="22"/>
  <c r="F151" i="22"/>
  <c r="G150" i="22"/>
  <c r="F150" i="22"/>
  <c r="G149" i="22"/>
  <c r="F149" i="22"/>
  <c r="G148" i="22"/>
  <c r="F148" i="22"/>
  <c r="G147" i="22"/>
  <c r="F147" i="22"/>
  <c r="G146" i="22"/>
  <c r="F146" i="22"/>
  <c r="G145" i="22"/>
  <c r="F145" i="22"/>
  <c r="G144" i="22"/>
  <c r="F144" i="22"/>
  <c r="G143" i="22"/>
  <c r="F143" i="22"/>
  <c r="G142" i="22"/>
  <c r="F142" i="22"/>
  <c r="G141" i="22"/>
  <c r="F141" i="22"/>
  <c r="G140" i="22"/>
  <c r="F140" i="22"/>
  <c r="G139" i="22"/>
  <c r="F139" i="22"/>
  <c r="G138" i="22"/>
  <c r="F138" i="22"/>
  <c r="G137" i="22"/>
  <c r="F137" i="22"/>
  <c r="G136" i="22"/>
  <c r="F136" i="22"/>
  <c r="G135" i="22"/>
  <c r="F135" i="22"/>
  <c r="G134" i="22"/>
  <c r="F134" i="22"/>
  <c r="G133" i="22"/>
  <c r="F133" i="22"/>
  <c r="G132" i="22"/>
  <c r="F132" i="22"/>
  <c r="G131" i="22"/>
  <c r="F131" i="22"/>
  <c r="G130" i="22"/>
  <c r="F130" i="22"/>
  <c r="G129" i="22"/>
  <c r="F129" i="22"/>
  <c r="G128" i="22"/>
  <c r="F128" i="22"/>
  <c r="G127" i="22"/>
  <c r="F127" i="22"/>
  <c r="G126" i="22"/>
  <c r="F126" i="22"/>
  <c r="G125" i="22"/>
  <c r="F125" i="22"/>
  <c r="G124" i="22"/>
  <c r="F124" i="22"/>
  <c r="G123" i="22"/>
  <c r="F123" i="22"/>
  <c r="G122" i="22"/>
  <c r="F122" i="22"/>
  <c r="G121" i="22"/>
  <c r="F121" i="22"/>
  <c r="G120" i="22"/>
  <c r="F120" i="22"/>
  <c r="G118" i="22"/>
  <c r="F118" i="22"/>
  <c r="G117" i="22"/>
  <c r="F117" i="22"/>
  <c r="G116" i="22"/>
  <c r="F116" i="22"/>
  <c r="G115" i="22"/>
  <c r="F115" i="22"/>
  <c r="G114" i="22"/>
  <c r="F114" i="22"/>
  <c r="G113" i="22"/>
  <c r="F113" i="22"/>
  <c r="G112" i="22"/>
  <c r="F112" i="22"/>
  <c r="G111" i="22"/>
  <c r="F111" i="22"/>
  <c r="G110" i="22"/>
  <c r="F110" i="22"/>
  <c r="G109" i="22"/>
  <c r="F109" i="22"/>
  <c r="G108" i="22"/>
  <c r="F108" i="22"/>
  <c r="G107" i="22"/>
  <c r="F107" i="22"/>
  <c r="G106" i="22"/>
  <c r="F106" i="22"/>
  <c r="G105" i="22"/>
  <c r="F105" i="22"/>
  <c r="G104" i="22"/>
  <c r="F104" i="22"/>
  <c r="G103" i="22"/>
  <c r="F103" i="22"/>
  <c r="G102" i="22"/>
  <c r="F102" i="22"/>
  <c r="G101" i="22"/>
  <c r="F101" i="22"/>
  <c r="G100" i="22"/>
  <c r="F100" i="22"/>
  <c r="G99" i="22"/>
  <c r="F99" i="22"/>
  <c r="G98" i="22"/>
  <c r="F98" i="22"/>
  <c r="G97" i="22"/>
  <c r="F97" i="22"/>
  <c r="G96" i="22"/>
  <c r="F96" i="22"/>
  <c r="G95" i="22"/>
  <c r="F95" i="22"/>
  <c r="G94" i="22"/>
  <c r="F94" i="22"/>
  <c r="G93" i="22"/>
  <c r="F93" i="22"/>
  <c r="G92" i="22"/>
  <c r="F92" i="22"/>
  <c r="G91" i="22"/>
  <c r="F91" i="22"/>
  <c r="G90" i="22"/>
  <c r="F90" i="22"/>
  <c r="G89" i="22"/>
  <c r="F89" i="22"/>
  <c r="G88" i="22"/>
  <c r="F88" i="22"/>
  <c r="G87" i="22"/>
  <c r="F87" i="22"/>
  <c r="G86" i="22"/>
  <c r="F86" i="22"/>
  <c r="G85" i="22"/>
  <c r="F85" i="22"/>
  <c r="G84" i="22"/>
  <c r="F84" i="22"/>
  <c r="G83" i="22"/>
  <c r="F83" i="22"/>
  <c r="G82" i="22"/>
  <c r="F82" i="22"/>
  <c r="G81" i="22"/>
  <c r="F81" i="22"/>
  <c r="G80" i="22"/>
  <c r="F80" i="22"/>
  <c r="G79" i="22"/>
  <c r="F79" i="22"/>
  <c r="G78" i="22"/>
  <c r="F78" i="22"/>
  <c r="G77" i="22"/>
  <c r="F77" i="22"/>
  <c r="G76" i="22"/>
  <c r="F76" i="22"/>
  <c r="G75" i="22"/>
  <c r="F75" i="22"/>
  <c r="G74" i="22"/>
  <c r="F74" i="22"/>
  <c r="G73" i="22"/>
  <c r="F73" i="22"/>
  <c r="G72" i="22"/>
  <c r="F72" i="22"/>
  <c r="G71" i="22"/>
  <c r="F71" i="22"/>
  <c r="G70" i="22"/>
  <c r="F70" i="22"/>
  <c r="G69" i="22"/>
  <c r="F69" i="22"/>
  <c r="G68" i="22"/>
  <c r="F68" i="22"/>
  <c r="G67" i="22"/>
  <c r="F67" i="22"/>
  <c r="G66" i="22"/>
  <c r="F66" i="22"/>
  <c r="G65" i="22"/>
  <c r="F65" i="22"/>
  <c r="G64" i="22"/>
  <c r="F64" i="22"/>
  <c r="G63" i="22"/>
  <c r="F63" i="22"/>
  <c r="G62" i="22"/>
  <c r="F62" i="22"/>
  <c r="G61" i="22"/>
  <c r="F61" i="22"/>
  <c r="G60" i="22"/>
  <c r="F60" i="22"/>
  <c r="F59" i="22"/>
  <c r="G58" i="22"/>
  <c r="F58" i="22"/>
  <c r="G57" i="22"/>
  <c r="F57" i="22"/>
  <c r="G56" i="22"/>
  <c r="F56" i="22"/>
  <c r="G55" i="22"/>
  <c r="F55" i="22"/>
  <c r="G54" i="22"/>
  <c r="F54" i="22"/>
  <c r="G53" i="22"/>
  <c r="F53" i="22"/>
  <c r="G52" i="22"/>
  <c r="F52" i="22"/>
  <c r="G51" i="22"/>
  <c r="F51" i="22"/>
  <c r="G50" i="22"/>
  <c r="F50" i="22"/>
  <c r="G49" i="22"/>
  <c r="F49" i="22"/>
  <c r="G48" i="22"/>
  <c r="F48" i="22"/>
  <c r="G47" i="22"/>
  <c r="F47" i="22"/>
  <c r="G46" i="22"/>
  <c r="F46" i="22"/>
  <c r="G45" i="22"/>
  <c r="F45" i="22"/>
  <c r="F44" i="22"/>
  <c r="G43" i="22"/>
  <c r="F43" i="22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F8" i="22"/>
  <c r="F7" i="22"/>
  <c r="C5" i="21" l="1"/>
  <c r="B5" i="21"/>
  <c r="D16" i="21"/>
  <c r="C4" i="21"/>
  <c r="J275" i="22"/>
  <c r="D17" i="21"/>
  <c r="B51" i="21" s="1"/>
  <c r="E16" i="21"/>
  <c r="B4" i="21"/>
  <c r="D11" i="21"/>
  <c r="E11" i="21"/>
  <c r="E17" i="21"/>
  <c r="E21" i="21"/>
  <c r="D15" i="21"/>
  <c r="B52" i="21" s="1"/>
  <c r="E6" i="21"/>
  <c r="D13" i="21"/>
  <c r="B44" i="21" s="1"/>
  <c r="D19" i="21"/>
  <c r="E12" i="21"/>
  <c r="D7" i="21"/>
  <c r="B41" i="21" s="1"/>
  <c r="E9" i="21"/>
  <c r="E14" i="21"/>
  <c r="D18" i="21"/>
  <c r="B50" i="21" s="1"/>
  <c r="D20" i="21"/>
  <c r="B49" i="21" s="1"/>
  <c r="E20" i="21"/>
  <c r="D2" i="21"/>
  <c r="E19" i="21"/>
  <c r="E15" i="21"/>
  <c r="D8" i="21"/>
  <c r="D14" i="21"/>
  <c r="D9" i="21"/>
  <c r="E13" i="21"/>
  <c r="D21" i="21"/>
  <c r="E18" i="21"/>
  <c r="D3" i="21"/>
  <c r="B46" i="21" s="1"/>
  <c r="D12" i="21"/>
  <c r="B43" i="21" s="1"/>
  <c r="E7" i="21"/>
  <c r="E8" i="21"/>
  <c r="D6" i="21"/>
  <c r="B42" i="21" s="1"/>
  <c r="E2" i="21"/>
  <c r="E3" i="21"/>
  <c r="F119" i="22"/>
  <c r="B47" i="21" l="1"/>
  <c r="D5" i="21"/>
  <c r="D4" i="21"/>
  <c r="B45" i="21" s="1"/>
  <c r="E4" i="21"/>
  <c r="E5" i="21"/>
  <c r="C16" i="20" l="1"/>
  <c r="D16" i="20"/>
  <c r="E16" i="20"/>
  <c r="E17" i="20" s="1"/>
  <c r="F16" i="20"/>
  <c r="B16" i="20"/>
  <c r="C15" i="20"/>
  <c r="D15" i="20"/>
  <c r="E15" i="20"/>
  <c r="F15" i="20"/>
  <c r="B15" i="20"/>
  <c r="F11" i="19"/>
  <c r="E11" i="19"/>
  <c r="D11" i="19"/>
  <c r="C11" i="19"/>
  <c r="B11" i="19"/>
  <c r="F10" i="19"/>
  <c r="E10" i="19"/>
  <c r="D10" i="19"/>
  <c r="C10" i="19"/>
  <c r="B10" i="19"/>
  <c r="F11" i="18"/>
  <c r="E11" i="18"/>
  <c r="D11" i="18"/>
  <c r="C11" i="18"/>
  <c r="B11" i="18"/>
  <c r="F10" i="18"/>
  <c r="E10" i="18"/>
  <c r="D10" i="18"/>
  <c r="C10" i="18"/>
  <c r="B10" i="18"/>
  <c r="F11" i="17"/>
  <c r="E11" i="17"/>
  <c r="D11" i="17"/>
  <c r="C11" i="17"/>
  <c r="B11" i="17"/>
  <c r="F10" i="17"/>
  <c r="E10" i="17"/>
  <c r="D10" i="17"/>
  <c r="C10" i="17"/>
  <c r="B10" i="17"/>
  <c r="F11" i="16"/>
  <c r="E11" i="16"/>
  <c r="D11" i="16"/>
  <c r="C11" i="16"/>
  <c r="B11" i="16"/>
  <c r="F10" i="16"/>
  <c r="E10" i="16"/>
  <c r="D10" i="16"/>
  <c r="C10" i="16"/>
  <c r="B10" i="16"/>
  <c r="F11" i="15"/>
  <c r="E11" i="15"/>
  <c r="D11" i="15"/>
  <c r="C11" i="15"/>
  <c r="B11" i="15"/>
  <c r="F10" i="15"/>
  <c r="E10" i="15"/>
  <c r="D10" i="15"/>
  <c r="C10" i="15"/>
  <c r="B10" i="15"/>
  <c r="F11" i="14"/>
  <c r="E11" i="14"/>
  <c r="D11" i="14"/>
  <c r="C11" i="14"/>
  <c r="B11" i="14"/>
  <c r="F10" i="14"/>
  <c r="E10" i="14"/>
  <c r="D10" i="14"/>
  <c r="C10" i="14"/>
  <c r="B10" i="14"/>
  <c r="F11" i="13"/>
  <c r="E11" i="13"/>
  <c r="D11" i="13"/>
  <c r="C11" i="13"/>
  <c r="B11" i="13"/>
  <c r="F10" i="13"/>
  <c r="E10" i="13"/>
  <c r="D10" i="13"/>
  <c r="C10" i="13"/>
  <c r="B10" i="13"/>
  <c r="F13" i="6" l="1"/>
  <c r="D13" i="6"/>
  <c r="E13" i="6"/>
  <c r="C13" i="6"/>
  <c r="F12" i="6"/>
  <c r="D12" i="6"/>
  <c r="E12" i="6"/>
  <c r="C12" i="6"/>
  <c r="W35" i="1" l="1"/>
  <c r="X35" i="1"/>
  <c r="AI95" i="3" l="1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4" i="3"/>
  <c r="AI43" i="3"/>
  <c r="AI42" i="3"/>
  <c r="AI41" i="3"/>
  <c r="AI40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J95" i="3" l="1"/>
  <c r="AH95" i="3"/>
  <c r="AG95" i="3"/>
  <c r="AJ94" i="3"/>
  <c r="AH94" i="3"/>
  <c r="AG94" i="3"/>
  <c r="AJ93" i="3"/>
  <c r="AH93" i="3"/>
  <c r="AG93" i="3"/>
  <c r="AJ92" i="3"/>
  <c r="AH92" i="3"/>
  <c r="AG92" i="3"/>
  <c r="AJ91" i="3"/>
  <c r="AH91" i="3"/>
  <c r="AG91" i="3"/>
  <c r="AJ90" i="3"/>
  <c r="AH90" i="3"/>
  <c r="AG90" i="3"/>
  <c r="AJ89" i="3"/>
  <c r="AH89" i="3"/>
  <c r="AG89" i="3"/>
  <c r="AJ88" i="3"/>
  <c r="AH88" i="3"/>
  <c r="AG88" i="3"/>
  <c r="AJ87" i="3"/>
  <c r="AH87" i="3"/>
  <c r="AG87" i="3"/>
  <c r="AJ86" i="3"/>
  <c r="AH86" i="3"/>
  <c r="AG86" i="3"/>
  <c r="AJ85" i="3"/>
  <c r="AH85" i="3"/>
  <c r="AG85" i="3"/>
  <c r="AJ84" i="3"/>
  <c r="AH84" i="3"/>
  <c r="AG84" i="3"/>
  <c r="AJ83" i="3"/>
  <c r="AH83" i="3"/>
  <c r="AG83" i="3"/>
  <c r="AJ82" i="3"/>
  <c r="AH82" i="3"/>
  <c r="AG82" i="3"/>
  <c r="AJ81" i="3"/>
  <c r="AH81" i="3"/>
  <c r="AG81" i="3"/>
  <c r="AJ80" i="3"/>
  <c r="AH80" i="3"/>
  <c r="AG80" i="3"/>
  <c r="AJ79" i="3"/>
  <c r="AH79" i="3"/>
  <c r="AG79" i="3"/>
  <c r="AJ78" i="3"/>
  <c r="AH78" i="3"/>
  <c r="AG78" i="3"/>
  <c r="AJ77" i="3"/>
  <c r="AH77" i="3"/>
  <c r="AG77" i="3"/>
  <c r="AJ76" i="3"/>
  <c r="AH76" i="3"/>
  <c r="AG76" i="3"/>
  <c r="AJ75" i="3"/>
  <c r="AH75" i="3"/>
  <c r="AG75" i="3"/>
  <c r="AJ74" i="3"/>
  <c r="AH74" i="3"/>
  <c r="AG74" i="3"/>
  <c r="AJ73" i="3"/>
  <c r="AH73" i="3"/>
  <c r="AG73" i="3"/>
  <c r="AJ72" i="3"/>
  <c r="AH72" i="3"/>
  <c r="AG72" i="3"/>
  <c r="AJ71" i="3"/>
  <c r="AH71" i="3"/>
  <c r="AG71" i="3"/>
  <c r="AJ70" i="3"/>
  <c r="AH70" i="3"/>
  <c r="AG70" i="3"/>
  <c r="AJ69" i="3"/>
  <c r="AH69" i="3"/>
  <c r="AG69" i="3"/>
  <c r="AJ68" i="3"/>
  <c r="AH68" i="3"/>
  <c r="AG68" i="3"/>
  <c r="AJ67" i="3"/>
  <c r="AH67" i="3"/>
  <c r="AG67" i="3"/>
  <c r="AJ66" i="3"/>
  <c r="AH66" i="3"/>
  <c r="AG66" i="3"/>
  <c r="AJ65" i="3"/>
  <c r="AH65" i="3"/>
  <c r="AG65" i="3"/>
  <c r="AJ64" i="3"/>
  <c r="AH64" i="3"/>
  <c r="AG64" i="3"/>
  <c r="AJ63" i="3"/>
  <c r="AH63" i="3"/>
  <c r="AG63" i="3"/>
  <c r="AJ62" i="3"/>
  <c r="AH62" i="3"/>
  <c r="AG62" i="3"/>
  <c r="AJ61" i="3"/>
  <c r="AH61" i="3"/>
  <c r="AG61" i="3"/>
  <c r="AJ60" i="3"/>
  <c r="AH60" i="3"/>
  <c r="AG60" i="3"/>
  <c r="AJ59" i="3"/>
  <c r="AH59" i="3"/>
  <c r="AG59" i="3"/>
  <c r="AJ58" i="3"/>
  <c r="AH58" i="3"/>
  <c r="AG58" i="3"/>
  <c r="AJ57" i="3"/>
  <c r="AH57" i="3"/>
  <c r="AG57" i="3"/>
  <c r="AJ56" i="3"/>
  <c r="AH56" i="3"/>
  <c r="AG56" i="3"/>
  <c r="AJ55" i="3"/>
  <c r="AH55" i="3"/>
  <c r="AG55" i="3"/>
  <c r="AJ54" i="3"/>
  <c r="AH54" i="3"/>
  <c r="AG54" i="3"/>
  <c r="AJ53" i="3"/>
  <c r="AH53" i="3"/>
  <c r="AG53" i="3"/>
  <c r="AJ52" i="3"/>
  <c r="AH52" i="3"/>
  <c r="AG52" i="3"/>
  <c r="AJ51" i="3"/>
  <c r="AH51" i="3"/>
  <c r="AG51" i="3"/>
  <c r="AJ50" i="3"/>
  <c r="AH50" i="3"/>
  <c r="AG50" i="3"/>
  <c r="AJ49" i="3"/>
  <c r="AH49" i="3"/>
  <c r="AG49" i="3"/>
  <c r="AJ48" i="3"/>
  <c r="AH48" i="3"/>
  <c r="AG48" i="3"/>
  <c r="AJ47" i="3"/>
  <c r="AH47" i="3"/>
  <c r="AG47" i="3"/>
  <c r="AJ46" i="3"/>
  <c r="AH46" i="3"/>
  <c r="AG46" i="3"/>
  <c r="AJ44" i="3"/>
  <c r="AH44" i="3"/>
  <c r="AG44" i="3"/>
  <c r="AJ43" i="3"/>
  <c r="AH43" i="3"/>
  <c r="AG43" i="3"/>
  <c r="AJ42" i="3"/>
  <c r="AH42" i="3"/>
  <c r="AG42" i="3"/>
  <c r="AJ41" i="3"/>
  <c r="AH41" i="3"/>
  <c r="AG41" i="3"/>
  <c r="AJ40" i="3"/>
  <c r="AH40" i="3"/>
  <c r="AG40" i="3"/>
  <c r="AJ38" i="3"/>
  <c r="AH38" i="3"/>
  <c r="AG38" i="3"/>
  <c r="AJ37" i="3"/>
  <c r="AH37" i="3"/>
  <c r="AG37" i="3"/>
  <c r="AJ36" i="3"/>
  <c r="AH36" i="3"/>
  <c r="AG36" i="3"/>
  <c r="AJ35" i="3"/>
  <c r="AH35" i="3"/>
  <c r="AG35" i="3"/>
  <c r="AJ34" i="3"/>
  <c r="AH34" i="3"/>
  <c r="AG34" i="3"/>
  <c r="AJ33" i="3"/>
  <c r="AH33" i="3"/>
  <c r="AG33" i="3"/>
  <c r="AJ32" i="3"/>
  <c r="AH32" i="3"/>
  <c r="AG32" i="3"/>
  <c r="AJ31" i="3"/>
  <c r="AH31" i="3"/>
  <c r="AG31" i="3"/>
  <c r="AJ30" i="3"/>
  <c r="AH30" i="3"/>
  <c r="AG30" i="3"/>
  <c r="AJ29" i="3"/>
  <c r="AH29" i="3"/>
  <c r="AG29" i="3"/>
  <c r="AJ28" i="3"/>
  <c r="AH28" i="3"/>
  <c r="AG28" i="3"/>
  <c r="AJ27" i="3"/>
  <c r="AH27" i="3"/>
  <c r="AG27" i="3"/>
  <c r="AJ26" i="3"/>
  <c r="AH26" i="3"/>
  <c r="AG26" i="3"/>
  <c r="AJ25" i="3"/>
  <c r="AH25" i="3"/>
  <c r="AG25" i="3"/>
  <c r="AJ24" i="3"/>
  <c r="AH24" i="3"/>
  <c r="AG24" i="3"/>
  <c r="AJ23" i="3"/>
  <c r="AH23" i="3"/>
  <c r="AG23" i="3"/>
  <c r="AJ22" i="3"/>
  <c r="AH22" i="3"/>
  <c r="AG22" i="3"/>
  <c r="AJ21" i="3"/>
  <c r="AH21" i="3"/>
  <c r="AG21" i="3"/>
  <c r="AJ20" i="3"/>
  <c r="AH20" i="3"/>
  <c r="AG20" i="3"/>
  <c r="AJ19" i="3"/>
  <c r="AH19" i="3"/>
  <c r="AG19" i="3"/>
  <c r="AJ18" i="3"/>
  <c r="AH18" i="3"/>
  <c r="AG18" i="3"/>
  <c r="AJ17" i="3"/>
  <c r="AH17" i="3"/>
  <c r="AG17" i="3"/>
  <c r="AJ16" i="3"/>
  <c r="AH16" i="3"/>
  <c r="AG16" i="3"/>
  <c r="AJ15" i="3"/>
  <c r="AH15" i="3"/>
  <c r="AG15" i="3"/>
  <c r="AJ14" i="3"/>
  <c r="AH14" i="3"/>
  <c r="AG14" i="3"/>
  <c r="AJ13" i="3"/>
  <c r="AH13" i="3"/>
  <c r="AG13" i="3"/>
  <c r="AJ12" i="3"/>
  <c r="AH12" i="3"/>
  <c r="AG12" i="3"/>
  <c r="AJ11" i="3"/>
  <c r="AH11" i="3"/>
  <c r="AG11" i="3"/>
  <c r="AJ10" i="3"/>
  <c r="AH10" i="3"/>
  <c r="AG10" i="3"/>
  <c r="AJ9" i="3"/>
  <c r="AH9" i="3"/>
  <c r="AG9" i="3"/>
  <c r="AJ8" i="3"/>
  <c r="AH8" i="3"/>
  <c r="AG8" i="3"/>
  <c r="AJ7" i="3"/>
  <c r="AH7" i="3"/>
  <c r="AG7" i="3"/>
  <c r="AJ6" i="3"/>
  <c r="AH6" i="3"/>
  <c r="AG6" i="3"/>
  <c r="Z35" i="1" l="1"/>
  <c r="Y35" i="1"/>
  <c r="W39" i="1"/>
  <c r="X39" i="1"/>
  <c r="Z39" i="1"/>
  <c r="Y39" i="1" l="1"/>
  <c r="F13" i="9"/>
  <c r="D13" i="9"/>
  <c r="F9" i="9"/>
  <c r="D9" i="9"/>
  <c r="F8" i="9"/>
  <c r="D8" i="9"/>
  <c r="D14" i="6"/>
  <c r="C14" i="6"/>
  <c r="D11" i="6"/>
  <c r="C11" i="6"/>
  <c r="D10" i="6"/>
  <c r="C10" i="6"/>
  <c r="D9" i="6"/>
  <c r="C9" i="6"/>
  <c r="C8" i="6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4" i="3"/>
  <c r="R43" i="3"/>
  <c r="R42" i="3"/>
  <c r="R41" i="3"/>
  <c r="R40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X38" i="1" l="1"/>
  <c r="W38" i="1"/>
  <c r="X34" i="1"/>
  <c r="W34" i="1"/>
  <c r="X11" i="1" l="1"/>
  <c r="F14" i="9" l="1"/>
  <c r="D14" i="9"/>
  <c r="E12" i="9"/>
  <c r="F11" i="9"/>
  <c r="D11" i="9"/>
  <c r="C14" i="9"/>
  <c r="C12" i="9"/>
  <c r="E13" i="9"/>
  <c r="C13" i="9"/>
  <c r="E11" i="9"/>
  <c r="C11" i="9"/>
  <c r="C10" i="9"/>
  <c r="C9" i="9"/>
  <c r="C8" i="9"/>
  <c r="F14" i="6" l="1"/>
  <c r="E14" i="6"/>
  <c r="F10" i="6"/>
  <c r="E10" i="6"/>
  <c r="F9" i="6"/>
  <c r="E9" i="6"/>
  <c r="F19" i="4"/>
  <c r="F31" i="4" s="1"/>
  <c r="E19" i="4"/>
  <c r="E31" i="4" s="1"/>
  <c r="C19" i="4"/>
  <c r="C31" i="4" s="1"/>
  <c r="D19" i="4"/>
  <c r="D31" i="4" s="1"/>
  <c r="B19" i="4"/>
  <c r="B31" i="4" s="1"/>
  <c r="U89" i="10" l="1"/>
  <c r="P89" i="10"/>
  <c r="O89" i="10"/>
  <c r="M89" i="10"/>
  <c r="L89" i="10"/>
  <c r="K89" i="10"/>
  <c r="J89" i="10"/>
  <c r="G89" i="10"/>
  <c r="F89" i="10"/>
  <c r="E89" i="10"/>
  <c r="D89" i="10"/>
  <c r="P88" i="10"/>
  <c r="O88" i="10"/>
  <c r="M88" i="10"/>
  <c r="L88" i="10"/>
  <c r="K88" i="10"/>
  <c r="J88" i="10"/>
  <c r="G88" i="10"/>
  <c r="F88" i="10"/>
  <c r="E88" i="10"/>
  <c r="D88" i="10"/>
  <c r="P87" i="10"/>
  <c r="O87" i="10"/>
  <c r="M87" i="10"/>
  <c r="L87" i="10"/>
  <c r="K87" i="10"/>
  <c r="J87" i="10"/>
  <c r="G87" i="10"/>
  <c r="F87" i="10"/>
  <c r="E87" i="10"/>
  <c r="D87" i="10"/>
  <c r="E84" i="10"/>
  <c r="D84" i="10"/>
  <c r="C84" i="10"/>
  <c r="B84" i="10"/>
  <c r="W82" i="10"/>
  <c r="U82" i="10"/>
  <c r="P82" i="10"/>
  <c r="O82" i="10"/>
  <c r="M82" i="10"/>
  <c r="L82" i="10"/>
  <c r="K82" i="10"/>
  <c r="J82" i="10"/>
  <c r="G82" i="10"/>
  <c r="F82" i="10"/>
  <c r="E82" i="10"/>
  <c r="D82" i="10"/>
  <c r="W81" i="10"/>
  <c r="U81" i="10"/>
  <c r="P81" i="10"/>
  <c r="O81" i="10"/>
  <c r="M81" i="10"/>
  <c r="L81" i="10"/>
  <c r="K81" i="10"/>
  <c r="J81" i="10"/>
  <c r="G81" i="10"/>
  <c r="F81" i="10"/>
  <c r="E81" i="10"/>
  <c r="D81" i="10"/>
  <c r="W80" i="10"/>
  <c r="U80" i="10"/>
  <c r="P80" i="10"/>
  <c r="O80" i="10"/>
  <c r="M80" i="10"/>
  <c r="L80" i="10"/>
  <c r="K80" i="10"/>
  <c r="J80" i="10"/>
  <c r="G80" i="10"/>
  <c r="F80" i="10"/>
  <c r="E80" i="10"/>
  <c r="D80" i="10"/>
  <c r="W79" i="10"/>
  <c r="U79" i="10"/>
  <c r="P79" i="10"/>
  <c r="O79" i="10"/>
  <c r="M79" i="10"/>
  <c r="L79" i="10"/>
  <c r="K79" i="10"/>
  <c r="J79" i="10"/>
  <c r="G79" i="10"/>
  <c r="F79" i="10"/>
  <c r="E79" i="10"/>
  <c r="D79" i="10"/>
  <c r="W78" i="10"/>
  <c r="P78" i="10"/>
  <c r="O78" i="10"/>
  <c r="M78" i="10"/>
  <c r="L78" i="10"/>
  <c r="K78" i="10"/>
  <c r="J78" i="10"/>
  <c r="G78" i="10"/>
  <c r="F78" i="10"/>
  <c r="E78" i="10"/>
  <c r="D78" i="10"/>
  <c r="W77" i="10"/>
  <c r="E77" i="10"/>
  <c r="D77" i="10"/>
  <c r="C77" i="10"/>
  <c r="B77" i="10"/>
  <c r="W76" i="10"/>
  <c r="P76" i="10"/>
  <c r="O76" i="10"/>
  <c r="M76" i="10"/>
  <c r="L76" i="10"/>
  <c r="K76" i="10"/>
  <c r="J76" i="10"/>
  <c r="G76" i="10"/>
  <c r="F76" i="10"/>
  <c r="E76" i="10"/>
  <c r="D76" i="10"/>
  <c r="W75" i="10"/>
  <c r="P75" i="10"/>
  <c r="O75" i="10"/>
  <c r="M75" i="10"/>
  <c r="L75" i="10"/>
  <c r="K75" i="10"/>
  <c r="J75" i="10"/>
  <c r="G75" i="10"/>
  <c r="F75" i="10"/>
  <c r="E75" i="10"/>
  <c r="D75" i="10"/>
  <c r="W74" i="10"/>
  <c r="P74" i="10"/>
  <c r="O74" i="10"/>
  <c r="M74" i="10"/>
  <c r="L74" i="10"/>
  <c r="K74" i="10"/>
  <c r="J74" i="10"/>
  <c r="G74" i="10"/>
  <c r="F74" i="10"/>
  <c r="E74" i="10"/>
  <c r="D74" i="10"/>
  <c r="W73" i="10"/>
  <c r="P73" i="10"/>
  <c r="O73" i="10"/>
  <c r="M73" i="10"/>
  <c r="L73" i="10"/>
  <c r="K73" i="10"/>
  <c r="J73" i="10"/>
  <c r="G73" i="10"/>
  <c r="F73" i="10"/>
  <c r="E73" i="10"/>
  <c r="D73" i="10"/>
  <c r="W72" i="10"/>
  <c r="P72" i="10"/>
  <c r="O72" i="10"/>
  <c r="M72" i="10"/>
  <c r="L72" i="10"/>
  <c r="K72" i="10"/>
  <c r="J72" i="10"/>
  <c r="G72" i="10"/>
  <c r="F72" i="10"/>
  <c r="E72" i="10"/>
  <c r="D72" i="10"/>
  <c r="W71" i="10"/>
  <c r="P71" i="10"/>
  <c r="O71" i="10"/>
  <c r="M71" i="10"/>
  <c r="L71" i="10"/>
  <c r="K71" i="10"/>
  <c r="J71" i="10"/>
  <c r="G71" i="10"/>
  <c r="F71" i="10"/>
  <c r="E71" i="10"/>
  <c r="D71" i="10"/>
  <c r="W70" i="10"/>
  <c r="P70" i="10"/>
  <c r="O70" i="10"/>
  <c r="M70" i="10"/>
  <c r="L70" i="10"/>
  <c r="K70" i="10"/>
  <c r="J70" i="10"/>
  <c r="G70" i="10"/>
  <c r="F70" i="10"/>
  <c r="E70" i="10"/>
  <c r="D70" i="10"/>
  <c r="W69" i="10"/>
  <c r="P69" i="10"/>
  <c r="O69" i="10"/>
  <c r="M69" i="10"/>
  <c r="L69" i="10"/>
  <c r="K69" i="10"/>
  <c r="J69" i="10"/>
  <c r="G69" i="10"/>
  <c r="F69" i="10"/>
  <c r="E69" i="10"/>
  <c r="D69" i="10"/>
  <c r="W68" i="10"/>
  <c r="P68" i="10"/>
  <c r="O68" i="10"/>
  <c r="M68" i="10"/>
  <c r="L68" i="10"/>
  <c r="K68" i="10"/>
  <c r="J68" i="10"/>
  <c r="G68" i="10"/>
  <c r="F68" i="10"/>
  <c r="E68" i="10"/>
  <c r="D68" i="10"/>
  <c r="W67" i="10"/>
  <c r="P67" i="10"/>
  <c r="O67" i="10"/>
  <c r="M67" i="10"/>
  <c r="L67" i="10"/>
  <c r="K67" i="10"/>
  <c r="J67" i="10"/>
  <c r="G67" i="10"/>
  <c r="F67" i="10"/>
  <c r="E67" i="10"/>
  <c r="D67" i="10"/>
  <c r="W66" i="10"/>
  <c r="P66" i="10"/>
  <c r="O66" i="10"/>
  <c r="M66" i="10"/>
  <c r="L66" i="10"/>
  <c r="K66" i="10"/>
  <c r="J66" i="10"/>
  <c r="G66" i="10"/>
  <c r="F66" i="10"/>
  <c r="E66" i="10"/>
  <c r="D66" i="10"/>
  <c r="W65" i="10"/>
  <c r="P65" i="10"/>
  <c r="O65" i="10"/>
  <c r="M65" i="10"/>
  <c r="L65" i="10"/>
  <c r="K65" i="10"/>
  <c r="J65" i="10"/>
  <c r="G65" i="10"/>
  <c r="F65" i="10"/>
  <c r="E65" i="10"/>
  <c r="D65" i="10"/>
  <c r="W64" i="10"/>
  <c r="P64" i="10"/>
  <c r="O64" i="10"/>
  <c r="M64" i="10"/>
  <c r="L64" i="10"/>
  <c r="K64" i="10"/>
  <c r="J64" i="10"/>
  <c r="G64" i="10"/>
  <c r="F64" i="10"/>
  <c r="E64" i="10"/>
  <c r="D64" i="10"/>
  <c r="W63" i="10"/>
  <c r="P63" i="10"/>
  <c r="O63" i="10"/>
  <c r="M63" i="10"/>
  <c r="L63" i="10"/>
  <c r="K63" i="10"/>
  <c r="J63" i="10"/>
  <c r="G63" i="10"/>
  <c r="F63" i="10"/>
  <c r="E63" i="10"/>
  <c r="D63" i="10"/>
  <c r="W62" i="10"/>
  <c r="P62" i="10"/>
  <c r="O62" i="10"/>
  <c r="M62" i="10"/>
  <c r="L62" i="10"/>
  <c r="K62" i="10"/>
  <c r="J62" i="10"/>
  <c r="G62" i="10"/>
  <c r="F62" i="10"/>
  <c r="E62" i="10"/>
  <c r="D62" i="10"/>
  <c r="W61" i="10"/>
  <c r="P61" i="10"/>
  <c r="O61" i="10"/>
  <c r="M61" i="10"/>
  <c r="L61" i="10"/>
  <c r="K61" i="10"/>
  <c r="J61" i="10"/>
  <c r="G61" i="10"/>
  <c r="F61" i="10"/>
  <c r="E61" i="10"/>
  <c r="D61" i="10"/>
  <c r="W60" i="10"/>
  <c r="P60" i="10"/>
  <c r="O60" i="10"/>
  <c r="M60" i="10"/>
  <c r="L60" i="10"/>
  <c r="K60" i="10"/>
  <c r="J60" i="10"/>
  <c r="G60" i="10"/>
  <c r="F60" i="10"/>
  <c r="E60" i="10"/>
  <c r="D60" i="10"/>
  <c r="W59" i="10"/>
  <c r="P59" i="10"/>
  <c r="O59" i="10"/>
  <c r="M59" i="10"/>
  <c r="L59" i="10"/>
  <c r="K59" i="10"/>
  <c r="J59" i="10"/>
  <c r="G59" i="10"/>
  <c r="F59" i="10"/>
  <c r="E59" i="10"/>
  <c r="D59" i="10"/>
  <c r="W58" i="10"/>
  <c r="P58" i="10"/>
  <c r="O58" i="10"/>
  <c r="M58" i="10"/>
  <c r="L58" i="10"/>
  <c r="K58" i="10"/>
  <c r="J58" i="10"/>
  <c r="G58" i="10"/>
  <c r="F58" i="10"/>
  <c r="E58" i="10"/>
  <c r="D58" i="10"/>
  <c r="W57" i="10"/>
  <c r="P57" i="10"/>
  <c r="O57" i="10"/>
  <c r="M57" i="10"/>
  <c r="L57" i="10"/>
  <c r="K57" i="10"/>
  <c r="J57" i="10"/>
  <c r="G57" i="10"/>
  <c r="F57" i="10"/>
  <c r="E57" i="10"/>
  <c r="D57" i="10"/>
  <c r="W56" i="10"/>
  <c r="P56" i="10"/>
  <c r="O56" i="10"/>
  <c r="M56" i="10"/>
  <c r="L56" i="10"/>
  <c r="K56" i="10"/>
  <c r="J56" i="10"/>
  <c r="G56" i="10"/>
  <c r="F56" i="10"/>
  <c r="E56" i="10"/>
  <c r="D56" i="10"/>
  <c r="W55" i="10"/>
  <c r="P55" i="10"/>
  <c r="O55" i="10"/>
  <c r="M55" i="10"/>
  <c r="L55" i="10"/>
  <c r="K55" i="10"/>
  <c r="J55" i="10"/>
  <c r="G55" i="10"/>
  <c r="F55" i="10"/>
  <c r="E55" i="10"/>
  <c r="D55" i="10"/>
  <c r="W54" i="10"/>
  <c r="P54" i="10"/>
  <c r="O54" i="10"/>
  <c r="M54" i="10"/>
  <c r="L54" i="10"/>
  <c r="K54" i="10"/>
  <c r="J54" i="10"/>
  <c r="G54" i="10"/>
  <c r="F54" i="10"/>
  <c r="E54" i="10"/>
  <c r="D54" i="10"/>
  <c r="W53" i="10"/>
  <c r="P53" i="10"/>
  <c r="O53" i="10"/>
  <c r="M53" i="10"/>
  <c r="L53" i="10"/>
  <c r="K53" i="10"/>
  <c r="J53" i="10"/>
  <c r="G53" i="10"/>
  <c r="F53" i="10"/>
  <c r="E53" i="10"/>
  <c r="D53" i="10"/>
  <c r="W52" i="10"/>
  <c r="P52" i="10"/>
  <c r="O52" i="10"/>
  <c r="M52" i="10"/>
  <c r="L52" i="10"/>
  <c r="K52" i="10"/>
  <c r="J52" i="10"/>
  <c r="G52" i="10"/>
  <c r="F52" i="10"/>
  <c r="E52" i="10"/>
  <c r="D52" i="10"/>
  <c r="W51" i="10"/>
  <c r="P51" i="10"/>
  <c r="O51" i="10"/>
  <c r="M51" i="10"/>
  <c r="L51" i="10"/>
  <c r="K51" i="10"/>
  <c r="J51" i="10"/>
  <c r="G51" i="10"/>
  <c r="F51" i="10"/>
  <c r="E51" i="10"/>
  <c r="D51" i="10"/>
  <c r="W50" i="10"/>
  <c r="P50" i="10"/>
  <c r="O50" i="10"/>
  <c r="M50" i="10"/>
  <c r="L50" i="10"/>
  <c r="K50" i="10"/>
  <c r="J50" i="10"/>
  <c r="G50" i="10"/>
  <c r="F50" i="10"/>
  <c r="E50" i="10"/>
  <c r="D50" i="10"/>
  <c r="W49" i="10"/>
  <c r="P49" i="10"/>
  <c r="O49" i="10"/>
  <c r="M49" i="10"/>
  <c r="L49" i="10"/>
  <c r="K49" i="10"/>
  <c r="J49" i="10"/>
  <c r="G49" i="10"/>
  <c r="F49" i="10"/>
  <c r="E49" i="10"/>
  <c r="D49" i="10"/>
  <c r="W48" i="10"/>
  <c r="P48" i="10"/>
  <c r="O48" i="10"/>
  <c r="M48" i="10"/>
  <c r="L48" i="10"/>
  <c r="K48" i="10"/>
  <c r="J48" i="10"/>
  <c r="G48" i="10"/>
  <c r="F48" i="10"/>
  <c r="E48" i="10"/>
  <c r="D48" i="10"/>
  <c r="W47" i="10"/>
  <c r="P47" i="10"/>
  <c r="O47" i="10"/>
  <c r="M47" i="10"/>
  <c r="L47" i="10"/>
  <c r="K47" i="10"/>
  <c r="J47" i="10"/>
  <c r="G47" i="10"/>
  <c r="F47" i="10"/>
  <c r="E47" i="10"/>
  <c r="D47" i="10"/>
  <c r="W46" i="10"/>
  <c r="P46" i="10"/>
  <c r="O46" i="10"/>
  <c r="M46" i="10"/>
  <c r="L46" i="10"/>
  <c r="K46" i="10"/>
  <c r="J46" i="10"/>
  <c r="G46" i="10"/>
  <c r="F46" i="10"/>
  <c r="E46" i="10"/>
  <c r="D46" i="10"/>
  <c r="W45" i="10"/>
  <c r="P45" i="10"/>
  <c r="O45" i="10"/>
  <c r="M45" i="10"/>
  <c r="L45" i="10"/>
  <c r="K45" i="10"/>
  <c r="J45" i="10"/>
  <c r="G45" i="10"/>
  <c r="F45" i="10"/>
  <c r="E45" i="10"/>
  <c r="D45" i="10"/>
  <c r="W44" i="10"/>
  <c r="P44" i="10"/>
  <c r="O44" i="10"/>
  <c r="M44" i="10"/>
  <c r="L44" i="10"/>
  <c r="K44" i="10"/>
  <c r="J44" i="10"/>
  <c r="G44" i="10"/>
  <c r="F44" i="10"/>
  <c r="E44" i="10"/>
  <c r="D44" i="10"/>
  <c r="W43" i="10"/>
  <c r="P43" i="10"/>
  <c r="O43" i="10"/>
  <c r="M43" i="10"/>
  <c r="L43" i="10"/>
  <c r="K43" i="10"/>
  <c r="J43" i="10"/>
  <c r="G43" i="10"/>
  <c r="F43" i="10"/>
  <c r="E43" i="10"/>
  <c r="D43" i="10"/>
  <c r="W42" i="10"/>
  <c r="P42" i="10"/>
  <c r="O42" i="10"/>
  <c r="M42" i="10"/>
  <c r="L42" i="10"/>
  <c r="K42" i="10"/>
  <c r="J42" i="10"/>
  <c r="G42" i="10"/>
  <c r="F42" i="10"/>
  <c r="E42" i="10"/>
  <c r="D42" i="10"/>
  <c r="W41" i="10"/>
  <c r="P41" i="10"/>
  <c r="O41" i="10"/>
  <c r="M41" i="10"/>
  <c r="L41" i="10"/>
  <c r="K41" i="10"/>
  <c r="J41" i="10"/>
  <c r="G41" i="10"/>
  <c r="F41" i="10"/>
  <c r="E41" i="10"/>
  <c r="D41" i="10"/>
  <c r="W40" i="10"/>
  <c r="P40" i="10"/>
  <c r="O40" i="10"/>
  <c r="M40" i="10"/>
  <c r="L40" i="10"/>
  <c r="K40" i="10"/>
  <c r="J40" i="10"/>
  <c r="G40" i="10"/>
  <c r="F40" i="10"/>
  <c r="E40" i="10"/>
  <c r="D40" i="10"/>
  <c r="W39" i="10"/>
  <c r="P39" i="10"/>
  <c r="O39" i="10"/>
  <c r="M39" i="10"/>
  <c r="L39" i="10"/>
  <c r="K39" i="10"/>
  <c r="J39" i="10"/>
  <c r="G39" i="10"/>
  <c r="F39" i="10"/>
  <c r="E39" i="10"/>
  <c r="D39" i="10"/>
  <c r="W38" i="10"/>
  <c r="P38" i="10"/>
  <c r="O38" i="10"/>
  <c r="M38" i="10"/>
  <c r="L38" i="10"/>
  <c r="K38" i="10"/>
  <c r="J38" i="10"/>
  <c r="G38" i="10"/>
  <c r="F38" i="10"/>
  <c r="E38" i="10"/>
  <c r="D38" i="10"/>
  <c r="W37" i="10"/>
  <c r="P37" i="10"/>
  <c r="O37" i="10"/>
  <c r="M37" i="10"/>
  <c r="L37" i="10"/>
  <c r="K37" i="10"/>
  <c r="J37" i="10"/>
  <c r="G37" i="10"/>
  <c r="F37" i="10"/>
  <c r="E37" i="10"/>
  <c r="D37" i="10"/>
  <c r="W36" i="10"/>
  <c r="P36" i="10"/>
  <c r="O36" i="10"/>
  <c r="M36" i="10"/>
  <c r="L36" i="10"/>
  <c r="K36" i="10"/>
  <c r="J36" i="10"/>
  <c r="G36" i="10"/>
  <c r="F36" i="10"/>
  <c r="E36" i="10"/>
  <c r="D36" i="10"/>
  <c r="W35" i="10"/>
  <c r="P35" i="10"/>
  <c r="O35" i="10"/>
  <c r="M35" i="10"/>
  <c r="L35" i="10"/>
  <c r="K35" i="10"/>
  <c r="J35" i="10"/>
  <c r="G35" i="10"/>
  <c r="F35" i="10"/>
  <c r="E35" i="10"/>
  <c r="D35" i="10"/>
  <c r="W34" i="10"/>
  <c r="P34" i="10"/>
  <c r="O34" i="10"/>
  <c r="M34" i="10"/>
  <c r="L34" i="10"/>
  <c r="K34" i="10"/>
  <c r="J34" i="10"/>
  <c r="G34" i="10"/>
  <c r="F34" i="10"/>
  <c r="E34" i="10"/>
  <c r="D34" i="10"/>
  <c r="W33" i="10"/>
  <c r="P33" i="10"/>
  <c r="O33" i="10"/>
  <c r="M33" i="10"/>
  <c r="L33" i="10"/>
  <c r="K33" i="10"/>
  <c r="J33" i="10"/>
  <c r="G33" i="10"/>
  <c r="F33" i="10"/>
  <c r="E33" i="10"/>
  <c r="D33" i="10"/>
  <c r="W32" i="10"/>
  <c r="P32" i="10"/>
  <c r="O32" i="10"/>
  <c r="M32" i="10"/>
  <c r="L32" i="10"/>
  <c r="K32" i="10"/>
  <c r="J32" i="10"/>
  <c r="G32" i="10"/>
  <c r="F32" i="10"/>
  <c r="E32" i="10"/>
  <c r="D32" i="10"/>
  <c r="W31" i="10"/>
  <c r="P31" i="10"/>
  <c r="O31" i="10"/>
  <c r="M31" i="10"/>
  <c r="L31" i="10"/>
  <c r="K31" i="10"/>
  <c r="J31" i="10"/>
  <c r="G31" i="10"/>
  <c r="F31" i="10"/>
  <c r="E31" i="10"/>
  <c r="D31" i="10"/>
  <c r="W30" i="10"/>
  <c r="P30" i="10"/>
  <c r="O30" i="10"/>
  <c r="M30" i="10"/>
  <c r="L30" i="10"/>
  <c r="K30" i="10"/>
  <c r="J30" i="10"/>
  <c r="G30" i="10"/>
  <c r="F30" i="10"/>
  <c r="E30" i="10"/>
  <c r="D30" i="10"/>
  <c r="W29" i="10"/>
  <c r="P29" i="10"/>
  <c r="O29" i="10"/>
  <c r="M29" i="10"/>
  <c r="L29" i="10"/>
  <c r="K29" i="10"/>
  <c r="J29" i="10"/>
  <c r="G29" i="10"/>
  <c r="F29" i="10"/>
  <c r="E29" i="10"/>
  <c r="D29" i="10"/>
  <c r="W28" i="10"/>
  <c r="P28" i="10"/>
  <c r="O28" i="10"/>
  <c r="M28" i="10"/>
  <c r="L28" i="10"/>
  <c r="K28" i="10"/>
  <c r="J28" i="10"/>
  <c r="G28" i="10"/>
  <c r="F28" i="10"/>
  <c r="E28" i="10"/>
  <c r="D28" i="10"/>
  <c r="W27" i="10"/>
  <c r="P27" i="10"/>
  <c r="O27" i="10"/>
  <c r="M27" i="10"/>
  <c r="L27" i="10"/>
  <c r="K27" i="10"/>
  <c r="J27" i="10"/>
  <c r="G27" i="10"/>
  <c r="F27" i="10"/>
  <c r="E27" i="10"/>
  <c r="D27" i="10"/>
  <c r="W26" i="10"/>
  <c r="P26" i="10"/>
  <c r="O26" i="10"/>
  <c r="M26" i="10"/>
  <c r="L26" i="10"/>
  <c r="K26" i="10"/>
  <c r="J26" i="10"/>
  <c r="G26" i="10"/>
  <c r="F26" i="10"/>
  <c r="E26" i="10"/>
  <c r="D26" i="10"/>
  <c r="W25" i="10"/>
  <c r="P25" i="10"/>
  <c r="O25" i="10"/>
  <c r="M25" i="10"/>
  <c r="L25" i="10"/>
  <c r="K25" i="10"/>
  <c r="J25" i="10"/>
  <c r="G25" i="10"/>
  <c r="F25" i="10"/>
  <c r="E25" i="10"/>
  <c r="D25" i="10"/>
  <c r="W24" i="10"/>
  <c r="P24" i="10"/>
  <c r="O24" i="10"/>
  <c r="M24" i="10"/>
  <c r="L24" i="10"/>
  <c r="K24" i="10"/>
  <c r="J24" i="10"/>
  <c r="G24" i="10"/>
  <c r="F24" i="10"/>
  <c r="E24" i="10"/>
  <c r="D24" i="10"/>
  <c r="W23" i="10"/>
  <c r="P23" i="10"/>
  <c r="O23" i="10"/>
  <c r="M23" i="10"/>
  <c r="L23" i="10"/>
  <c r="K23" i="10"/>
  <c r="J23" i="10"/>
  <c r="G23" i="10"/>
  <c r="F23" i="10"/>
  <c r="E23" i="10"/>
  <c r="D23" i="10"/>
  <c r="W22" i="10"/>
  <c r="P22" i="10"/>
  <c r="O22" i="10"/>
  <c r="M22" i="10"/>
  <c r="L22" i="10"/>
  <c r="K22" i="10"/>
  <c r="J22" i="10"/>
  <c r="G22" i="10"/>
  <c r="F22" i="10"/>
  <c r="E22" i="10"/>
  <c r="D22" i="10"/>
  <c r="W21" i="10"/>
  <c r="P21" i="10"/>
  <c r="O21" i="10"/>
  <c r="M21" i="10"/>
  <c r="L21" i="10"/>
  <c r="K21" i="10"/>
  <c r="J21" i="10"/>
  <c r="G21" i="10"/>
  <c r="F21" i="10"/>
  <c r="E21" i="10"/>
  <c r="D21" i="10"/>
  <c r="W20" i="10"/>
  <c r="P20" i="10"/>
  <c r="O20" i="10"/>
  <c r="M20" i="10"/>
  <c r="L20" i="10"/>
  <c r="K20" i="10"/>
  <c r="J20" i="10"/>
  <c r="G20" i="10"/>
  <c r="F20" i="10"/>
  <c r="E20" i="10"/>
  <c r="D20" i="10"/>
  <c r="W19" i="10"/>
  <c r="P19" i="10"/>
  <c r="O19" i="10"/>
  <c r="M19" i="10"/>
  <c r="L19" i="10"/>
  <c r="K19" i="10"/>
  <c r="J19" i="10"/>
  <c r="G19" i="10"/>
  <c r="F19" i="10"/>
  <c r="E19" i="10"/>
  <c r="D19" i="10"/>
  <c r="W18" i="10"/>
  <c r="P18" i="10"/>
  <c r="O18" i="10"/>
  <c r="M18" i="10"/>
  <c r="L18" i="10"/>
  <c r="K18" i="10"/>
  <c r="J18" i="10"/>
  <c r="G18" i="10"/>
  <c r="F18" i="10"/>
  <c r="E18" i="10"/>
  <c r="D18" i="10"/>
  <c r="W17" i="10"/>
  <c r="P17" i="10"/>
  <c r="O17" i="10"/>
  <c r="M17" i="10"/>
  <c r="L17" i="10"/>
  <c r="K17" i="10"/>
  <c r="J17" i="10"/>
  <c r="G17" i="10"/>
  <c r="F17" i="10"/>
  <c r="E17" i="10"/>
  <c r="D17" i="10"/>
  <c r="W16" i="10"/>
  <c r="P16" i="10"/>
  <c r="O16" i="10"/>
  <c r="M16" i="10"/>
  <c r="L16" i="10"/>
  <c r="K16" i="10"/>
  <c r="J16" i="10"/>
  <c r="G16" i="10"/>
  <c r="F16" i="10"/>
  <c r="E16" i="10"/>
  <c r="D16" i="10"/>
  <c r="W15" i="10"/>
  <c r="P15" i="10"/>
  <c r="O15" i="10"/>
  <c r="M15" i="10"/>
  <c r="L15" i="10"/>
  <c r="K15" i="10"/>
  <c r="J15" i="10"/>
  <c r="G15" i="10"/>
  <c r="F15" i="10"/>
  <c r="E15" i="10"/>
  <c r="D15" i="10"/>
  <c r="W14" i="10"/>
  <c r="P14" i="10"/>
  <c r="O14" i="10"/>
  <c r="M14" i="10"/>
  <c r="L14" i="10"/>
  <c r="K14" i="10"/>
  <c r="J14" i="10"/>
  <c r="G14" i="10"/>
  <c r="F14" i="10"/>
  <c r="E14" i="10"/>
  <c r="D14" i="10"/>
  <c r="W13" i="10"/>
  <c r="P13" i="10"/>
  <c r="O13" i="10"/>
  <c r="M13" i="10"/>
  <c r="L13" i="10"/>
  <c r="K13" i="10"/>
  <c r="J13" i="10"/>
  <c r="G13" i="10"/>
  <c r="F13" i="10"/>
  <c r="E13" i="10"/>
  <c r="D13" i="10"/>
  <c r="W12" i="10"/>
  <c r="P12" i="10"/>
  <c r="O12" i="10"/>
  <c r="M12" i="10"/>
  <c r="L12" i="10"/>
  <c r="K12" i="10"/>
  <c r="J12" i="10"/>
  <c r="G12" i="10"/>
  <c r="F12" i="10"/>
  <c r="E12" i="10"/>
  <c r="D12" i="10"/>
  <c r="W11" i="10"/>
  <c r="P11" i="10"/>
  <c r="O11" i="10"/>
  <c r="M11" i="10"/>
  <c r="L11" i="10"/>
  <c r="K11" i="10"/>
  <c r="J11" i="10"/>
  <c r="G11" i="10"/>
  <c r="F11" i="10"/>
  <c r="E11" i="10"/>
  <c r="D11" i="10"/>
  <c r="W10" i="10"/>
  <c r="P10" i="10"/>
  <c r="O10" i="10"/>
  <c r="M10" i="10"/>
  <c r="L10" i="10"/>
  <c r="K10" i="10"/>
  <c r="J10" i="10"/>
  <c r="G10" i="10"/>
  <c r="F10" i="10"/>
  <c r="E10" i="10"/>
  <c r="D10" i="10"/>
  <c r="W9" i="10"/>
  <c r="P9" i="10"/>
  <c r="O9" i="10"/>
  <c r="M9" i="10"/>
  <c r="L9" i="10"/>
  <c r="K9" i="10"/>
  <c r="J9" i="10"/>
  <c r="G9" i="10"/>
  <c r="F9" i="10"/>
  <c r="E9" i="10"/>
  <c r="D9" i="10"/>
  <c r="W8" i="10"/>
  <c r="P8" i="10"/>
  <c r="O8" i="10"/>
  <c r="M8" i="10"/>
  <c r="L8" i="10"/>
  <c r="K8" i="10"/>
  <c r="J8" i="10"/>
  <c r="G8" i="10"/>
  <c r="F8" i="10"/>
  <c r="E8" i="10"/>
  <c r="D8" i="10"/>
  <c r="W7" i="10"/>
  <c r="P7" i="10"/>
  <c r="O7" i="10"/>
  <c r="M7" i="10"/>
  <c r="L7" i="10"/>
  <c r="K7" i="10"/>
  <c r="J7" i="10"/>
  <c r="G7" i="10"/>
  <c r="F7" i="10"/>
  <c r="E7" i="10"/>
  <c r="D7" i="10"/>
  <c r="W6" i="10"/>
  <c r="P6" i="10"/>
  <c r="O6" i="10"/>
  <c r="M6" i="10"/>
  <c r="L6" i="10"/>
  <c r="K6" i="10"/>
  <c r="J6" i="10"/>
  <c r="G6" i="10"/>
  <c r="F6" i="10"/>
  <c r="E6" i="10"/>
  <c r="D6" i="10"/>
  <c r="F11" i="6"/>
  <c r="E11" i="6"/>
  <c r="CO12" i="5"/>
  <c r="CN12" i="5"/>
  <c r="BZ12" i="5"/>
  <c r="BY12" i="5"/>
  <c r="BK12" i="5"/>
  <c r="BJ12" i="5"/>
  <c r="AV12" i="5"/>
  <c r="AU12" i="5"/>
  <c r="AG12" i="5"/>
  <c r="AF12" i="5"/>
  <c r="R12" i="5"/>
  <c r="Q12" i="5"/>
  <c r="CO11" i="5"/>
  <c r="CN11" i="5"/>
  <c r="BZ11" i="5"/>
  <c r="BY11" i="5"/>
  <c r="BK11" i="5"/>
  <c r="BJ11" i="5"/>
  <c r="AV11" i="5"/>
  <c r="AU11" i="5"/>
  <c r="AG11" i="5"/>
  <c r="AF11" i="5"/>
  <c r="R11" i="5"/>
  <c r="Q11" i="5"/>
  <c r="CO10" i="5"/>
  <c r="CN10" i="5"/>
  <c r="BZ10" i="5"/>
  <c r="BY10" i="5"/>
  <c r="BK10" i="5"/>
  <c r="BJ10" i="5"/>
  <c r="AV10" i="5"/>
  <c r="AU10" i="5"/>
  <c r="AG10" i="5"/>
  <c r="AF10" i="5"/>
  <c r="R10" i="5"/>
  <c r="Q10" i="5"/>
  <c r="CO9" i="5"/>
  <c r="CN9" i="5"/>
  <c r="BZ9" i="5"/>
  <c r="BY9" i="5"/>
  <c r="BK9" i="5"/>
  <c r="BJ9" i="5"/>
  <c r="AV9" i="5"/>
  <c r="AU9" i="5"/>
  <c r="AG9" i="5"/>
  <c r="AF9" i="5"/>
  <c r="R9" i="5"/>
  <c r="Q9" i="5"/>
  <c r="CO8" i="5"/>
  <c r="CN8" i="5"/>
  <c r="BZ8" i="5"/>
  <c r="BY8" i="5"/>
  <c r="BK8" i="5"/>
  <c r="BJ8" i="5"/>
  <c r="AV8" i="5"/>
  <c r="AU8" i="5"/>
  <c r="AG8" i="5"/>
  <c r="AF8" i="5"/>
  <c r="R8" i="5"/>
  <c r="Q8" i="5"/>
  <c r="CO7" i="5"/>
  <c r="CN7" i="5"/>
  <c r="BZ7" i="5"/>
  <c r="BY7" i="5"/>
  <c r="BK7" i="5"/>
  <c r="BJ7" i="5"/>
  <c r="AV7" i="5"/>
  <c r="AU7" i="5"/>
  <c r="AG7" i="5"/>
  <c r="AF7" i="5"/>
  <c r="R7" i="5"/>
  <c r="Q7" i="5"/>
  <c r="CO6" i="5"/>
  <c r="CN6" i="5"/>
  <c r="BZ6" i="5"/>
  <c r="BY6" i="5"/>
  <c r="BK6" i="5"/>
  <c r="BJ6" i="5"/>
  <c r="AV6" i="5"/>
  <c r="AU6" i="5"/>
  <c r="AG6" i="5"/>
  <c r="AF6" i="5"/>
  <c r="R6" i="5"/>
  <c r="Q6" i="5"/>
  <c r="CO5" i="5"/>
  <c r="CN5" i="5"/>
  <c r="BZ5" i="5"/>
  <c r="BY5" i="5"/>
  <c r="BK5" i="5"/>
  <c r="BJ5" i="5"/>
  <c r="AV5" i="5"/>
  <c r="AU5" i="5"/>
  <c r="AG5" i="5"/>
  <c r="AF5" i="5"/>
  <c r="R5" i="5"/>
  <c r="Q5" i="5"/>
  <c r="CO4" i="5"/>
  <c r="CN4" i="5"/>
  <c r="BZ4" i="5"/>
  <c r="BY4" i="5"/>
  <c r="BK4" i="5"/>
  <c r="BJ4" i="5"/>
  <c r="AV4" i="5"/>
  <c r="AU4" i="5"/>
  <c r="AG4" i="5"/>
  <c r="AF4" i="5"/>
  <c r="R4" i="5"/>
  <c r="Q4" i="5"/>
  <c r="CO3" i="5"/>
  <c r="CN3" i="5"/>
  <c r="CM3" i="5"/>
  <c r="CL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D39" i="4"/>
  <c r="C39" i="4"/>
  <c r="B39" i="4"/>
  <c r="D38" i="4"/>
  <c r="C38" i="4"/>
  <c r="B38" i="4"/>
  <c r="D37" i="4"/>
  <c r="C37" i="4"/>
  <c r="E37" i="4" s="1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X95" i="3"/>
  <c r="W95" i="3"/>
  <c r="V95" i="3"/>
  <c r="W94" i="3"/>
  <c r="V94" i="3"/>
  <c r="X93" i="3"/>
  <c r="W93" i="3"/>
  <c r="V93" i="3"/>
  <c r="W92" i="3"/>
  <c r="V92" i="3"/>
  <c r="W91" i="3"/>
  <c r="V91" i="3"/>
  <c r="X90" i="3"/>
  <c r="W90" i="3"/>
  <c r="V90" i="3"/>
  <c r="X89" i="3"/>
  <c r="W89" i="3"/>
  <c r="V89" i="3"/>
  <c r="X88" i="3"/>
  <c r="W88" i="3"/>
  <c r="V88" i="3"/>
  <c r="X87" i="3"/>
  <c r="W87" i="3"/>
  <c r="V87" i="3"/>
  <c r="X86" i="3"/>
  <c r="W86" i="3"/>
  <c r="V86" i="3"/>
  <c r="W85" i="3"/>
  <c r="V85" i="3"/>
  <c r="W84" i="3"/>
  <c r="V84" i="3"/>
  <c r="W83" i="3"/>
  <c r="V83" i="3"/>
  <c r="X82" i="3"/>
  <c r="W82" i="3"/>
  <c r="V82" i="3"/>
  <c r="W81" i="3"/>
  <c r="V81" i="3"/>
  <c r="X80" i="3"/>
  <c r="W80" i="3"/>
  <c r="V80" i="3"/>
  <c r="X79" i="3"/>
  <c r="W79" i="3"/>
  <c r="V79" i="3"/>
  <c r="X78" i="3"/>
  <c r="W78" i="3"/>
  <c r="V78" i="3"/>
  <c r="X77" i="3"/>
  <c r="W77" i="3"/>
  <c r="V77" i="3"/>
  <c r="W76" i="3"/>
  <c r="V76" i="3"/>
  <c r="W75" i="3"/>
  <c r="V75" i="3"/>
  <c r="X74" i="3"/>
  <c r="W74" i="3"/>
  <c r="V74" i="3"/>
  <c r="X73" i="3"/>
  <c r="W73" i="3"/>
  <c r="V73" i="3"/>
  <c r="W72" i="3"/>
  <c r="V72" i="3"/>
  <c r="W71" i="3"/>
  <c r="V71" i="3"/>
  <c r="W70" i="3"/>
  <c r="V70" i="3"/>
  <c r="W69" i="3"/>
  <c r="V69" i="3"/>
  <c r="W68" i="3"/>
  <c r="V68" i="3"/>
  <c r="W67" i="3"/>
  <c r="V67" i="3"/>
  <c r="X66" i="3"/>
  <c r="W66" i="3"/>
  <c r="V66" i="3"/>
  <c r="X65" i="3"/>
  <c r="W65" i="3"/>
  <c r="V65" i="3"/>
  <c r="X64" i="3"/>
  <c r="W64" i="3"/>
  <c r="V64" i="3"/>
  <c r="X63" i="3"/>
  <c r="W63" i="3"/>
  <c r="V63" i="3"/>
  <c r="X62" i="3"/>
  <c r="W62" i="3"/>
  <c r="V62" i="3"/>
  <c r="X61" i="3"/>
  <c r="W61" i="3"/>
  <c r="V61" i="3"/>
  <c r="X60" i="3"/>
  <c r="W60" i="3"/>
  <c r="V60" i="3"/>
  <c r="X59" i="3"/>
  <c r="W59" i="3"/>
  <c r="V59" i="3"/>
  <c r="X58" i="3"/>
  <c r="W58" i="3"/>
  <c r="V58" i="3"/>
  <c r="X57" i="3"/>
  <c r="W57" i="3"/>
  <c r="V57" i="3"/>
  <c r="X56" i="3"/>
  <c r="W56" i="3"/>
  <c r="V56" i="3"/>
  <c r="X55" i="3"/>
  <c r="W55" i="3"/>
  <c r="V55" i="3"/>
  <c r="X54" i="3"/>
  <c r="W54" i="3"/>
  <c r="V54" i="3"/>
  <c r="X53" i="3"/>
  <c r="W53" i="3"/>
  <c r="V53" i="3"/>
  <c r="W52" i="3"/>
  <c r="V52" i="3"/>
  <c r="X51" i="3"/>
  <c r="W51" i="3"/>
  <c r="V51" i="3"/>
  <c r="X50" i="3"/>
  <c r="W50" i="3"/>
  <c r="V50" i="3"/>
  <c r="X49" i="3"/>
  <c r="W49" i="3"/>
  <c r="V49" i="3"/>
  <c r="X48" i="3"/>
  <c r="W48" i="3"/>
  <c r="V48" i="3"/>
  <c r="X47" i="3"/>
  <c r="W47" i="3"/>
  <c r="V47" i="3"/>
  <c r="X46" i="3"/>
  <c r="W46" i="3"/>
  <c r="V46" i="3"/>
  <c r="X44" i="3"/>
  <c r="W44" i="3"/>
  <c r="V44" i="3"/>
  <c r="X43" i="3"/>
  <c r="W43" i="3"/>
  <c r="V43" i="3"/>
  <c r="X42" i="3"/>
  <c r="W42" i="3"/>
  <c r="V42" i="3"/>
  <c r="X41" i="3"/>
  <c r="W41" i="3"/>
  <c r="V41" i="3"/>
  <c r="X40" i="3"/>
  <c r="W40" i="3"/>
  <c r="V40" i="3"/>
  <c r="X38" i="3"/>
  <c r="W38" i="3"/>
  <c r="V38" i="3"/>
  <c r="W37" i="3"/>
  <c r="V37" i="3"/>
  <c r="W36" i="3"/>
  <c r="V36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W21" i="3"/>
  <c r="V21" i="3"/>
  <c r="X20" i="3"/>
  <c r="W20" i="3"/>
  <c r="V20" i="3"/>
  <c r="X19" i="3"/>
  <c r="W19" i="3"/>
  <c r="V19" i="3"/>
  <c r="W18" i="3"/>
  <c r="V18" i="3"/>
  <c r="X17" i="3"/>
  <c r="W17" i="3"/>
  <c r="V17" i="3"/>
  <c r="X16" i="3"/>
  <c r="W16" i="3"/>
  <c r="V16" i="3"/>
  <c r="X15" i="3"/>
  <c r="W15" i="3"/>
  <c r="V15" i="3"/>
  <c r="W14" i="3"/>
  <c r="V14" i="3"/>
  <c r="X13" i="3"/>
  <c r="W13" i="3"/>
  <c r="V13" i="3"/>
  <c r="X12" i="3"/>
  <c r="W12" i="3"/>
  <c r="V12" i="3"/>
  <c r="X11" i="3"/>
  <c r="W11" i="3"/>
  <c r="V11" i="3"/>
  <c r="X10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R307" i="2"/>
  <c r="AN307" i="2"/>
  <c r="AJ307" i="2"/>
  <c r="AF307" i="2"/>
  <c r="AB307" i="2"/>
  <c r="X307" i="2"/>
  <c r="T307" i="2"/>
  <c r="P307" i="2"/>
  <c r="L307" i="2"/>
  <c r="H307" i="2"/>
  <c r="D307" i="2"/>
  <c r="AR306" i="2"/>
  <c r="AN306" i="2"/>
  <c r="AJ306" i="2"/>
  <c r="AF306" i="2"/>
  <c r="AB306" i="2"/>
  <c r="X306" i="2"/>
  <c r="T306" i="2"/>
  <c r="P306" i="2"/>
  <c r="L306" i="2"/>
  <c r="H306" i="2"/>
  <c r="D306" i="2"/>
  <c r="AR305" i="2"/>
  <c r="AN305" i="2"/>
  <c r="AJ305" i="2"/>
  <c r="AF305" i="2"/>
  <c r="AB305" i="2"/>
  <c r="X305" i="2"/>
  <c r="T305" i="2"/>
  <c r="P305" i="2"/>
  <c r="L305" i="2"/>
  <c r="H305" i="2"/>
  <c r="D305" i="2"/>
  <c r="AR304" i="2"/>
  <c r="AN304" i="2"/>
  <c r="AJ304" i="2"/>
  <c r="AF304" i="2"/>
  <c r="AB304" i="2"/>
  <c r="X304" i="2"/>
  <c r="T304" i="2"/>
  <c r="P304" i="2"/>
  <c r="L304" i="2"/>
  <c r="H304" i="2"/>
  <c r="D304" i="2"/>
  <c r="AR303" i="2"/>
  <c r="AN303" i="2"/>
  <c r="AJ303" i="2"/>
  <c r="AF303" i="2"/>
  <c r="AB303" i="2"/>
  <c r="X303" i="2"/>
  <c r="T303" i="2"/>
  <c r="P303" i="2"/>
  <c r="L303" i="2"/>
  <c r="H303" i="2"/>
  <c r="D303" i="2"/>
  <c r="AR302" i="2"/>
  <c r="AN302" i="2"/>
  <c r="AJ302" i="2"/>
  <c r="AF302" i="2"/>
  <c r="AB302" i="2"/>
  <c r="X302" i="2"/>
  <c r="T302" i="2"/>
  <c r="P302" i="2"/>
  <c r="L302" i="2"/>
  <c r="H302" i="2"/>
  <c r="D302" i="2"/>
  <c r="AR301" i="2"/>
  <c r="AN301" i="2"/>
  <c r="AJ301" i="2"/>
  <c r="AF301" i="2"/>
  <c r="AB301" i="2"/>
  <c r="X301" i="2"/>
  <c r="T301" i="2"/>
  <c r="P301" i="2"/>
  <c r="L301" i="2"/>
  <c r="H301" i="2"/>
  <c r="D301" i="2"/>
  <c r="AR300" i="2"/>
  <c r="AN300" i="2"/>
  <c r="AJ300" i="2"/>
  <c r="AF300" i="2"/>
  <c r="AB300" i="2"/>
  <c r="X300" i="2"/>
  <c r="T300" i="2"/>
  <c r="P300" i="2"/>
  <c r="L300" i="2"/>
  <c r="H300" i="2"/>
  <c r="D300" i="2"/>
  <c r="AR299" i="2"/>
  <c r="AN299" i="2"/>
  <c r="AJ299" i="2"/>
  <c r="AF299" i="2"/>
  <c r="AB299" i="2"/>
  <c r="X299" i="2"/>
  <c r="T299" i="2"/>
  <c r="P299" i="2"/>
  <c r="L299" i="2"/>
  <c r="H299" i="2"/>
  <c r="D299" i="2"/>
  <c r="AR298" i="2"/>
  <c r="AN298" i="2"/>
  <c r="AJ298" i="2"/>
  <c r="AF298" i="2"/>
  <c r="AB298" i="2"/>
  <c r="X298" i="2"/>
  <c r="T298" i="2"/>
  <c r="P298" i="2"/>
  <c r="L298" i="2"/>
  <c r="H298" i="2"/>
  <c r="D298" i="2"/>
  <c r="AR297" i="2"/>
  <c r="AN297" i="2"/>
  <c r="AJ297" i="2"/>
  <c r="AF297" i="2"/>
  <c r="AB297" i="2"/>
  <c r="X297" i="2"/>
  <c r="T297" i="2"/>
  <c r="P297" i="2"/>
  <c r="L297" i="2"/>
  <c r="H297" i="2"/>
  <c r="D297" i="2"/>
  <c r="AR296" i="2"/>
  <c r="AN296" i="2"/>
  <c r="AJ296" i="2"/>
  <c r="AF296" i="2"/>
  <c r="AB296" i="2"/>
  <c r="X296" i="2"/>
  <c r="T296" i="2"/>
  <c r="P296" i="2"/>
  <c r="L296" i="2"/>
  <c r="H296" i="2"/>
  <c r="D296" i="2"/>
  <c r="AR295" i="2"/>
  <c r="AN295" i="2"/>
  <c r="AJ295" i="2"/>
  <c r="AF295" i="2"/>
  <c r="AB295" i="2"/>
  <c r="X295" i="2"/>
  <c r="T295" i="2"/>
  <c r="P295" i="2"/>
  <c r="L295" i="2"/>
  <c r="H295" i="2"/>
  <c r="D295" i="2"/>
  <c r="AR294" i="2"/>
  <c r="AN294" i="2"/>
  <c r="AJ294" i="2"/>
  <c r="AF294" i="2"/>
  <c r="AB294" i="2"/>
  <c r="X294" i="2"/>
  <c r="T294" i="2"/>
  <c r="P294" i="2"/>
  <c r="L294" i="2"/>
  <c r="H294" i="2"/>
  <c r="D294" i="2"/>
  <c r="AR293" i="2"/>
  <c r="AN293" i="2"/>
  <c r="AJ293" i="2"/>
  <c r="AF293" i="2"/>
  <c r="AB293" i="2"/>
  <c r="X293" i="2"/>
  <c r="T293" i="2"/>
  <c r="P293" i="2"/>
  <c r="L293" i="2"/>
  <c r="H293" i="2"/>
  <c r="D293" i="2"/>
  <c r="AR292" i="2"/>
  <c r="AN292" i="2"/>
  <c r="AJ292" i="2"/>
  <c r="AF292" i="2"/>
  <c r="AB292" i="2"/>
  <c r="X292" i="2"/>
  <c r="T292" i="2"/>
  <c r="P292" i="2"/>
  <c r="L292" i="2"/>
  <c r="H292" i="2"/>
  <c r="D292" i="2"/>
  <c r="AR291" i="2"/>
  <c r="AN291" i="2"/>
  <c r="AJ291" i="2"/>
  <c r="AF291" i="2"/>
  <c r="AB291" i="2"/>
  <c r="X291" i="2"/>
  <c r="T291" i="2"/>
  <c r="P291" i="2"/>
  <c r="L291" i="2"/>
  <c r="H291" i="2"/>
  <c r="D291" i="2"/>
  <c r="AR290" i="2"/>
  <c r="AN290" i="2"/>
  <c r="AJ290" i="2"/>
  <c r="AF290" i="2"/>
  <c r="AB290" i="2"/>
  <c r="X290" i="2"/>
  <c r="T290" i="2"/>
  <c r="P290" i="2"/>
  <c r="L290" i="2"/>
  <c r="H290" i="2"/>
  <c r="D290" i="2"/>
  <c r="AR289" i="2"/>
  <c r="AN289" i="2"/>
  <c r="AJ289" i="2"/>
  <c r="AF289" i="2"/>
  <c r="AB289" i="2"/>
  <c r="X289" i="2"/>
  <c r="T289" i="2"/>
  <c r="P289" i="2"/>
  <c r="L289" i="2"/>
  <c r="H289" i="2"/>
  <c r="D289" i="2"/>
  <c r="AR288" i="2"/>
  <c r="AN288" i="2"/>
  <c r="AJ288" i="2"/>
  <c r="AF288" i="2"/>
  <c r="AB288" i="2"/>
  <c r="X288" i="2"/>
  <c r="T288" i="2"/>
  <c r="P288" i="2"/>
  <c r="L288" i="2"/>
  <c r="H288" i="2"/>
  <c r="D288" i="2"/>
  <c r="AR287" i="2"/>
  <c r="AN287" i="2"/>
  <c r="AJ287" i="2"/>
  <c r="AF287" i="2"/>
  <c r="AB287" i="2"/>
  <c r="X287" i="2"/>
  <c r="T287" i="2"/>
  <c r="P287" i="2"/>
  <c r="L287" i="2"/>
  <c r="H287" i="2"/>
  <c r="D287" i="2"/>
  <c r="AR286" i="2"/>
  <c r="AN286" i="2"/>
  <c r="AJ286" i="2"/>
  <c r="AF286" i="2"/>
  <c r="AB286" i="2"/>
  <c r="X286" i="2"/>
  <c r="T286" i="2"/>
  <c r="P286" i="2"/>
  <c r="L286" i="2"/>
  <c r="H286" i="2"/>
  <c r="D286" i="2"/>
  <c r="AR285" i="2"/>
  <c r="AN285" i="2"/>
  <c r="AJ285" i="2"/>
  <c r="AF285" i="2"/>
  <c r="AB285" i="2"/>
  <c r="X285" i="2"/>
  <c r="T285" i="2"/>
  <c r="P285" i="2"/>
  <c r="L285" i="2"/>
  <c r="H285" i="2"/>
  <c r="D285" i="2"/>
  <c r="AR284" i="2"/>
  <c r="AN284" i="2"/>
  <c r="AJ284" i="2"/>
  <c r="AF284" i="2"/>
  <c r="AB284" i="2"/>
  <c r="X284" i="2"/>
  <c r="T284" i="2"/>
  <c r="P284" i="2"/>
  <c r="L284" i="2"/>
  <c r="H284" i="2"/>
  <c r="D284" i="2"/>
  <c r="AR283" i="2"/>
  <c r="AN283" i="2"/>
  <c r="AJ283" i="2"/>
  <c r="AF283" i="2"/>
  <c r="AB283" i="2"/>
  <c r="X283" i="2"/>
  <c r="T283" i="2"/>
  <c r="P283" i="2"/>
  <c r="L283" i="2"/>
  <c r="H283" i="2"/>
  <c r="D283" i="2"/>
  <c r="AR282" i="2"/>
  <c r="AN282" i="2"/>
  <c r="AJ282" i="2"/>
  <c r="AF282" i="2"/>
  <c r="AB282" i="2"/>
  <c r="X282" i="2"/>
  <c r="T282" i="2"/>
  <c r="P282" i="2"/>
  <c r="L282" i="2"/>
  <c r="H282" i="2"/>
  <c r="D282" i="2"/>
  <c r="AR281" i="2"/>
  <c r="AN281" i="2"/>
  <c r="AJ281" i="2"/>
  <c r="AF281" i="2"/>
  <c r="AB281" i="2"/>
  <c r="X281" i="2"/>
  <c r="T281" i="2"/>
  <c r="P281" i="2"/>
  <c r="L281" i="2"/>
  <c r="H281" i="2"/>
  <c r="D281" i="2"/>
  <c r="AR280" i="2"/>
  <c r="AN280" i="2"/>
  <c r="AJ280" i="2"/>
  <c r="AF280" i="2"/>
  <c r="AB280" i="2"/>
  <c r="X280" i="2"/>
  <c r="T280" i="2"/>
  <c r="P280" i="2"/>
  <c r="L280" i="2"/>
  <c r="H280" i="2"/>
  <c r="D280" i="2"/>
  <c r="AR279" i="2"/>
  <c r="AN279" i="2"/>
  <c r="AJ279" i="2"/>
  <c r="AF279" i="2"/>
  <c r="AB279" i="2"/>
  <c r="X279" i="2"/>
  <c r="T279" i="2"/>
  <c r="P279" i="2"/>
  <c r="L279" i="2"/>
  <c r="H279" i="2"/>
  <c r="D279" i="2"/>
  <c r="AR278" i="2"/>
  <c r="AN278" i="2"/>
  <c r="AJ278" i="2"/>
  <c r="AF278" i="2"/>
  <c r="AB278" i="2"/>
  <c r="X278" i="2"/>
  <c r="T278" i="2"/>
  <c r="P278" i="2"/>
  <c r="L278" i="2"/>
  <c r="H278" i="2"/>
  <c r="D278" i="2"/>
  <c r="AR277" i="2"/>
  <c r="AN277" i="2"/>
  <c r="AJ277" i="2"/>
  <c r="AF277" i="2"/>
  <c r="AB277" i="2"/>
  <c r="X277" i="2"/>
  <c r="T277" i="2"/>
  <c r="P277" i="2"/>
  <c r="L277" i="2"/>
  <c r="H277" i="2"/>
  <c r="D277" i="2"/>
  <c r="AR276" i="2"/>
  <c r="AN276" i="2"/>
  <c r="AJ276" i="2"/>
  <c r="AF276" i="2"/>
  <c r="AB276" i="2"/>
  <c r="X276" i="2"/>
  <c r="T276" i="2"/>
  <c r="P276" i="2"/>
  <c r="L276" i="2"/>
  <c r="H276" i="2"/>
  <c r="D276" i="2"/>
  <c r="AR275" i="2"/>
  <c r="AN275" i="2"/>
  <c r="AJ275" i="2"/>
  <c r="AF275" i="2"/>
  <c r="AB275" i="2"/>
  <c r="X275" i="2"/>
  <c r="T275" i="2"/>
  <c r="P275" i="2"/>
  <c r="L275" i="2"/>
  <c r="H275" i="2"/>
  <c r="D275" i="2"/>
  <c r="AR274" i="2"/>
  <c r="AN274" i="2"/>
  <c r="AJ274" i="2"/>
  <c r="AF274" i="2"/>
  <c r="AB274" i="2"/>
  <c r="X274" i="2"/>
  <c r="T274" i="2"/>
  <c r="P274" i="2"/>
  <c r="L274" i="2"/>
  <c r="H274" i="2"/>
  <c r="D274" i="2"/>
  <c r="AR273" i="2"/>
  <c r="AN273" i="2"/>
  <c r="AJ273" i="2"/>
  <c r="AF273" i="2"/>
  <c r="AB273" i="2"/>
  <c r="X273" i="2"/>
  <c r="T273" i="2"/>
  <c r="P273" i="2"/>
  <c r="L273" i="2"/>
  <c r="H273" i="2"/>
  <c r="D273" i="2"/>
  <c r="AR272" i="2"/>
  <c r="AN272" i="2"/>
  <c r="AJ272" i="2"/>
  <c r="AF272" i="2"/>
  <c r="AB272" i="2"/>
  <c r="X272" i="2"/>
  <c r="T272" i="2"/>
  <c r="P272" i="2"/>
  <c r="L272" i="2"/>
  <c r="H272" i="2"/>
  <c r="D272" i="2"/>
  <c r="AR271" i="2"/>
  <c r="AN271" i="2"/>
  <c r="AJ271" i="2"/>
  <c r="AF271" i="2"/>
  <c r="AB271" i="2"/>
  <c r="X271" i="2"/>
  <c r="T271" i="2"/>
  <c r="P271" i="2"/>
  <c r="L271" i="2"/>
  <c r="H271" i="2"/>
  <c r="D271" i="2"/>
  <c r="AR270" i="2"/>
  <c r="AN270" i="2"/>
  <c r="AJ270" i="2"/>
  <c r="AF270" i="2"/>
  <c r="AB270" i="2"/>
  <c r="X270" i="2"/>
  <c r="T270" i="2"/>
  <c r="P270" i="2"/>
  <c r="L270" i="2"/>
  <c r="H270" i="2"/>
  <c r="D270" i="2"/>
  <c r="AR269" i="2"/>
  <c r="AN269" i="2"/>
  <c r="AJ269" i="2"/>
  <c r="AF269" i="2"/>
  <c r="AB269" i="2"/>
  <c r="X269" i="2"/>
  <c r="T269" i="2"/>
  <c r="P269" i="2"/>
  <c r="L269" i="2"/>
  <c r="H269" i="2"/>
  <c r="D269" i="2"/>
  <c r="AR268" i="2"/>
  <c r="AN268" i="2"/>
  <c r="AJ268" i="2"/>
  <c r="AF268" i="2"/>
  <c r="AB268" i="2"/>
  <c r="X268" i="2"/>
  <c r="T268" i="2"/>
  <c r="P268" i="2"/>
  <c r="L268" i="2"/>
  <c r="H268" i="2"/>
  <c r="D268" i="2"/>
  <c r="AR267" i="2"/>
  <c r="AN267" i="2"/>
  <c r="AJ267" i="2"/>
  <c r="AF267" i="2"/>
  <c r="AB267" i="2"/>
  <c r="X267" i="2"/>
  <c r="T267" i="2"/>
  <c r="P267" i="2"/>
  <c r="L267" i="2"/>
  <c r="H267" i="2"/>
  <c r="D267" i="2"/>
  <c r="AR266" i="2"/>
  <c r="AN266" i="2"/>
  <c r="AJ266" i="2"/>
  <c r="AF266" i="2"/>
  <c r="AB266" i="2"/>
  <c r="X266" i="2"/>
  <c r="T266" i="2"/>
  <c r="P266" i="2"/>
  <c r="L266" i="2"/>
  <c r="H266" i="2"/>
  <c r="D266" i="2"/>
  <c r="AR265" i="2"/>
  <c r="AN265" i="2"/>
  <c r="AJ265" i="2"/>
  <c r="AF265" i="2"/>
  <c r="AB265" i="2"/>
  <c r="X265" i="2"/>
  <c r="T265" i="2"/>
  <c r="P265" i="2"/>
  <c r="L265" i="2"/>
  <c r="H265" i="2"/>
  <c r="D265" i="2"/>
  <c r="AR264" i="2"/>
  <c r="AN264" i="2"/>
  <c r="AJ264" i="2"/>
  <c r="AF264" i="2"/>
  <c r="AB264" i="2"/>
  <c r="X264" i="2"/>
  <c r="T264" i="2"/>
  <c r="P264" i="2"/>
  <c r="L264" i="2"/>
  <c r="H264" i="2"/>
  <c r="D264" i="2"/>
  <c r="AR263" i="2"/>
  <c r="AN263" i="2"/>
  <c r="AJ263" i="2"/>
  <c r="AF263" i="2"/>
  <c r="AB263" i="2"/>
  <c r="X263" i="2"/>
  <c r="T263" i="2"/>
  <c r="P263" i="2"/>
  <c r="L263" i="2"/>
  <c r="H263" i="2"/>
  <c r="D263" i="2"/>
  <c r="AR262" i="2"/>
  <c r="AN262" i="2"/>
  <c r="AJ262" i="2"/>
  <c r="AF262" i="2"/>
  <c r="AB262" i="2"/>
  <c r="X262" i="2"/>
  <c r="T262" i="2"/>
  <c r="P262" i="2"/>
  <c r="L262" i="2"/>
  <c r="H262" i="2"/>
  <c r="D262" i="2"/>
  <c r="AR261" i="2"/>
  <c r="AN261" i="2"/>
  <c r="AJ261" i="2"/>
  <c r="AF261" i="2"/>
  <c r="AB261" i="2"/>
  <c r="X261" i="2"/>
  <c r="T261" i="2"/>
  <c r="P261" i="2"/>
  <c r="L261" i="2"/>
  <c r="H261" i="2"/>
  <c r="D261" i="2"/>
  <c r="AR260" i="2"/>
  <c r="AN260" i="2"/>
  <c r="AJ260" i="2"/>
  <c r="AF260" i="2"/>
  <c r="AB260" i="2"/>
  <c r="X260" i="2"/>
  <c r="T260" i="2"/>
  <c r="P260" i="2"/>
  <c r="L260" i="2"/>
  <c r="H260" i="2"/>
  <c r="D260" i="2"/>
  <c r="AR259" i="2"/>
  <c r="AN259" i="2"/>
  <c r="AJ259" i="2"/>
  <c r="AF259" i="2"/>
  <c r="AB259" i="2"/>
  <c r="X259" i="2"/>
  <c r="T259" i="2"/>
  <c r="P259" i="2"/>
  <c r="L259" i="2"/>
  <c r="H259" i="2"/>
  <c r="D259" i="2"/>
  <c r="AR258" i="2"/>
  <c r="AN258" i="2"/>
  <c r="AJ258" i="2"/>
  <c r="AF258" i="2"/>
  <c r="AB258" i="2"/>
  <c r="X258" i="2"/>
  <c r="T258" i="2"/>
  <c r="P258" i="2"/>
  <c r="L258" i="2"/>
  <c r="H258" i="2"/>
  <c r="D258" i="2"/>
  <c r="AR257" i="2"/>
  <c r="AN257" i="2"/>
  <c r="AJ257" i="2"/>
  <c r="AF257" i="2"/>
  <c r="AB257" i="2"/>
  <c r="X257" i="2"/>
  <c r="T257" i="2"/>
  <c r="P257" i="2"/>
  <c r="L257" i="2"/>
  <c r="H257" i="2"/>
  <c r="D257" i="2"/>
  <c r="AR256" i="2"/>
  <c r="AN256" i="2"/>
  <c r="AJ256" i="2"/>
  <c r="AF256" i="2"/>
  <c r="AB256" i="2"/>
  <c r="X256" i="2"/>
  <c r="T256" i="2"/>
  <c r="P256" i="2"/>
  <c r="L256" i="2"/>
  <c r="H256" i="2"/>
  <c r="D256" i="2"/>
  <c r="AR255" i="2"/>
  <c r="AN255" i="2"/>
  <c r="AJ255" i="2"/>
  <c r="AF255" i="2"/>
  <c r="AB255" i="2"/>
  <c r="X255" i="2"/>
  <c r="T255" i="2"/>
  <c r="P255" i="2"/>
  <c r="L255" i="2"/>
  <c r="H255" i="2"/>
  <c r="D255" i="2"/>
  <c r="AR254" i="2"/>
  <c r="AN254" i="2"/>
  <c r="AJ254" i="2"/>
  <c r="AF254" i="2"/>
  <c r="AB254" i="2"/>
  <c r="X254" i="2"/>
  <c r="T254" i="2"/>
  <c r="P254" i="2"/>
  <c r="L254" i="2"/>
  <c r="H254" i="2"/>
  <c r="D254" i="2"/>
  <c r="AR253" i="2"/>
  <c r="AN253" i="2"/>
  <c r="AJ253" i="2"/>
  <c r="AF253" i="2"/>
  <c r="AB253" i="2"/>
  <c r="X253" i="2"/>
  <c r="T253" i="2"/>
  <c r="P253" i="2"/>
  <c r="L253" i="2"/>
  <c r="H253" i="2"/>
  <c r="D253" i="2"/>
  <c r="AR252" i="2"/>
  <c r="AN252" i="2"/>
  <c r="AJ252" i="2"/>
  <c r="AF252" i="2"/>
  <c r="AB252" i="2"/>
  <c r="X252" i="2"/>
  <c r="T252" i="2"/>
  <c r="P252" i="2"/>
  <c r="L252" i="2"/>
  <c r="H252" i="2"/>
  <c r="D252" i="2"/>
  <c r="AR251" i="2"/>
  <c r="AN251" i="2"/>
  <c r="AJ251" i="2"/>
  <c r="AF251" i="2"/>
  <c r="AB251" i="2"/>
  <c r="X251" i="2"/>
  <c r="T251" i="2"/>
  <c r="P251" i="2"/>
  <c r="L251" i="2"/>
  <c r="H251" i="2"/>
  <c r="D251" i="2"/>
  <c r="AR250" i="2"/>
  <c r="AN250" i="2"/>
  <c r="AJ250" i="2"/>
  <c r="AF250" i="2"/>
  <c r="AB250" i="2"/>
  <c r="X250" i="2"/>
  <c r="T250" i="2"/>
  <c r="P250" i="2"/>
  <c r="L250" i="2"/>
  <c r="H250" i="2"/>
  <c r="D250" i="2"/>
  <c r="AR249" i="2"/>
  <c r="AN249" i="2"/>
  <c r="AJ249" i="2"/>
  <c r="AF249" i="2"/>
  <c r="AB249" i="2"/>
  <c r="X249" i="2"/>
  <c r="T249" i="2"/>
  <c r="P249" i="2"/>
  <c r="L249" i="2"/>
  <c r="H249" i="2"/>
  <c r="D249" i="2"/>
  <c r="AR248" i="2"/>
  <c r="AN248" i="2"/>
  <c r="AJ248" i="2"/>
  <c r="AF248" i="2"/>
  <c r="AB248" i="2"/>
  <c r="X248" i="2"/>
  <c r="T248" i="2"/>
  <c r="P248" i="2"/>
  <c r="L248" i="2"/>
  <c r="H248" i="2"/>
  <c r="D248" i="2"/>
  <c r="AR247" i="2"/>
  <c r="AN247" i="2"/>
  <c r="AJ247" i="2"/>
  <c r="AF247" i="2"/>
  <c r="AB247" i="2"/>
  <c r="X247" i="2"/>
  <c r="T247" i="2"/>
  <c r="P247" i="2"/>
  <c r="L247" i="2"/>
  <c r="H247" i="2"/>
  <c r="D247" i="2"/>
  <c r="AR246" i="2"/>
  <c r="AN246" i="2"/>
  <c r="AJ246" i="2"/>
  <c r="AF246" i="2"/>
  <c r="AB246" i="2"/>
  <c r="X246" i="2"/>
  <c r="T246" i="2"/>
  <c r="P246" i="2"/>
  <c r="L246" i="2"/>
  <c r="H246" i="2"/>
  <c r="D246" i="2"/>
  <c r="AR245" i="2"/>
  <c r="AN245" i="2"/>
  <c r="AJ245" i="2"/>
  <c r="AF245" i="2"/>
  <c r="AB245" i="2"/>
  <c r="X245" i="2"/>
  <c r="T245" i="2"/>
  <c r="P245" i="2"/>
  <c r="L245" i="2"/>
  <c r="H245" i="2"/>
  <c r="D245" i="2"/>
  <c r="AR244" i="2"/>
  <c r="AN244" i="2"/>
  <c r="AJ244" i="2"/>
  <c r="AF244" i="2"/>
  <c r="AB244" i="2"/>
  <c r="X244" i="2"/>
  <c r="T244" i="2"/>
  <c r="P244" i="2"/>
  <c r="L244" i="2"/>
  <c r="H244" i="2"/>
  <c r="D244" i="2"/>
  <c r="AR243" i="2"/>
  <c r="AN243" i="2"/>
  <c r="AJ243" i="2"/>
  <c r="AF243" i="2"/>
  <c r="AB243" i="2"/>
  <c r="X243" i="2"/>
  <c r="T243" i="2"/>
  <c r="P243" i="2"/>
  <c r="L243" i="2"/>
  <c r="H243" i="2"/>
  <c r="D243" i="2"/>
  <c r="AR242" i="2"/>
  <c r="AN242" i="2"/>
  <c r="AJ242" i="2"/>
  <c r="AF242" i="2"/>
  <c r="AB242" i="2"/>
  <c r="X242" i="2"/>
  <c r="T242" i="2"/>
  <c r="P242" i="2"/>
  <c r="L242" i="2"/>
  <c r="H242" i="2"/>
  <c r="D242" i="2"/>
  <c r="AR241" i="2"/>
  <c r="AN241" i="2"/>
  <c r="AJ241" i="2"/>
  <c r="AF241" i="2"/>
  <c r="AB241" i="2"/>
  <c r="X241" i="2"/>
  <c r="T241" i="2"/>
  <c r="P241" i="2"/>
  <c r="L241" i="2"/>
  <c r="H241" i="2"/>
  <c r="D241" i="2"/>
  <c r="AR240" i="2"/>
  <c r="AN240" i="2"/>
  <c r="AJ240" i="2"/>
  <c r="AF240" i="2"/>
  <c r="AB240" i="2"/>
  <c r="X240" i="2"/>
  <c r="T240" i="2"/>
  <c r="P240" i="2"/>
  <c r="L240" i="2"/>
  <c r="H240" i="2"/>
  <c r="D240" i="2"/>
  <c r="AR239" i="2"/>
  <c r="AN239" i="2"/>
  <c r="AJ239" i="2"/>
  <c r="AF239" i="2"/>
  <c r="AB239" i="2"/>
  <c r="X239" i="2"/>
  <c r="T239" i="2"/>
  <c r="P239" i="2"/>
  <c r="L239" i="2"/>
  <c r="H239" i="2"/>
  <c r="D239" i="2"/>
  <c r="AR238" i="2"/>
  <c r="AN238" i="2"/>
  <c r="AJ238" i="2"/>
  <c r="AF238" i="2"/>
  <c r="AB238" i="2"/>
  <c r="X238" i="2"/>
  <c r="T238" i="2"/>
  <c r="P238" i="2"/>
  <c r="L238" i="2"/>
  <c r="H238" i="2"/>
  <c r="D238" i="2"/>
  <c r="AR237" i="2"/>
  <c r="AN237" i="2"/>
  <c r="AJ237" i="2"/>
  <c r="AF237" i="2"/>
  <c r="AB237" i="2"/>
  <c r="X237" i="2"/>
  <c r="T237" i="2"/>
  <c r="P237" i="2"/>
  <c r="L237" i="2"/>
  <c r="H237" i="2"/>
  <c r="D237" i="2"/>
  <c r="AR236" i="2"/>
  <c r="AN236" i="2"/>
  <c r="AJ236" i="2"/>
  <c r="AF236" i="2"/>
  <c r="AB236" i="2"/>
  <c r="X236" i="2"/>
  <c r="T236" i="2"/>
  <c r="P236" i="2"/>
  <c r="L236" i="2"/>
  <c r="H236" i="2"/>
  <c r="D236" i="2"/>
  <c r="AR235" i="2"/>
  <c r="AN235" i="2"/>
  <c r="AJ235" i="2"/>
  <c r="AF235" i="2"/>
  <c r="AB235" i="2"/>
  <c r="X235" i="2"/>
  <c r="T235" i="2"/>
  <c r="P235" i="2"/>
  <c r="L235" i="2"/>
  <c r="H235" i="2"/>
  <c r="D235" i="2"/>
  <c r="AR234" i="2"/>
  <c r="AN234" i="2"/>
  <c r="AJ234" i="2"/>
  <c r="AF234" i="2"/>
  <c r="AB234" i="2"/>
  <c r="X234" i="2"/>
  <c r="T234" i="2"/>
  <c r="P234" i="2"/>
  <c r="L234" i="2"/>
  <c r="H234" i="2"/>
  <c r="D234" i="2"/>
  <c r="AR233" i="2"/>
  <c r="AN233" i="2"/>
  <c r="AJ233" i="2"/>
  <c r="AF233" i="2"/>
  <c r="AB233" i="2"/>
  <c r="X233" i="2"/>
  <c r="T233" i="2"/>
  <c r="P233" i="2"/>
  <c r="L233" i="2"/>
  <c r="H233" i="2"/>
  <c r="D233" i="2"/>
  <c r="AR232" i="2"/>
  <c r="AN232" i="2"/>
  <c r="AJ232" i="2"/>
  <c r="AF232" i="2"/>
  <c r="AB232" i="2"/>
  <c r="X232" i="2"/>
  <c r="T232" i="2"/>
  <c r="P232" i="2"/>
  <c r="L232" i="2"/>
  <c r="H232" i="2"/>
  <c r="D232" i="2"/>
  <c r="AR231" i="2"/>
  <c r="AN231" i="2"/>
  <c r="AJ231" i="2"/>
  <c r="AF231" i="2"/>
  <c r="AB231" i="2"/>
  <c r="X231" i="2"/>
  <c r="T231" i="2"/>
  <c r="P231" i="2"/>
  <c r="L231" i="2"/>
  <c r="H231" i="2"/>
  <c r="D231" i="2"/>
  <c r="AR230" i="2"/>
  <c r="AN230" i="2"/>
  <c r="AJ230" i="2"/>
  <c r="AF230" i="2"/>
  <c r="AB230" i="2"/>
  <c r="X230" i="2"/>
  <c r="T230" i="2"/>
  <c r="P230" i="2"/>
  <c r="L230" i="2"/>
  <c r="H230" i="2"/>
  <c r="D230" i="2"/>
  <c r="AR229" i="2"/>
  <c r="AN229" i="2"/>
  <c r="AJ229" i="2"/>
  <c r="AF229" i="2"/>
  <c r="AB229" i="2"/>
  <c r="X229" i="2"/>
  <c r="T229" i="2"/>
  <c r="P229" i="2"/>
  <c r="L229" i="2"/>
  <c r="H229" i="2"/>
  <c r="D229" i="2"/>
  <c r="AR228" i="2"/>
  <c r="AN228" i="2"/>
  <c r="AJ228" i="2"/>
  <c r="AF228" i="2"/>
  <c r="AB228" i="2"/>
  <c r="X228" i="2"/>
  <c r="T228" i="2"/>
  <c r="P228" i="2"/>
  <c r="L228" i="2"/>
  <c r="H228" i="2"/>
  <c r="D228" i="2"/>
  <c r="AR227" i="2"/>
  <c r="AN227" i="2"/>
  <c r="AJ227" i="2"/>
  <c r="AF227" i="2"/>
  <c r="AB227" i="2"/>
  <c r="X227" i="2"/>
  <c r="T227" i="2"/>
  <c r="P227" i="2"/>
  <c r="L227" i="2"/>
  <c r="H227" i="2"/>
  <c r="D227" i="2"/>
  <c r="AR226" i="2"/>
  <c r="AN226" i="2"/>
  <c r="AJ226" i="2"/>
  <c r="AF226" i="2"/>
  <c r="AB226" i="2"/>
  <c r="X226" i="2"/>
  <c r="T226" i="2"/>
  <c r="P226" i="2"/>
  <c r="L226" i="2"/>
  <c r="H226" i="2"/>
  <c r="D226" i="2"/>
  <c r="AR225" i="2"/>
  <c r="AN225" i="2"/>
  <c r="AJ225" i="2"/>
  <c r="AF225" i="2"/>
  <c r="AB225" i="2"/>
  <c r="X225" i="2"/>
  <c r="T225" i="2"/>
  <c r="P225" i="2"/>
  <c r="L225" i="2"/>
  <c r="H225" i="2"/>
  <c r="D225" i="2"/>
  <c r="AR224" i="2"/>
  <c r="AN224" i="2"/>
  <c r="AJ224" i="2"/>
  <c r="AF224" i="2"/>
  <c r="AB224" i="2"/>
  <c r="X224" i="2"/>
  <c r="T224" i="2"/>
  <c r="P224" i="2"/>
  <c r="L224" i="2"/>
  <c r="H224" i="2"/>
  <c r="D224" i="2"/>
  <c r="AR223" i="2"/>
  <c r="AN223" i="2"/>
  <c r="AJ223" i="2"/>
  <c r="AF223" i="2"/>
  <c r="AB223" i="2"/>
  <c r="X223" i="2"/>
  <c r="T223" i="2"/>
  <c r="P223" i="2"/>
  <c r="L223" i="2"/>
  <c r="H223" i="2"/>
  <c r="D223" i="2"/>
  <c r="AR222" i="2"/>
  <c r="AN222" i="2"/>
  <c r="AJ222" i="2"/>
  <c r="AF222" i="2"/>
  <c r="AB222" i="2"/>
  <c r="X222" i="2"/>
  <c r="T222" i="2"/>
  <c r="P222" i="2"/>
  <c r="L222" i="2"/>
  <c r="H222" i="2"/>
  <c r="D222" i="2"/>
  <c r="AR221" i="2"/>
  <c r="AN221" i="2"/>
  <c r="AJ221" i="2"/>
  <c r="AF221" i="2"/>
  <c r="AB221" i="2"/>
  <c r="X221" i="2"/>
  <c r="T221" i="2"/>
  <c r="P221" i="2"/>
  <c r="L221" i="2"/>
  <c r="H221" i="2"/>
  <c r="D221" i="2"/>
  <c r="AR220" i="2"/>
  <c r="AN220" i="2"/>
  <c r="AJ220" i="2"/>
  <c r="AF220" i="2"/>
  <c r="AB220" i="2"/>
  <c r="X220" i="2"/>
  <c r="T220" i="2"/>
  <c r="P220" i="2"/>
  <c r="L220" i="2"/>
  <c r="H220" i="2"/>
  <c r="D220" i="2"/>
  <c r="AR219" i="2"/>
  <c r="AN219" i="2"/>
  <c r="AJ219" i="2"/>
  <c r="AF219" i="2"/>
  <c r="AB219" i="2"/>
  <c r="X219" i="2"/>
  <c r="T219" i="2"/>
  <c r="P219" i="2"/>
  <c r="L219" i="2"/>
  <c r="H219" i="2"/>
  <c r="D219" i="2"/>
  <c r="AR218" i="2"/>
  <c r="AN218" i="2"/>
  <c r="AJ218" i="2"/>
  <c r="AF218" i="2"/>
  <c r="AB218" i="2"/>
  <c r="X218" i="2"/>
  <c r="T218" i="2"/>
  <c r="P218" i="2"/>
  <c r="L218" i="2"/>
  <c r="H218" i="2"/>
  <c r="D218" i="2"/>
  <c r="AR217" i="2"/>
  <c r="AN217" i="2"/>
  <c r="AJ217" i="2"/>
  <c r="AF217" i="2"/>
  <c r="AB217" i="2"/>
  <c r="X217" i="2"/>
  <c r="T217" i="2"/>
  <c r="P217" i="2"/>
  <c r="L217" i="2"/>
  <c r="H217" i="2"/>
  <c r="D217" i="2"/>
  <c r="AR216" i="2"/>
  <c r="AN216" i="2"/>
  <c r="AJ216" i="2"/>
  <c r="AF216" i="2"/>
  <c r="AB216" i="2"/>
  <c r="X216" i="2"/>
  <c r="T216" i="2"/>
  <c r="P216" i="2"/>
  <c r="L216" i="2"/>
  <c r="H216" i="2"/>
  <c r="D216" i="2"/>
  <c r="AR215" i="2"/>
  <c r="AN215" i="2"/>
  <c r="AJ215" i="2"/>
  <c r="AF215" i="2"/>
  <c r="AB215" i="2"/>
  <c r="X215" i="2"/>
  <c r="T215" i="2"/>
  <c r="P215" i="2"/>
  <c r="L215" i="2"/>
  <c r="H215" i="2"/>
  <c r="D215" i="2"/>
  <c r="AR214" i="2"/>
  <c r="AN214" i="2"/>
  <c r="AJ214" i="2"/>
  <c r="AF214" i="2"/>
  <c r="AB214" i="2"/>
  <c r="X214" i="2"/>
  <c r="T214" i="2"/>
  <c r="P214" i="2"/>
  <c r="L214" i="2"/>
  <c r="H214" i="2"/>
  <c r="D214" i="2"/>
  <c r="AR213" i="2"/>
  <c r="AN213" i="2"/>
  <c r="AJ213" i="2"/>
  <c r="AF213" i="2"/>
  <c r="AB213" i="2"/>
  <c r="X213" i="2"/>
  <c r="T213" i="2"/>
  <c r="P213" i="2"/>
  <c r="L213" i="2"/>
  <c r="H213" i="2"/>
  <c r="D213" i="2"/>
  <c r="AR212" i="2"/>
  <c r="AN212" i="2"/>
  <c r="AJ212" i="2"/>
  <c r="AF212" i="2"/>
  <c r="AB212" i="2"/>
  <c r="X212" i="2"/>
  <c r="T212" i="2"/>
  <c r="P212" i="2"/>
  <c r="L212" i="2"/>
  <c r="H212" i="2"/>
  <c r="D212" i="2"/>
  <c r="AR211" i="2"/>
  <c r="AN211" i="2"/>
  <c r="AJ211" i="2"/>
  <c r="AF211" i="2"/>
  <c r="AB211" i="2"/>
  <c r="X211" i="2"/>
  <c r="T211" i="2"/>
  <c r="P211" i="2"/>
  <c r="L211" i="2"/>
  <c r="H211" i="2"/>
  <c r="D211" i="2"/>
  <c r="AR210" i="2"/>
  <c r="AN210" i="2"/>
  <c r="AJ210" i="2"/>
  <c r="AF210" i="2"/>
  <c r="AB210" i="2"/>
  <c r="X210" i="2"/>
  <c r="T210" i="2"/>
  <c r="P210" i="2"/>
  <c r="L210" i="2"/>
  <c r="H210" i="2"/>
  <c r="D210" i="2"/>
  <c r="AR209" i="2"/>
  <c r="AN209" i="2"/>
  <c r="AJ209" i="2"/>
  <c r="AF209" i="2"/>
  <c r="AB209" i="2"/>
  <c r="X209" i="2"/>
  <c r="T209" i="2"/>
  <c r="P209" i="2"/>
  <c r="L209" i="2"/>
  <c r="H209" i="2"/>
  <c r="D209" i="2"/>
  <c r="AR208" i="2"/>
  <c r="AN208" i="2"/>
  <c r="AJ208" i="2"/>
  <c r="AF208" i="2"/>
  <c r="AB208" i="2"/>
  <c r="X208" i="2"/>
  <c r="T208" i="2"/>
  <c r="P208" i="2"/>
  <c r="L208" i="2"/>
  <c r="H208" i="2"/>
  <c r="D208" i="2"/>
  <c r="AR207" i="2"/>
  <c r="AN207" i="2"/>
  <c r="AJ207" i="2"/>
  <c r="AF207" i="2"/>
  <c r="AB207" i="2"/>
  <c r="X207" i="2"/>
  <c r="T207" i="2"/>
  <c r="P207" i="2"/>
  <c r="L207" i="2"/>
  <c r="H207" i="2"/>
  <c r="D207" i="2"/>
  <c r="AR206" i="2"/>
  <c r="AN206" i="2"/>
  <c r="AJ206" i="2"/>
  <c r="AF206" i="2"/>
  <c r="AB206" i="2"/>
  <c r="X206" i="2"/>
  <c r="T206" i="2"/>
  <c r="P206" i="2"/>
  <c r="L206" i="2"/>
  <c r="H206" i="2"/>
  <c r="D206" i="2"/>
  <c r="AR205" i="2"/>
  <c r="AN205" i="2"/>
  <c r="AJ205" i="2"/>
  <c r="AF205" i="2"/>
  <c r="AB205" i="2"/>
  <c r="X205" i="2"/>
  <c r="T205" i="2"/>
  <c r="P205" i="2"/>
  <c r="L205" i="2"/>
  <c r="H205" i="2"/>
  <c r="D205" i="2"/>
  <c r="AR204" i="2"/>
  <c r="AN204" i="2"/>
  <c r="AJ204" i="2"/>
  <c r="AF204" i="2"/>
  <c r="AB204" i="2"/>
  <c r="X204" i="2"/>
  <c r="T204" i="2"/>
  <c r="P204" i="2"/>
  <c r="L204" i="2"/>
  <c r="H204" i="2"/>
  <c r="D204" i="2"/>
  <c r="AR203" i="2"/>
  <c r="AN203" i="2"/>
  <c r="AJ203" i="2"/>
  <c r="AF203" i="2"/>
  <c r="AB203" i="2"/>
  <c r="X203" i="2"/>
  <c r="T203" i="2"/>
  <c r="P203" i="2"/>
  <c r="L203" i="2"/>
  <c r="H203" i="2"/>
  <c r="D203" i="2"/>
  <c r="AR202" i="2"/>
  <c r="AN202" i="2"/>
  <c r="AJ202" i="2"/>
  <c r="AF202" i="2"/>
  <c r="AB202" i="2"/>
  <c r="X202" i="2"/>
  <c r="T202" i="2"/>
  <c r="P202" i="2"/>
  <c r="L202" i="2"/>
  <c r="H202" i="2"/>
  <c r="D202" i="2"/>
  <c r="AR201" i="2"/>
  <c r="AN201" i="2"/>
  <c r="AJ201" i="2"/>
  <c r="AF201" i="2"/>
  <c r="AB201" i="2"/>
  <c r="X201" i="2"/>
  <c r="T201" i="2"/>
  <c r="P201" i="2"/>
  <c r="L201" i="2"/>
  <c r="H201" i="2"/>
  <c r="D201" i="2"/>
  <c r="AR200" i="2"/>
  <c r="AN200" i="2"/>
  <c r="AJ200" i="2"/>
  <c r="AF200" i="2"/>
  <c r="AB200" i="2"/>
  <c r="X200" i="2"/>
  <c r="T200" i="2"/>
  <c r="P200" i="2"/>
  <c r="L200" i="2"/>
  <c r="H200" i="2"/>
  <c r="D200" i="2"/>
  <c r="AR199" i="2"/>
  <c r="AN199" i="2"/>
  <c r="AJ199" i="2"/>
  <c r="AF199" i="2"/>
  <c r="AB199" i="2"/>
  <c r="X199" i="2"/>
  <c r="T199" i="2"/>
  <c r="P199" i="2"/>
  <c r="L199" i="2"/>
  <c r="H199" i="2"/>
  <c r="D199" i="2"/>
  <c r="AR198" i="2"/>
  <c r="AN198" i="2"/>
  <c r="AJ198" i="2"/>
  <c r="AF198" i="2"/>
  <c r="AB198" i="2"/>
  <c r="X198" i="2"/>
  <c r="T198" i="2"/>
  <c r="P198" i="2"/>
  <c r="L198" i="2"/>
  <c r="H198" i="2"/>
  <c r="D198" i="2"/>
  <c r="AR197" i="2"/>
  <c r="AN197" i="2"/>
  <c r="AJ197" i="2"/>
  <c r="AF197" i="2"/>
  <c r="AB197" i="2"/>
  <c r="X197" i="2"/>
  <c r="T197" i="2"/>
  <c r="P197" i="2"/>
  <c r="L197" i="2"/>
  <c r="H197" i="2"/>
  <c r="D197" i="2"/>
  <c r="AR196" i="2"/>
  <c r="AN196" i="2"/>
  <c r="AJ196" i="2"/>
  <c r="AF196" i="2"/>
  <c r="AB196" i="2"/>
  <c r="X196" i="2"/>
  <c r="T196" i="2"/>
  <c r="P196" i="2"/>
  <c r="L196" i="2"/>
  <c r="H196" i="2"/>
  <c r="D196" i="2"/>
  <c r="AR195" i="2"/>
  <c r="AN195" i="2"/>
  <c r="AJ195" i="2"/>
  <c r="AF195" i="2"/>
  <c r="AB195" i="2"/>
  <c r="X195" i="2"/>
  <c r="T195" i="2"/>
  <c r="P195" i="2"/>
  <c r="L195" i="2"/>
  <c r="H195" i="2"/>
  <c r="D195" i="2"/>
  <c r="AR194" i="2"/>
  <c r="AN194" i="2"/>
  <c r="AJ194" i="2"/>
  <c r="AF194" i="2"/>
  <c r="AB194" i="2"/>
  <c r="X194" i="2"/>
  <c r="T194" i="2"/>
  <c r="P194" i="2"/>
  <c r="L194" i="2"/>
  <c r="H194" i="2"/>
  <c r="D194" i="2"/>
  <c r="AR193" i="2"/>
  <c r="AN193" i="2"/>
  <c r="AJ193" i="2"/>
  <c r="AF193" i="2"/>
  <c r="AB193" i="2"/>
  <c r="X193" i="2"/>
  <c r="T193" i="2"/>
  <c r="P193" i="2"/>
  <c r="L193" i="2"/>
  <c r="H193" i="2"/>
  <c r="D193" i="2"/>
  <c r="AR192" i="2"/>
  <c r="AN192" i="2"/>
  <c r="AJ192" i="2"/>
  <c r="AF192" i="2"/>
  <c r="AB192" i="2"/>
  <c r="X192" i="2"/>
  <c r="T192" i="2"/>
  <c r="P192" i="2"/>
  <c r="L192" i="2"/>
  <c r="H192" i="2"/>
  <c r="D192" i="2"/>
  <c r="AR191" i="2"/>
  <c r="AN191" i="2"/>
  <c r="AJ191" i="2"/>
  <c r="AF191" i="2"/>
  <c r="AB191" i="2"/>
  <c r="X191" i="2"/>
  <c r="T191" i="2"/>
  <c r="P191" i="2"/>
  <c r="L191" i="2"/>
  <c r="H191" i="2"/>
  <c r="D191" i="2"/>
  <c r="AR190" i="2"/>
  <c r="AN190" i="2"/>
  <c r="AJ190" i="2"/>
  <c r="AF190" i="2"/>
  <c r="AB190" i="2"/>
  <c r="X190" i="2"/>
  <c r="T190" i="2"/>
  <c r="P190" i="2"/>
  <c r="L190" i="2"/>
  <c r="H190" i="2"/>
  <c r="D190" i="2"/>
  <c r="AR189" i="2"/>
  <c r="AN189" i="2"/>
  <c r="AJ189" i="2"/>
  <c r="AF189" i="2"/>
  <c r="AB189" i="2"/>
  <c r="X189" i="2"/>
  <c r="T189" i="2"/>
  <c r="P189" i="2"/>
  <c r="L189" i="2"/>
  <c r="H189" i="2"/>
  <c r="D189" i="2"/>
  <c r="AR188" i="2"/>
  <c r="AN188" i="2"/>
  <c r="AJ188" i="2"/>
  <c r="AF188" i="2"/>
  <c r="AB188" i="2"/>
  <c r="X188" i="2"/>
  <c r="T188" i="2"/>
  <c r="P188" i="2"/>
  <c r="L188" i="2"/>
  <c r="H188" i="2"/>
  <c r="D188" i="2"/>
  <c r="AR187" i="2"/>
  <c r="AN187" i="2"/>
  <c r="AJ187" i="2"/>
  <c r="AF187" i="2"/>
  <c r="AB187" i="2"/>
  <c r="X187" i="2"/>
  <c r="T187" i="2"/>
  <c r="P187" i="2"/>
  <c r="L187" i="2"/>
  <c r="H187" i="2"/>
  <c r="D187" i="2"/>
  <c r="AR186" i="2"/>
  <c r="AN186" i="2"/>
  <c r="AJ186" i="2"/>
  <c r="AF186" i="2"/>
  <c r="AB186" i="2"/>
  <c r="X186" i="2"/>
  <c r="T186" i="2"/>
  <c r="P186" i="2"/>
  <c r="L186" i="2"/>
  <c r="H186" i="2"/>
  <c r="D186" i="2"/>
  <c r="AR185" i="2"/>
  <c r="AN185" i="2"/>
  <c r="AJ185" i="2"/>
  <c r="AF185" i="2"/>
  <c r="AB185" i="2"/>
  <c r="X185" i="2"/>
  <c r="T185" i="2"/>
  <c r="P185" i="2"/>
  <c r="L185" i="2"/>
  <c r="H185" i="2"/>
  <c r="D185" i="2"/>
  <c r="AR184" i="2"/>
  <c r="AN184" i="2"/>
  <c r="AJ184" i="2"/>
  <c r="AF184" i="2"/>
  <c r="AB184" i="2"/>
  <c r="X184" i="2"/>
  <c r="T184" i="2"/>
  <c r="P184" i="2"/>
  <c r="L184" i="2"/>
  <c r="H184" i="2"/>
  <c r="D184" i="2"/>
  <c r="AR183" i="2"/>
  <c r="AN183" i="2"/>
  <c r="AJ183" i="2"/>
  <c r="AF183" i="2"/>
  <c r="AB183" i="2"/>
  <c r="X183" i="2"/>
  <c r="T183" i="2"/>
  <c r="P183" i="2"/>
  <c r="L183" i="2"/>
  <c r="H183" i="2"/>
  <c r="D183" i="2"/>
  <c r="AR182" i="2"/>
  <c r="AN182" i="2"/>
  <c r="AJ182" i="2"/>
  <c r="AF182" i="2"/>
  <c r="AB182" i="2"/>
  <c r="X182" i="2"/>
  <c r="T182" i="2"/>
  <c r="P182" i="2"/>
  <c r="L182" i="2"/>
  <c r="H182" i="2"/>
  <c r="D182" i="2"/>
  <c r="AR181" i="2"/>
  <c r="AN181" i="2"/>
  <c r="AJ181" i="2"/>
  <c r="AF181" i="2"/>
  <c r="AB181" i="2"/>
  <c r="X181" i="2"/>
  <c r="T181" i="2"/>
  <c r="P181" i="2"/>
  <c r="L181" i="2"/>
  <c r="H181" i="2"/>
  <c r="D181" i="2"/>
  <c r="AR180" i="2"/>
  <c r="AN180" i="2"/>
  <c r="AJ180" i="2"/>
  <c r="AF180" i="2"/>
  <c r="AB180" i="2"/>
  <c r="X180" i="2"/>
  <c r="T180" i="2"/>
  <c r="P180" i="2"/>
  <c r="L180" i="2"/>
  <c r="H180" i="2"/>
  <c r="D180" i="2"/>
  <c r="AR179" i="2"/>
  <c r="AN179" i="2"/>
  <c r="AJ179" i="2"/>
  <c r="AF179" i="2"/>
  <c r="AB179" i="2"/>
  <c r="X179" i="2"/>
  <c r="T179" i="2"/>
  <c r="P179" i="2"/>
  <c r="L179" i="2"/>
  <c r="H179" i="2"/>
  <c r="D179" i="2"/>
  <c r="AR178" i="2"/>
  <c r="AN178" i="2"/>
  <c r="AJ178" i="2"/>
  <c r="AF178" i="2"/>
  <c r="AB178" i="2"/>
  <c r="X178" i="2"/>
  <c r="T178" i="2"/>
  <c r="P178" i="2"/>
  <c r="L178" i="2"/>
  <c r="H178" i="2"/>
  <c r="D178" i="2"/>
  <c r="AR177" i="2"/>
  <c r="AN177" i="2"/>
  <c r="AJ177" i="2"/>
  <c r="AF177" i="2"/>
  <c r="AB177" i="2"/>
  <c r="X177" i="2"/>
  <c r="T177" i="2"/>
  <c r="P177" i="2"/>
  <c r="L177" i="2"/>
  <c r="H177" i="2"/>
  <c r="D177" i="2"/>
  <c r="AR176" i="2"/>
  <c r="AN176" i="2"/>
  <c r="AJ176" i="2"/>
  <c r="AF176" i="2"/>
  <c r="AB176" i="2"/>
  <c r="X176" i="2"/>
  <c r="T176" i="2"/>
  <c r="P176" i="2"/>
  <c r="L176" i="2"/>
  <c r="H176" i="2"/>
  <c r="D176" i="2"/>
  <c r="AR175" i="2"/>
  <c r="AN175" i="2"/>
  <c r="AJ175" i="2"/>
  <c r="AF175" i="2"/>
  <c r="AB175" i="2"/>
  <c r="X175" i="2"/>
  <c r="T175" i="2"/>
  <c r="P175" i="2"/>
  <c r="L175" i="2"/>
  <c r="H175" i="2"/>
  <c r="D175" i="2"/>
  <c r="AR174" i="2"/>
  <c r="AN174" i="2"/>
  <c r="AJ174" i="2"/>
  <c r="AF174" i="2"/>
  <c r="AB174" i="2"/>
  <c r="X174" i="2"/>
  <c r="T174" i="2"/>
  <c r="P174" i="2"/>
  <c r="L174" i="2"/>
  <c r="H174" i="2"/>
  <c r="D174" i="2"/>
  <c r="AR173" i="2"/>
  <c r="AN173" i="2"/>
  <c r="AJ173" i="2"/>
  <c r="AF173" i="2"/>
  <c r="AB173" i="2"/>
  <c r="X173" i="2"/>
  <c r="T173" i="2"/>
  <c r="P173" i="2"/>
  <c r="L173" i="2"/>
  <c r="H173" i="2"/>
  <c r="D173" i="2"/>
  <c r="AR172" i="2"/>
  <c r="AN172" i="2"/>
  <c r="AJ172" i="2"/>
  <c r="AF172" i="2"/>
  <c r="AB172" i="2"/>
  <c r="X172" i="2"/>
  <c r="T172" i="2"/>
  <c r="P172" i="2"/>
  <c r="L172" i="2"/>
  <c r="H172" i="2"/>
  <c r="D172" i="2"/>
  <c r="AR171" i="2"/>
  <c r="AN171" i="2"/>
  <c r="AJ171" i="2"/>
  <c r="AF171" i="2"/>
  <c r="AB171" i="2"/>
  <c r="X171" i="2"/>
  <c r="T171" i="2"/>
  <c r="P171" i="2"/>
  <c r="L171" i="2"/>
  <c r="H171" i="2"/>
  <c r="D171" i="2"/>
  <c r="AR170" i="2"/>
  <c r="AN170" i="2"/>
  <c r="AJ170" i="2"/>
  <c r="AF170" i="2"/>
  <c r="AB170" i="2"/>
  <c r="X170" i="2"/>
  <c r="T170" i="2"/>
  <c r="P170" i="2"/>
  <c r="L170" i="2"/>
  <c r="H170" i="2"/>
  <c r="D170" i="2"/>
  <c r="AR169" i="2"/>
  <c r="AN169" i="2"/>
  <c r="AJ169" i="2"/>
  <c r="AF169" i="2"/>
  <c r="AB169" i="2"/>
  <c r="X169" i="2"/>
  <c r="T169" i="2"/>
  <c r="P169" i="2"/>
  <c r="L169" i="2"/>
  <c r="H169" i="2"/>
  <c r="D169" i="2"/>
  <c r="AR168" i="2"/>
  <c r="AN168" i="2"/>
  <c r="AJ168" i="2"/>
  <c r="AF168" i="2"/>
  <c r="AB168" i="2"/>
  <c r="X168" i="2"/>
  <c r="T168" i="2"/>
  <c r="P168" i="2"/>
  <c r="L168" i="2"/>
  <c r="H168" i="2"/>
  <c r="D168" i="2"/>
  <c r="AR167" i="2"/>
  <c r="AN167" i="2"/>
  <c r="AJ167" i="2"/>
  <c r="AF167" i="2"/>
  <c r="AB167" i="2"/>
  <c r="X167" i="2"/>
  <c r="T167" i="2"/>
  <c r="P167" i="2"/>
  <c r="L167" i="2"/>
  <c r="H167" i="2"/>
  <c r="D167" i="2"/>
  <c r="AR166" i="2"/>
  <c r="AN166" i="2"/>
  <c r="AJ166" i="2"/>
  <c r="AF166" i="2"/>
  <c r="AB166" i="2"/>
  <c r="X166" i="2"/>
  <c r="T166" i="2"/>
  <c r="P166" i="2"/>
  <c r="L166" i="2"/>
  <c r="H166" i="2"/>
  <c r="D166" i="2"/>
  <c r="AR165" i="2"/>
  <c r="AN165" i="2"/>
  <c r="AJ165" i="2"/>
  <c r="AF165" i="2"/>
  <c r="AB165" i="2"/>
  <c r="X165" i="2"/>
  <c r="T165" i="2"/>
  <c r="P165" i="2"/>
  <c r="L165" i="2"/>
  <c r="H165" i="2"/>
  <c r="D165" i="2"/>
  <c r="AR164" i="2"/>
  <c r="AN164" i="2"/>
  <c r="AJ164" i="2"/>
  <c r="AF164" i="2"/>
  <c r="AB164" i="2"/>
  <c r="X164" i="2"/>
  <c r="T164" i="2"/>
  <c r="P164" i="2"/>
  <c r="L164" i="2"/>
  <c r="H164" i="2"/>
  <c r="D164" i="2"/>
  <c r="AR163" i="2"/>
  <c r="AN163" i="2"/>
  <c r="AJ163" i="2"/>
  <c r="AF163" i="2"/>
  <c r="AB163" i="2"/>
  <c r="X163" i="2"/>
  <c r="T163" i="2"/>
  <c r="P163" i="2"/>
  <c r="L163" i="2"/>
  <c r="H163" i="2"/>
  <c r="D163" i="2"/>
  <c r="AR162" i="2"/>
  <c r="AN162" i="2"/>
  <c r="AJ162" i="2"/>
  <c r="AF162" i="2"/>
  <c r="AB162" i="2"/>
  <c r="X162" i="2"/>
  <c r="T162" i="2"/>
  <c r="P162" i="2"/>
  <c r="L162" i="2"/>
  <c r="H162" i="2"/>
  <c r="D162" i="2"/>
  <c r="AR161" i="2"/>
  <c r="AN161" i="2"/>
  <c r="AJ161" i="2"/>
  <c r="AF161" i="2"/>
  <c r="AB161" i="2"/>
  <c r="X161" i="2"/>
  <c r="T161" i="2"/>
  <c r="P161" i="2"/>
  <c r="L161" i="2"/>
  <c r="H161" i="2"/>
  <c r="D161" i="2"/>
  <c r="AR160" i="2"/>
  <c r="AN160" i="2"/>
  <c r="AJ160" i="2"/>
  <c r="AF160" i="2"/>
  <c r="AB160" i="2"/>
  <c r="X160" i="2"/>
  <c r="T160" i="2"/>
  <c r="P160" i="2"/>
  <c r="L160" i="2"/>
  <c r="H160" i="2"/>
  <c r="D160" i="2"/>
  <c r="AR159" i="2"/>
  <c r="AN159" i="2"/>
  <c r="AJ159" i="2"/>
  <c r="AF159" i="2"/>
  <c r="AB159" i="2"/>
  <c r="X159" i="2"/>
  <c r="T159" i="2"/>
  <c r="P159" i="2"/>
  <c r="L159" i="2"/>
  <c r="H159" i="2"/>
  <c r="D159" i="2"/>
  <c r="AR158" i="2"/>
  <c r="AN158" i="2"/>
  <c r="AJ158" i="2"/>
  <c r="AF158" i="2"/>
  <c r="AB158" i="2"/>
  <c r="X158" i="2"/>
  <c r="T158" i="2"/>
  <c r="P158" i="2"/>
  <c r="L158" i="2"/>
  <c r="H158" i="2"/>
  <c r="D158" i="2"/>
  <c r="AR157" i="2"/>
  <c r="AN157" i="2"/>
  <c r="AJ157" i="2"/>
  <c r="AF157" i="2"/>
  <c r="AB157" i="2"/>
  <c r="X157" i="2"/>
  <c r="T157" i="2"/>
  <c r="P157" i="2"/>
  <c r="L157" i="2"/>
  <c r="H157" i="2"/>
  <c r="D157" i="2"/>
  <c r="AR156" i="2"/>
  <c r="AN156" i="2"/>
  <c r="AJ156" i="2"/>
  <c r="AF156" i="2"/>
  <c r="AB156" i="2"/>
  <c r="X156" i="2"/>
  <c r="T156" i="2"/>
  <c r="P156" i="2"/>
  <c r="L156" i="2"/>
  <c r="H156" i="2"/>
  <c r="D156" i="2"/>
  <c r="AR155" i="2"/>
  <c r="AN155" i="2"/>
  <c r="AJ155" i="2"/>
  <c r="AF155" i="2"/>
  <c r="AB155" i="2"/>
  <c r="X155" i="2"/>
  <c r="T155" i="2"/>
  <c r="P155" i="2"/>
  <c r="L155" i="2"/>
  <c r="H155" i="2"/>
  <c r="D155" i="2"/>
  <c r="AR154" i="2"/>
  <c r="AN154" i="2"/>
  <c r="AJ154" i="2"/>
  <c r="AF154" i="2"/>
  <c r="AB154" i="2"/>
  <c r="X154" i="2"/>
  <c r="T154" i="2"/>
  <c r="P154" i="2"/>
  <c r="L154" i="2"/>
  <c r="H154" i="2"/>
  <c r="D154" i="2"/>
  <c r="AR153" i="2"/>
  <c r="AN153" i="2"/>
  <c r="AJ153" i="2"/>
  <c r="AF153" i="2"/>
  <c r="AB153" i="2"/>
  <c r="X153" i="2"/>
  <c r="T153" i="2"/>
  <c r="P153" i="2"/>
  <c r="L153" i="2"/>
  <c r="H153" i="2"/>
  <c r="D153" i="2"/>
  <c r="AR152" i="2"/>
  <c r="AN152" i="2"/>
  <c r="AJ152" i="2"/>
  <c r="AF152" i="2"/>
  <c r="AB152" i="2"/>
  <c r="X152" i="2"/>
  <c r="T152" i="2"/>
  <c r="P152" i="2"/>
  <c r="L152" i="2"/>
  <c r="H152" i="2"/>
  <c r="D152" i="2"/>
  <c r="AR151" i="2"/>
  <c r="AN151" i="2"/>
  <c r="AJ151" i="2"/>
  <c r="AF151" i="2"/>
  <c r="AB151" i="2"/>
  <c r="X151" i="2"/>
  <c r="T151" i="2"/>
  <c r="P151" i="2"/>
  <c r="L151" i="2"/>
  <c r="H151" i="2"/>
  <c r="D151" i="2"/>
  <c r="AR150" i="2"/>
  <c r="AN150" i="2"/>
  <c r="AJ150" i="2"/>
  <c r="AF150" i="2"/>
  <c r="AB150" i="2"/>
  <c r="X150" i="2"/>
  <c r="T150" i="2"/>
  <c r="P150" i="2"/>
  <c r="L150" i="2"/>
  <c r="H150" i="2"/>
  <c r="D150" i="2"/>
  <c r="AR149" i="2"/>
  <c r="AN149" i="2"/>
  <c r="AJ149" i="2"/>
  <c r="AF149" i="2"/>
  <c r="AB149" i="2"/>
  <c r="X149" i="2"/>
  <c r="T149" i="2"/>
  <c r="P149" i="2"/>
  <c r="L149" i="2"/>
  <c r="H149" i="2"/>
  <c r="D149" i="2"/>
  <c r="AR148" i="2"/>
  <c r="AN148" i="2"/>
  <c r="AJ148" i="2"/>
  <c r="AF148" i="2"/>
  <c r="AB148" i="2"/>
  <c r="X148" i="2"/>
  <c r="T148" i="2"/>
  <c r="P148" i="2"/>
  <c r="L148" i="2"/>
  <c r="H148" i="2"/>
  <c r="D148" i="2"/>
  <c r="AR147" i="2"/>
  <c r="AN147" i="2"/>
  <c r="AJ147" i="2"/>
  <c r="AF147" i="2"/>
  <c r="AB147" i="2"/>
  <c r="X147" i="2"/>
  <c r="T147" i="2"/>
  <c r="P147" i="2"/>
  <c r="L147" i="2"/>
  <c r="H147" i="2"/>
  <c r="D147" i="2"/>
  <c r="AR146" i="2"/>
  <c r="AN146" i="2"/>
  <c r="AJ146" i="2"/>
  <c r="AF146" i="2"/>
  <c r="AB146" i="2"/>
  <c r="X146" i="2"/>
  <c r="T146" i="2"/>
  <c r="P146" i="2"/>
  <c r="L146" i="2"/>
  <c r="H146" i="2"/>
  <c r="D146" i="2"/>
  <c r="AR145" i="2"/>
  <c r="AN145" i="2"/>
  <c r="AJ145" i="2"/>
  <c r="AF145" i="2"/>
  <c r="AB145" i="2"/>
  <c r="X145" i="2"/>
  <c r="T145" i="2"/>
  <c r="P145" i="2"/>
  <c r="L145" i="2"/>
  <c r="H145" i="2"/>
  <c r="D145" i="2"/>
  <c r="AR144" i="2"/>
  <c r="AN144" i="2"/>
  <c r="AJ144" i="2"/>
  <c r="AF144" i="2"/>
  <c r="AB144" i="2"/>
  <c r="X144" i="2"/>
  <c r="T144" i="2"/>
  <c r="P144" i="2"/>
  <c r="L144" i="2"/>
  <c r="H144" i="2"/>
  <c r="D144" i="2"/>
  <c r="AR143" i="2"/>
  <c r="AN143" i="2"/>
  <c r="AJ143" i="2"/>
  <c r="AF143" i="2"/>
  <c r="AB143" i="2"/>
  <c r="X143" i="2"/>
  <c r="T143" i="2"/>
  <c r="P143" i="2"/>
  <c r="L143" i="2"/>
  <c r="H143" i="2"/>
  <c r="D143" i="2"/>
  <c r="AR142" i="2"/>
  <c r="AN142" i="2"/>
  <c r="AJ142" i="2"/>
  <c r="AF142" i="2"/>
  <c r="AB142" i="2"/>
  <c r="X142" i="2"/>
  <c r="T142" i="2"/>
  <c r="P142" i="2"/>
  <c r="L142" i="2"/>
  <c r="H142" i="2"/>
  <c r="D142" i="2"/>
  <c r="AR141" i="2"/>
  <c r="AN141" i="2"/>
  <c r="AJ141" i="2"/>
  <c r="AF141" i="2"/>
  <c r="AB141" i="2"/>
  <c r="X141" i="2"/>
  <c r="T141" i="2"/>
  <c r="P141" i="2"/>
  <c r="L141" i="2"/>
  <c r="H141" i="2"/>
  <c r="D141" i="2"/>
  <c r="AR140" i="2"/>
  <c r="AN140" i="2"/>
  <c r="AJ140" i="2"/>
  <c r="AF140" i="2"/>
  <c r="AB140" i="2"/>
  <c r="X140" i="2"/>
  <c r="T140" i="2"/>
  <c r="P140" i="2"/>
  <c r="L140" i="2"/>
  <c r="H140" i="2"/>
  <c r="D140" i="2"/>
  <c r="AR139" i="2"/>
  <c r="AN139" i="2"/>
  <c r="AJ139" i="2"/>
  <c r="AF139" i="2"/>
  <c r="AB139" i="2"/>
  <c r="X139" i="2"/>
  <c r="T139" i="2"/>
  <c r="P139" i="2"/>
  <c r="L139" i="2"/>
  <c r="H139" i="2"/>
  <c r="D139" i="2"/>
  <c r="AR138" i="2"/>
  <c r="AN138" i="2"/>
  <c r="AJ138" i="2"/>
  <c r="AF138" i="2"/>
  <c r="AB138" i="2"/>
  <c r="X138" i="2"/>
  <c r="T138" i="2"/>
  <c r="P138" i="2"/>
  <c r="L138" i="2"/>
  <c r="H138" i="2"/>
  <c r="D138" i="2"/>
  <c r="AR137" i="2"/>
  <c r="AN137" i="2"/>
  <c r="AJ137" i="2"/>
  <c r="AF137" i="2"/>
  <c r="AB137" i="2"/>
  <c r="X137" i="2"/>
  <c r="T137" i="2"/>
  <c r="P137" i="2"/>
  <c r="L137" i="2"/>
  <c r="H137" i="2"/>
  <c r="D137" i="2"/>
  <c r="AR136" i="2"/>
  <c r="AN136" i="2"/>
  <c r="AJ136" i="2"/>
  <c r="AF136" i="2"/>
  <c r="AB136" i="2"/>
  <c r="X136" i="2"/>
  <c r="T136" i="2"/>
  <c r="P136" i="2"/>
  <c r="L136" i="2"/>
  <c r="H136" i="2"/>
  <c r="D136" i="2"/>
  <c r="AR135" i="2"/>
  <c r="AN135" i="2"/>
  <c r="AJ135" i="2"/>
  <c r="AF135" i="2"/>
  <c r="AB135" i="2"/>
  <c r="X135" i="2"/>
  <c r="T135" i="2"/>
  <c r="P135" i="2"/>
  <c r="L135" i="2"/>
  <c r="H135" i="2"/>
  <c r="D135" i="2"/>
  <c r="AR134" i="2"/>
  <c r="AN134" i="2"/>
  <c r="AJ134" i="2"/>
  <c r="AF134" i="2"/>
  <c r="AB134" i="2"/>
  <c r="X134" i="2"/>
  <c r="T134" i="2"/>
  <c r="P134" i="2"/>
  <c r="L134" i="2"/>
  <c r="H134" i="2"/>
  <c r="D134" i="2"/>
  <c r="AR133" i="2"/>
  <c r="AN133" i="2"/>
  <c r="AJ133" i="2"/>
  <c r="AF133" i="2"/>
  <c r="AB133" i="2"/>
  <c r="X133" i="2"/>
  <c r="T133" i="2"/>
  <c r="P133" i="2"/>
  <c r="L133" i="2"/>
  <c r="H133" i="2"/>
  <c r="D133" i="2"/>
  <c r="AR132" i="2"/>
  <c r="AN132" i="2"/>
  <c r="AJ132" i="2"/>
  <c r="AF132" i="2"/>
  <c r="AB132" i="2"/>
  <c r="X132" i="2"/>
  <c r="T132" i="2"/>
  <c r="P132" i="2"/>
  <c r="L132" i="2"/>
  <c r="H132" i="2"/>
  <c r="D132" i="2"/>
  <c r="AR131" i="2"/>
  <c r="AN131" i="2"/>
  <c r="AJ131" i="2"/>
  <c r="AF131" i="2"/>
  <c r="AB131" i="2"/>
  <c r="X131" i="2"/>
  <c r="T131" i="2"/>
  <c r="P131" i="2"/>
  <c r="L131" i="2"/>
  <c r="H131" i="2"/>
  <c r="D131" i="2"/>
  <c r="AR130" i="2"/>
  <c r="AN130" i="2"/>
  <c r="AJ130" i="2"/>
  <c r="AF130" i="2"/>
  <c r="AB130" i="2"/>
  <c r="X130" i="2"/>
  <c r="T130" i="2"/>
  <c r="P130" i="2"/>
  <c r="L130" i="2"/>
  <c r="H130" i="2"/>
  <c r="D130" i="2"/>
  <c r="AR129" i="2"/>
  <c r="AN129" i="2"/>
  <c r="AJ129" i="2"/>
  <c r="AF129" i="2"/>
  <c r="AB129" i="2"/>
  <c r="X129" i="2"/>
  <c r="T129" i="2"/>
  <c r="P129" i="2"/>
  <c r="L129" i="2"/>
  <c r="H129" i="2"/>
  <c r="D129" i="2"/>
  <c r="AR128" i="2"/>
  <c r="AN128" i="2"/>
  <c r="AJ128" i="2"/>
  <c r="AF128" i="2"/>
  <c r="AB128" i="2"/>
  <c r="X128" i="2"/>
  <c r="T128" i="2"/>
  <c r="P128" i="2"/>
  <c r="L128" i="2"/>
  <c r="H128" i="2"/>
  <c r="D128" i="2"/>
  <c r="AR127" i="2"/>
  <c r="AN127" i="2"/>
  <c r="AJ127" i="2"/>
  <c r="AF127" i="2"/>
  <c r="AB127" i="2"/>
  <c r="X127" i="2"/>
  <c r="T127" i="2"/>
  <c r="P127" i="2"/>
  <c r="L127" i="2"/>
  <c r="H127" i="2"/>
  <c r="D127" i="2"/>
  <c r="AR126" i="2"/>
  <c r="AN126" i="2"/>
  <c r="AJ126" i="2"/>
  <c r="AF126" i="2"/>
  <c r="AB126" i="2"/>
  <c r="X126" i="2"/>
  <c r="T126" i="2"/>
  <c r="P126" i="2"/>
  <c r="L126" i="2"/>
  <c r="H126" i="2"/>
  <c r="D126" i="2"/>
  <c r="AR125" i="2"/>
  <c r="AN125" i="2"/>
  <c r="AJ125" i="2"/>
  <c r="AF125" i="2"/>
  <c r="AB125" i="2"/>
  <c r="X125" i="2"/>
  <c r="T125" i="2"/>
  <c r="P125" i="2"/>
  <c r="L125" i="2"/>
  <c r="H125" i="2"/>
  <c r="D125" i="2"/>
  <c r="AR124" i="2"/>
  <c r="AN124" i="2"/>
  <c r="AJ124" i="2"/>
  <c r="AF124" i="2"/>
  <c r="AB124" i="2"/>
  <c r="X124" i="2"/>
  <c r="T124" i="2"/>
  <c r="P124" i="2"/>
  <c r="L124" i="2"/>
  <c r="H124" i="2"/>
  <c r="D124" i="2"/>
  <c r="AR123" i="2"/>
  <c r="AN123" i="2"/>
  <c r="AJ123" i="2"/>
  <c r="AF123" i="2"/>
  <c r="AB123" i="2"/>
  <c r="X123" i="2"/>
  <c r="T123" i="2"/>
  <c r="P123" i="2"/>
  <c r="L123" i="2"/>
  <c r="H123" i="2"/>
  <c r="D123" i="2"/>
  <c r="AR122" i="2"/>
  <c r="AN122" i="2"/>
  <c r="AJ122" i="2"/>
  <c r="AF122" i="2"/>
  <c r="AB122" i="2"/>
  <c r="X122" i="2"/>
  <c r="T122" i="2"/>
  <c r="P122" i="2"/>
  <c r="L122" i="2"/>
  <c r="H122" i="2"/>
  <c r="D122" i="2"/>
  <c r="AR121" i="2"/>
  <c r="AN121" i="2"/>
  <c r="AJ121" i="2"/>
  <c r="AF121" i="2"/>
  <c r="AB121" i="2"/>
  <c r="X121" i="2"/>
  <c r="T121" i="2"/>
  <c r="P121" i="2"/>
  <c r="L121" i="2"/>
  <c r="H121" i="2"/>
  <c r="D121" i="2"/>
  <c r="AR120" i="2"/>
  <c r="AN120" i="2"/>
  <c r="AJ120" i="2"/>
  <c r="AF120" i="2"/>
  <c r="AB120" i="2"/>
  <c r="X120" i="2"/>
  <c r="T120" i="2"/>
  <c r="P120" i="2"/>
  <c r="L120" i="2"/>
  <c r="H120" i="2"/>
  <c r="D120" i="2"/>
  <c r="AR119" i="2"/>
  <c r="AN119" i="2"/>
  <c r="AJ119" i="2"/>
  <c r="AF119" i="2"/>
  <c r="AB119" i="2"/>
  <c r="X119" i="2"/>
  <c r="T119" i="2"/>
  <c r="P119" i="2"/>
  <c r="L119" i="2"/>
  <c r="H119" i="2"/>
  <c r="D119" i="2"/>
  <c r="AR118" i="2"/>
  <c r="AN118" i="2"/>
  <c r="AJ118" i="2"/>
  <c r="AF118" i="2"/>
  <c r="AB118" i="2"/>
  <c r="X118" i="2"/>
  <c r="T118" i="2"/>
  <c r="P118" i="2"/>
  <c r="L118" i="2"/>
  <c r="H118" i="2"/>
  <c r="D118" i="2"/>
  <c r="AR117" i="2"/>
  <c r="AN117" i="2"/>
  <c r="AJ117" i="2"/>
  <c r="AF117" i="2"/>
  <c r="AB117" i="2"/>
  <c r="X117" i="2"/>
  <c r="T117" i="2"/>
  <c r="P117" i="2"/>
  <c r="L117" i="2"/>
  <c r="H117" i="2"/>
  <c r="D117" i="2"/>
  <c r="AR116" i="2"/>
  <c r="AN116" i="2"/>
  <c r="AJ116" i="2"/>
  <c r="AF116" i="2"/>
  <c r="AB116" i="2"/>
  <c r="X116" i="2"/>
  <c r="T116" i="2"/>
  <c r="P116" i="2"/>
  <c r="L116" i="2"/>
  <c r="H116" i="2"/>
  <c r="D116" i="2"/>
  <c r="AR115" i="2"/>
  <c r="AN115" i="2"/>
  <c r="AJ115" i="2"/>
  <c r="AF115" i="2"/>
  <c r="AB115" i="2"/>
  <c r="X115" i="2"/>
  <c r="T115" i="2"/>
  <c r="P115" i="2"/>
  <c r="L115" i="2"/>
  <c r="H115" i="2"/>
  <c r="D115" i="2"/>
  <c r="AR114" i="2"/>
  <c r="AN114" i="2"/>
  <c r="AJ114" i="2"/>
  <c r="AF114" i="2"/>
  <c r="AB114" i="2"/>
  <c r="X114" i="2"/>
  <c r="T114" i="2"/>
  <c r="P114" i="2"/>
  <c r="L114" i="2"/>
  <c r="H114" i="2"/>
  <c r="D114" i="2"/>
  <c r="AR113" i="2"/>
  <c r="AN113" i="2"/>
  <c r="AJ113" i="2"/>
  <c r="AF113" i="2"/>
  <c r="AB113" i="2"/>
  <c r="X113" i="2"/>
  <c r="T113" i="2"/>
  <c r="P113" i="2"/>
  <c r="L113" i="2"/>
  <c r="H113" i="2"/>
  <c r="D113" i="2"/>
  <c r="AR112" i="2"/>
  <c r="AN112" i="2"/>
  <c r="AJ112" i="2"/>
  <c r="AF112" i="2"/>
  <c r="AB112" i="2"/>
  <c r="X112" i="2"/>
  <c r="T112" i="2"/>
  <c r="P112" i="2"/>
  <c r="L112" i="2"/>
  <c r="H112" i="2"/>
  <c r="D112" i="2"/>
  <c r="AR111" i="2"/>
  <c r="AN111" i="2"/>
  <c r="AJ111" i="2"/>
  <c r="AF111" i="2"/>
  <c r="AB111" i="2"/>
  <c r="X111" i="2"/>
  <c r="T111" i="2"/>
  <c r="P111" i="2"/>
  <c r="L111" i="2"/>
  <c r="H111" i="2"/>
  <c r="D111" i="2"/>
  <c r="AR110" i="2"/>
  <c r="AN110" i="2"/>
  <c r="AJ110" i="2"/>
  <c r="AF110" i="2"/>
  <c r="AB110" i="2"/>
  <c r="X110" i="2"/>
  <c r="T110" i="2"/>
  <c r="P110" i="2"/>
  <c r="L110" i="2"/>
  <c r="H110" i="2"/>
  <c r="D110" i="2"/>
  <c r="AR109" i="2"/>
  <c r="AN109" i="2"/>
  <c r="AJ109" i="2"/>
  <c r="AF109" i="2"/>
  <c r="AB109" i="2"/>
  <c r="X109" i="2"/>
  <c r="T109" i="2"/>
  <c r="P109" i="2"/>
  <c r="L109" i="2"/>
  <c r="H109" i="2"/>
  <c r="D109" i="2"/>
  <c r="AR108" i="2"/>
  <c r="AN108" i="2"/>
  <c r="AJ108" i="2"/>
  <c r="AF108" i="2"/>
  <c r="AB108" i="2"/>
  <c r="X108" i="2"/>
  <c r="T108" i="2"/>
  <c r="P108" i="2"/>
  <c r="L108" i="2"/>
  <c r="H108" i="2"/>
  <c r="D108" i="2"/>
  <c r="AR107" i="2"/>
  <c r="AN107" i="2"/>
  <c r="AJ107" i="2"/>
  <c r="AF107" i="2"/>
  <c r="AB107" i="2"/>
  <c r="X107" i="2"/>
  <c r="T107" i="2"/>
  <c r="P107" i="2"/>
  <c r="L107" i="2"/>
  <c r="H107" i="2"/>
  <c r="D107" i="2"/>
  <c r="AR106" i="2"/>
  <c r="AN106" i="2"/>
  <c r="AJ106" i="2"/>
  <c r="AF106" i="2"/>
  <c r="AB106" i="2"/>
  <c r="X106" i="2"/>
  <c r="T106" i="2"/>
  <c r="P106" i="2"/>
  <c r="L106" i="2"/>
  <c r="H106" i="2"/>
  <c r="D106" i="2"/>
  <c r="AR105" i="2"/>
  <c r="AN105" i="2"/>
  <c r="AJ105" i="2"/>
  <c r="AF105" i="2"/>
  <c r="AB105" i="2"/>
  <c r="X105" i="2"/>
  <c r="T105" i="2"/>
  <c r="P105" i="2"/>
  <c r="L105" i="2"/>
  <c r="H105" i="2"/>
  <c r="D105" i="2"/>
  <c r="AR104" i="2"/>
  <c r="AN104" i="2"/>
  <c r="AJ104" i="2"/>
  <c r="AF104" i="2"/>
  <c r="AB104" i="2"/>
  <c r="X104" i="2"/>
  <c r="T104" i="2"/>
  <c r="P104" i="2"/>
  <c r="L104" i="2"/>
  <c r="H104" i="2"/>
  <c r="D104" i="2"/>
  <c r="AR103" i="2"/>
  <c r="AN103" i="2"/>
  <c r="AJ103" i="2"/>
  <c r="AF103" i="2"/>
  <c r="AB103" i="2"/>
  <c r="X103" i="2"/>
  <c r="T103" i="2"/>
  <c r="P103" i="2"/>
  <c r="L103" i="2"/>
  <c r="H103" i="2"/>
  <c r="D103" i="2"/>
  <c r="AR102" i="2"/>
  <c r="AN102" i="2"/>
  <c r="AJ102" i="2"/>
  <c r="AF102" i="2"/>
  <c r="AB102" i="2"/>
  <c r="X102" i="2"/>
  <c r="T102" i="2"/>
  <c r="P102" i="2"/>
  <c r="L102" i="2"/>
  <c r="H102" i="2"/>
  <c r="D102" i="2"/>
  <c r="AR101" i="2"/>
  <c r="AN101" i="2"/>
  <c r="AJ101" i="2"/>
  <c r="AF101" i="2"/>
  <c r="AB101" i="2"/>
  <c r="X101" i="2"/>
  <c r="T101" i="2"/>
  <c r="P101" i="2"/>
  <c r="L101" i="2"/>
  <c r="H101" i="2"/>
  <c r="D101" i="2"/>
  <c r="AR100" i="2"/>
  <c r="AN100" i="2"/>
  <c r="AJ100" i="2"/>
  <c r="AF100" i="2"/>
  <c r="AB100" i="2"/>
  <c r="X100" i="2"/>
  <c r="T100" i="2"/>
  <c r="P100" i="2"/>
  <c r="L100" i="2"/>
  <c r="H100" i="2"/>
  <c r="D100" i="2"/>
  <c r="AR99" i="2"/>
  <c r="AN99" i="2"/>
  <c r="AJ99" i="2"/>
  <c r="AF99" i="2"/>
  <c r="AB99" i="2"/>
  <c r="X99" i="2"/>
  <c r="T99" i="2"/>
  <c r="P99" i="2"/>
  <c r="L99" i="2"/>
  <c r="H99" i="2"/>
  <c r="D99" i="2"/>
  <c r="AR98" i="2"/>
  <c r="AN98" i="2"/>
  <c r="AJ98" i="2"/>
  <c r="AF98" i="2"/>
  <c r="AB98" i="2"/>
  <c r="X98" i="2"/>
  <c r="T98" i="2"/>
  <c r="P98" i="2"/>
  <c r="L98" i="2"/>
  <c r="H98" i="2"/>
  <c r="D98" i="2"/>
  <c r="AR97" i="2"/>
  <c r="AN97" i="2"/>
  <c r="AJ97" i="2"/>
  <c r="AF97" i="2"/>
  <c r="AB97" i="2"/>
  <c r="X97" i="2"/>
  <c r="T97" i="2"/>
  <c r="P97" i="2"/>
  <c r="L97" i="2"/>
  <c r="H97" i="2"/>
  <c r="D97" i="2"/>
  <c r="AR96" i="2"/>
  <c r="AN96" i="2"/>
  <c r="AJ96" i="2"/>
  <c r="AF96" i="2"/>
  <c r="AB96" i="2"/>
  <c r="X96" i="2"/>
  <c r="T96" i="2"/>
  <c r="P96" i="2"/>
  <c r="L96" i="2"/>
  <c r="H96" i="2"/>
  <c r="D96" i="2"/>
  <c r="AR95" i="2"/>
  <c r="AN95" i="2"/>
  <c r="AJ95" i="2"/>
  <c r="AF95" i="2"/>
  <c r="AB95" i="2"/>
  <c r="X95" i="2"/>
  <c r="T95" i="2"/>
  <c r="P95" i="2"/>
  <c r="L95" i="2"/>
  <c r="H95" i="2"/>
  <c r="D95" i="2"/>
  <c r="AR94" i="2"/>
  <c r="AN94" i="2"/>
  <c r="AJ94" i="2"/>
  <c r="AF94" i="2"/>
  <c r="AB94" i="2"/>
  <c r="X94" i="2"/>
  <c r="T94" i="2"/>
  <c r="P94" i="2"/>
  <c r="L94" i="2"/>
  <c r="H94" i="2"/>
  <c r="D94" i="2"/>
  <c r="AR93" i="2"/>
  <c r="AN93" i="2"/>
  <c r="AJ93" i="2"/>
  <c r="AF93" i="2"/>
  <c r="AB93" i="2"/>
  <c r="X93" i="2"/>
  <c r="T93" i="2"/>
  <c r="P93" i="2"/>
  <c r="L93" i="2"/>
  <c r="H93" i="2"/>
  <c r="D93" i="2"/>
  <c r="AR92" i="2"/>
  <c r="AN92" i="2"/>
  <c r="AJ92" i="2"/>
  <c r="AF92" i="2"/>
  <c r="AB92" i="2"/>
  <c r="X92" i="2"/>
  <c r="T92" i="2"/>
  <c r="P92" i="2"/>
  <c r="L92" i="2"/>
  <c r="H92" i="2"/>
  <c r="D92" i="2"/>
  <c r="AR91" i="2"/>
  <c r="AN91" i="2"/>
  <c r="AJ91" i="2"/>
  <c r="AF91" i="2"/>
  <c r="AB91" i="2"/>
  <c r="X91" i="2"/>
  <c r="T91" i="2"/>
  <c r="P91" i="2"/>
  <c r="L91" i="2"/>
  <c r="H91" i="2"/>
  <c r="D91" i="2"/>
  <c r="AR90" i="2"/>
  <c r="AN90" i="2"/>
  <c r="AJ90" i="2"/>
  <c r="AF90" i="2"/>
  <c r="AB90" i="2"/>
  <c r="X90" i="2"/>
  <c r="T90" i="2"/>
  <c r="P90" i="2"/>
  <c r="L90" i="2"/>
  <c r="H90" i="2"/>
  <c r="D90" i="2"/>
  <c r="AR89" i="2"/>
  <c r="AN89" i="2"/>
  <c r="AJ89" i="2"/>
  <c r="AF89" i="2"/>
  <c r="AB89" i="2"/>
  <c r="X89" i="2"/>
  <c r="T89" i="2"/>
  <c r="P89" i="2"/>
  <c r="L89" i="2"/>
  <c r="H89" i="2"/>
  <c r="D89" i="2"/>
  <c r="AR88" i="2"/>
  <c r="AN88" i="2"/>
  <c r="AJ88" i="2"/>
  <c r="AF88" i="2"/>
  <c r="AB88" i="2"/>
  <c r="X88" i="2"/>
  <c r="T88" i="2"/>
  <c r="P88" i="2"/>
  <c r="L88" i="2"/>
  <c r="H88" i="2"/>
  <c r="D88" i="2"/>
  <c r="AR87" i="2"/>
  <c r="AN87" i="2"/>
  <c r="AJ87" i="2"/>
  <c r="AF87" i="2"/>
  <c r="AB87" i="2"/>
  <c r="X87" i="2"/>
  <c r="T87" i="2"/>
  <c r="P87" i="2"/>
  <c r="L87" i="2"/>
  <c r="H87" i="2"/>
  <c r="D87" i="2"/>
  <c r="AR86" i="2"/>
  <c r="AN86" i="2"/>
  <c r="AJ86" i="2"/>
  <c r="AF86" i="2"/>
  <c r="AB86" i="2"/>
  <c r="X86" i="2"/>
  <c r="T86" i="2"/>
  <c r="P86" i="2"/>
  <c r="L86" i="2"/>
  <c r="H86" i="2"/>
  <c r="D86" i="2"/>
  <c r="AR85" i="2"/>
  <c r="AN85" i="2"/>
  <c r="AJ85" i="2"/>
  <c r="AF85" i="2"/>
  <c r="AB85" i="2"/>
  <c r="X85" i="2"/>
  <c r="T85" i="2"/>
  <c r="P85" i="2"/>
  <c r="L85" i="2"/>
  <c r="H85" i="2"/>
  <c r="D85" i="2"/>
  <c r="AR84" i="2"/>
  <c r="AN84" i="2"/>
  <c r="AJ84" i="2"/>
  <c r="AF84" i="2"/>
  <c r="AB84" i="2"/>
  <c r="X84" i="2"/>
  <c r="T84" i="2"/>
  <c r="P84" i="2"/>
  <c r="L84" i="2"/>
  <c r="H84" i="2"/>
  <c r="D84" i="2"/>
  <c r="AR83" i="2"/>
  <c r="AN83" i="2"/>
  <c r="AJ83" i="2"/>
  <c r="AF83" i="2"/>
  <c r="AB83" i="2"/>
  <c r="X83" i="2"/>
  <c r="T83" i="2"/>
  <c r="P83" i="2"/>
  <c r="L83" i="2"/>
  <c r="H83" i="2"/>
  <c r="D83" i="2"/>
  <c r="AR82" i="2"/>
  <c r="AN82" i="2"/>
  <c r="AJ82" i="2"/>
  <c r="AF82" i="2"/>
  <c r="AB82" i="2"/>
  <c r="X82" i="2"/>
  <c r="T82" i="2"/>
  <c r="P82" i="2"/>
  <c r="L82" i="2"/>
  <c r="H82" i="2"/>
  <c r="D82" i="2"/>
  <c r="AR81" i="2"/>
  <c r="AN81" i="2"/>
  <c r="AJ81" i="2"/>
  <c r="AF81" i="2"/>
  <c r="AB81" i="2"/>
  <c r="X81" i="2"/>
  <c r="T81" i="2"/>
  <c r="P81" i="2"/>
  <c r="L81" i="2"/>
  <c r="H81" i="2"/>
  <c r="D81" i="2"/>
  <c r="AR80" i="2"/>
  <c r="AN80" i="2"/>
  <c r="AJ80" i="2"/>
  <c r="AF80" i="2"/>
  <c r="AB80" i="2"/>
  <c r="X80" i="2"/>
  <c r="T80" i="2"/>
  <c r="P80" i="2"/>
  <c r="L80" i="2"/>
  <c r="H80" i="2"/>
  <c r="D80" i="2"/>
  <c r="AR79" i="2"/>
  <c r="AN79" i="2"/>
  <c r="AJ79" i="2"/>
  <c r="AF79" i="2"/>
  <c r="AB79" i="2"/>
  <c r="X79" i="2"/>
  <c r="T79" i="2"/>
  <c r="P79" i="2"/>
  <c r="L79" i="2"/>
  <c r="H79" i="2"/>
  <c r="D79" i="2"/>
  <c r="AR78" i="2"/>
  <c r="AN78" i="2"/>
  <c r="AJ78" i="2"/>
  <c r="AF78" i="2"/>
  <c r="AB78" i="2"/>
  <c r="X78" i="2"/>
  <c r="T78" i="2"/>
  <c r="P78" i="2"/>
  <c r="L78" i="2"/>
  <c r="H78" i="2"/>
  <c r="D78" i="2"/>
  <c r="AR77" i="2"/>
  <c r="AN77" i="2"/>
  <c r="AJ77" i="2"/>
  <c r="AF77" i="2"/>
  <c r="AB77" i="2"/>
  <c r="X77" i="2"/>
  <c r="T77" i="2"/>
  <c r="P77" i="2"/>
  <c r="L77" i="2"/>
  <c r="H77" i="2"/>
  <c r="D77" i="2"/>
  <c r="AR76" i="2"/>
  <c r="AN76" i="2"/>
  <c r="AJ76" i="2"/>
  <c r="AF76" i="2"/>
  <c r="AB76" i="2"/>
  <c r="X76" i="2"/>
  <c r="T76" i="2"/>
  <c r="P76" i="2"/>
  <c r="L76" i="2"/>
  <c r="H76" i="2"/>
  <c r="D76" i="2"/>
  <c r="AR75" i="2"/>
  <c r="AN75" i="2"/>
  <c r="AJ75" i="2"/>
  <c r="AF75" i="2"/>
  <c r="AB75" i="2"/>
  <c r="X75" i="2"/>
  <c r="T75" i="2"/>
  <c r="P75" i="2"/>
  <c r="L75" i="2"/>
  <c r="H75" i="2"/>
  <c r="D75" i="2"/>
  <c r="AR74" i="2"/>
  <c r="AN74" i="2"/>
  <c r="AJ74" i="2"/>
  <c r="AF74" i="2"/>
  <c r="AB74" i="2"/>
  <c r="X74" i="2"/>
  <c r="T74" i="2"/>
  <c r="P74" i="2"/>
  <c r="L74" i="2"/>
  <c r="H74" i="2"/>
  <c r="D74" i="2"/>
  <c r="AR73" i="2"/>
  <c r="AN73" i="2"/>
  <c r="AJ73" i="2"/>
  <c r="AF73" i="2"/>
  <c r="AB73" i="2"/>
  <c r="X73" i="2"/>
  <c r="T73" i="2"/>
  <c r="P73" i="2"/>
  <c r="L73" i="2"/>
  <c r="H73" i="2"/>
  <c r="D73" i="2"/>
  <c r="AR72" i="2"/>
  <c r="AN72" i="2"/>
  <c r="AJ72" i="2"/>
  <c r="AF72" i="2"/>
  <c r="AB72" i="2"/>
  <c r="X72" i="2"/>
  <c r="T72" i="2"/>
  <c r="P72" i="2"/>
  <c r="L72" i="2"/>
  <c r="H72" i="2"/>
  <c r="D72" i="2"/>
  <c r="AR71" i="2"/>
  <c r="AN71" i="2"/>
  <c r="AJ71" i="2"/>
  <c r="AF71" i="2"/>
  <c r="AB71" i="2"/>
  <c r="X71" i="2"/>
  <c r="T71" i="2"/>
  <c r="P71" i="2"/>
  <c r="L71" i="2"/>
  <c r="H71" i="2"/>
  <c r="D71" i="2"/>
  <c r="AR70" i="2"/>
  <c r="AN70" i="2"/>
  <c r="AJ70" i="2"/>
  <c r="AF70" i="2"/>
  <c r="AB70" i="2"/>
  <c r="X70" i="2"/>
  <c r="T70" i="2"/>
  <c r="P70" i="2"/>
  <c r="L70" i="2"/>
  <c r="H70" i="2"/>
  <c r="D70" i="2"/>
  <c r="AR69" i="2"/>
  <c r="AN69" i="2"/>
  <c r="AJ69" i="2"/>
  <c r="AF69" i="2"/>
  <c r="AB69" i="2"/>
  <c r="X69" i="2"/>
  <c r="T69" i="2"/>
  <c r="P69" i="2"/>
  <c r="L69" i="2"/>
  <c r="H69" i="2"/>
  <c r="D69" i="2"/>
  <c r="AR68" i="2"/>
  <c r="AN68" i="2"/>
  <c r="AJ68" i="2"/>
  <c r="AF68" i="2"/>
  <c r="AB68" i="2"/>
  <c r="X68" i="2"/>
  <c r="T68" i="2"/>
  <c r="P68" i="2"/>
  <c r="L68" i="2"/>
  <c r="H68" i="2"/>
  <c r="D68" i="2"/>
  <c r="AR67" i="2"/>
  <c r="AN67" i="2"/>
  <c r="AJ67" i="2"/>
  <c r="AF67" i="2"/>
  <c r="AB67" i="2"/>
  <c r="X67" i="2"/>
  <c r="T67" i="2"/>
  <c r="P67" i="2"/>
  <c r="L67" i="2"/>
  <c r="H67" i="2"/>
  <c r="D67" i="2"/>
  <c r="AR66" i="2"/>
  <c r="AN66" i="2"/>
  <c r="AJ66" i="2"/>
  <c r="AF66" i="2"/>
  <c r="AB66" i="2"/>
  <c r="X66" i="2"/>
  <c r="T66" i="2"/>
  <c r="P66" i="2"/>
  <c r="L66" i="2"/>
  <c r="H66" i="2"/>
  <c r="D66" i="2"/>
  <c r="AR65" i="2"/>
  <c r="AN65" i="2"/>
  <c r="AJ65" i="2"/>
  <c r="AF65" i="2"/>
  <c r="AB65" i="2"/>
  <c r="X65" i="2"/>
  <c r="T65" i="2"/>
  <c r="P65" i="2"/>
  <c r="L65" i="2"/>
  <c r="H65" i="2"/>
  <c r="D65" i="2"/>
  <c r="AR64" i="2"/>
  <c r="AN64" i="2"/>
  <c r="AJ64" i="2"/>
  <c r="AF64" i="2"/>
  <c r="AB64" i="2"/>
  <c r="X64" i="2"/>
  <c r="T64" i="2"/>
  <c r="P64" i="2"/>
  <c r="L64" i="2"/>
  <c r="H64" i="2"/>
  <c r="D64" i="2"/>
  <c r="AR63" i="2"/>
  <c r="AN63" i="2"/>
  <c r="AJ63" i="2"/>
  <c r="AF63" i="2"/>
  <c r="AB63" i="2"/>
  <c r="X63" i="2"/>
  <c r="T63" i="2"/>
  <c r="P63" i="2"/>
  <c r="L63" i="2"/>
  <c r="H63" i="2"/>
  <c r="D63" i="2"/>
  <c r="AR62" i="2"/>
  <c r="AN62" i="2"/>
  <c r="AJ62" i="2"/>
  <c r="AF62" i="2"/>
  <c r="AB62" i="2"/>
  <c r="X62" i="2"/>
  <c r="T62" i="2"/>
  <c r="P62" i="2"/>
  <c r="L62" i="2"/>
  <c r="H62" i="2"/>
  <c r="D62" i="2"/>
  <c r="AR61" i="2"/>
  <c r="AN61" i="2"/>
  <c r="AJ61" i="2"/>
  <c r="AF61" i="2"/>
  <c r="AB61" i="2"/>
  <c r="X61" i="2"/>
  <c r="T61" i="2"/>
  <c r="P61" i="2"/>
  <c r="L61" i="2"/>
  <c r="H61" i="2"/>
  <c r="D61" i="2"/>
  <c r="AR60" i="2"/>
  <c r="AN60" i="2"/>
  <c r="AJ60" i="2"/>
  <c r="AF60" i="2"/>
  <c r="AB60" i="2"/>
  <c r="X60" i="2"/>
  <c r="T60" i="2"/>
  <c r="P60" i="2"/>
  <c r="L60" i="2"/>
  <c r="H60" i="2"/>
  <c r="D60" i="2"/>
  <c r="AR59" i="2"/>
  <c r="AN59" i="2"/>
  <c r="AJ59" i="2"/>
  <c r="AF59" i="2"/>
  <c r="AB59" i="2"/>
  <c r="X59" i="2"/>
  <c r="T59" i="2"/>
  <c r="P59" i="2"/>
  <c r="L59" i="2"/>
  <c r="H59" i="2"/>
  <c r="D59" i="2"/>
  <c r="AR58" i="2"/>
  <c r="AN58" i="2"/>
  <c r="AJ58" i="2"/>
  <c r="AF58" i="2"/>
  <c r="AB58" i="2"/>
  <c r="X58" i="2"/>
  <c r="T58" i="2"/>
  <c r="P58" i="2"/>
  <c r="L58" i="2"/>
  <c r="H58" i="2"/>
  <c r="D58" i="2"/>
  <c r="AR57" i="2"/>
  <c r="AN57" i="2"/>
  <c r="AJ57" i="2"/>
  <c r="AF57" i="2"/>
  <c r="AB57" i="2"/>
  <c r="X57" i="2"/>
  <c r="T57" i="2"/>
  <c r="P57" i="2"/>
  <c r="L57" i="2"/>
  <c r="H57" i="2"/>
  <c r="D57" i="2"/>
  <c r="AR56" i="2"/>
  <c r="AN56" i="2"/>
  <c r="AJ56" i="2"/>
  <c r="AF56" i="2"/>
  <c r="AB56" i="2"/>
  <c r="X56" i="2"/>
  <c r="T56" i="2"/>
  <c r="P56" i="2"/>
  <c r="L56" i="2"/>
  <c r="H56" i="2"/>
  <c r="D56" i="2"/>
  <c r="AR55" i="2"/>
  <c r="AN55" i="2"/>
  <c r="AJ55" i="2"/>
  <c r="AF55" i="2"/>
  <c r="AB55" i="2"/>
  <c r="X55" i="2"/>
  <c r="T55" i="2"/>
  <c r="P55" i="2"/>
  <c r="L55" i="2"/>
  <c r="H55" i="2"/>
  <c r="D55" i="2"/>
  <c r="AR54" i="2"/>
  <c r="AN54" i="2"/>
  <c r="AJ54" i="2"/>
  <c r="AF54" i="2"/>
  <c r="AB54" i="2"/>
  <c r="X54" i="2"/>
  <c r="T54" i="2"/>
  <c r="P54" i="2"/>
  <c r="L54" i="2"/>
  <c r="H54" i="2"/>
  <c r="D54" i="2"/>
  <c r="AR53" i="2"/>
  <c r="AN53" i="2"/>
  <c r="AJ53" i="2"/>
  <c r="AF53" i="2"/>
  <c r="AB53" i="2"/>
  <c r="X53" i="2"/>
  <c r="T53" i="2"/>
  <c r="P53" i="2"/>
  <c r="L53" i="2"/>
  <c r="H53" i="2"/>
  <c r="D53" i="2"/>
  <c r="AR52" i="2"/>
  <c r="AN52" i="2"/>
  <c r="AJ52" i="2"/>
  <c r="AF52" i="2"/>
  <c r="AB52" i="2"/>
  <c r="X52" i="2"/>
  <c r="T52" i="2"/>
  <c r="P52" i="2"/>
  <c r="L52" i="2"/>
  <c r="H52" i="2"/>
  <c r="D52" i="2"/>
  <c r="AR51" i="2"/>
  <c r="AN51" i="2"/>
  <c r="AJ51" i="2"/>
  <c r="AF51" i="2"/>
  <c r="AB51" i="2"/>
  <c r="X51" i="2"/>
  <c r="T51" i="2"/>
  <c r="P51" i="2"/>
  <c r="L51" i="2"/>
  <c r="H51" i="2"/>
  <c r="D51" i="2"/>
  <c r="AR50" i="2"/>
  <c r="AN50" i="2"/>
  <c r="AJ50" i="2"/>
  <c r="AF50" i="2"/>
  <c r="AB50" i="2"/>
  <c r="X50" i="2"/>
  <c r="T50" i="2"/>
  <c r="P50" i="2"/>
  <c r="L50" i="2"/>
  <c r="H50" i="2"/>
  <c r="D50" i="2"/>
  <c r="AR49" i="2"/>
  <c r="AN49" i="2"/>
  <c r="AJ49" i="2"/>
  <c r="AF49" i="2"/>
  <c r="AB49" i="2"/>
  <c r="X49" i="2"/>
  <c r="T49" i="2"/>
  <c r="P49" i="2"/>
  <c r="L49" i="2"/>
  <c r="H49" i="2"/>
  <c r="D49" i="2"/>
  <c r="AR48" i="2"/>
  <c r="AN48" i="2"/>
  <c r="AJ48" i="2"/>
  <c r="AF48" i="2"/>
  <c r="AB48" i="2"/>
  <c r="X48" i="2"/>
  <c r="T48" i="2"/>
  <c r="P48" i="2"/>
  <c r="L48" i="2"/>
  <c r="H48" i="2"/>
  <c r="D48" i="2"/>
  <c r="AR47" i="2"/>
  <c r="AN47" i="2"/>
  <c r="AJ47" i="2"/>
  <c r="AF47" i="2"/>
  <c r="AB47" i="2"/>
  <c r="X47" i="2"/>
  <c r="T47" i="2"/>
  <c r="P47" i="2"/>
  <c r="L47" i="2"/>
  <c r="H47" i="2"/>
  <c r="D47" i="2"/>
  <c r="AR46" i="2"/>
  <c r="AN46" i="2"/>
  <c r="AJ46" i="2"/>
  <c r="AF46" i="2"/>
  <c r="AB46" i="2"/>
  <c r="X46" i="2"/>
  <c r="T46" i="2"/>
  <c r="P46" i="2"/>
  <c r="L46" i="2"/>
  <c r="H46" i="2"/>
  <c r="D46" i="2"/>
  <c r="AR45" i="2"/>
  <c r="AN45" i="2"/>
  <c r="AJ45" i="2"/>
  <c r="AF45" i="2"/>
  <c r="AB45" i="2"/>
  <c r="X45" i="2"/>
  <c r="T45" i="2"/>
  <c r="P45" i="2"/>
  <c r="L45" i="2"/>
  <c r="H45" i="2"/>
  <c r="D45" i="2"/>
  <c r="AR44" i="2"/>
  <c r="AN44" i="2"/>
  <c r="AJ44" i="2"/>
  <c r="AF44" i="2"/>
  <c r="AB44" i="2"/>
  <c r="X44" i="2"/>
  <c r="T44" i="2"/>
  <c r="P44" i="2"/>
  <c r="L44" i="2"/>
  <c r="H44" i="2"/>
  <c r="D44" i="2"/>
  <c r="AR43" i="2"/>
  <c r="AN43" i="2"/>
  <c r="AJ43" i="2"/>
  <c r="AF43" i="2"/>
  <c r="AB43" i="2"/>
  <c r="X43" i="2"/>
  <c r="T43" i="2"/>
  <c r="P43" i="2"/>
  <c r="L43" i="2"/>
  <c r="H43" i="2"/>
  <c r="D43" i="2"/>
  <c r="AR42" i="2"/>
  <c r="AN42" i="2"/>
  <c r="AJ42" i="2"/>
  <c r="AF42" i="2"/>
  <c r="AB42" i="2"/>
  <c r="X42" i="2"/>
  <c r="T42" i="2"/>
  <c r="P42" i="2"/>
  <c r="L42" i="2"/>
  <c r="H42" i="2"/>
  <c r="D42" i="2"/>
  <c r="AR41" i="2"/>
  <c r="AN41" i="2"/>
  <c r="AJ41" i="2"/>
  <c r="AF41" i="2"/>
  <c r="AB41" i="2"/>
  <c r="X41" i="2"/>
  <c r="T41" i="2"/>
  <c r="P41" i="2"/>
  <c r="L41" i="2"/>
  <c r="H41" i="2"/>
  <c r="D41" i="2"/>
  <c r="AR40" i="2"/>
  <c r="AN40" i="2"/>
  <c r="AJ40" i="2"/>
  <c r="AF40" i="2"/>
  <c r="AB40" i="2"/>
  <c r="X40" i="2"/>
  <c r="T40" i="2"/>
  <c r="P40" i="2"/>
  <c r="L40" i="2"/>
  <c r="H40" i="2"/>
  <c r="D40" i="2"/>
  <c r="AR39" i="2"/>
  <c r="AN39" i="2"/>
  <c r="AJ39" i="2"/>
  <c r="AF39" i="2"/>
  <c r="AB39" i="2"/>
  <c r="X39" i="2"/>
  <c r="T39" i="2"/>
  <c r="P39" i="2"/>
  <c r="L39" i="2"/>
  <c r="H39" i="2"/>
  <c r="D39" i="2"/>
  <c r="AR38" i="2"/>
  <c r="AN38" i="2"/>
  <c r="AJ38" i="2"/>
  <c r="AF38" i="2"/>
  <c r="AB38" i="2"/>
  <c r="X38" i="2"/>
  <c r="T38" i="2"/>
  <c r="P38" i="2"/>
  <c r="L38" i="2"/>
  <c r="H38" i="2"/>
  <c r="D38" i="2"/>
  <c r="AR37" i="2"/>
  <c r="AN37" i="2"/>
  <c r="AJ37" i="2"/>
  <c r="AF37" i="2"/>
  <c r="AB37" i="2"/>
  <c r="X37" i="2"/>
  <c r="T37" i="2"/>
  <c r="P37" i="2"/>
  <c r="L37" i="2"/>
  <c r="H37" i="2"/>
  <c r="D37" i="2"/>
  <c r="AR36" i="2"/>
  <c r="AN36" i="2"/>
  <c r="AJ36" i="2"/>
  <c r="AF36" i="2"/>
  <c r="AB36" i="2"/>
  <c r="X36" i="2"/>
  <c r="T36" i="2"/>
  <c r="P36" i="2"/>
  <c r="L36" i="2"/>
  <c r="H36" i="2"/>
  <c r="D36" i="2"/>
  <c r="AR35" i="2"/>
  <c r="AN35" i="2"/>
  <c r="AJ35" i="2"/>
  <c r="AF35" i="2"/>
  <c r="AB35" i="2"/>
  <c r="X35" i="2"/>
  <c r="T35" i="2"/>
  <c r="P35" i="2"/>
  <c r="L35" i="2"/>
  <c r="H35" i="2"/>
  <c r="D35" i="2"/>
  <c r="AR34" i="2"/>
  <c r="AN34" i="2"/>
  <c r="AJ34" i="2"/>
  <c r="AF34" i="2"/>
  <c r="AB34" i="2"/>
  <c r="X34" i="2"/>
  <c r="T34" i="2"/>
  <c r="P34" i="2"/>
  <c r="L34" i="2"/>
  <c r="H34" i="2"/>
  <c r="D34" i="2"/>
  <c r="AR33" i="2"/>
  <c r="AN33" i="2"/>
  <c r="AJ33" i="2"/>
  <c r="AF33" i="2"/>
  <c r="AB33" i="2"/>
  <c r="X33" i="2"/>
  <c r="T33" i="2"/>
  <c r="P33" i="2"/>
  <c r="L33" i="2"/>
  <c r="H33" i="2"/>
  <c r="D33" i="2"/>
  <c r="AR32" i="2"/>
  <c r="AN32" i="2"/>
  <c r="AJ32" i="2"/>
  <c r="AF32" i="2"/>
  <c r="AB32" i="2"/>
  <c r="X32" i="2"/>
  <c r="T32" i="2"/>
  <c r="P32" i="2"/>
  <c r="L32" i="2"/>
  <c r="H32" i="2"/>
  <c r="D32" i="2"/>
  <c r="AR31" i="2"/>
  <c r="AN31" i="2"/>
  <c r="AJ31" i="2"/>
  <c r="AF31" i="2"/>
  <c r="AB31" i="2"/>
  <c r="X31" i="2"/>
  <c r="T31" i="2"/>
  <c r="P31" i="2"/>
  <c r="L31" i="2"/>
  <c r="H31" i="2"/>
  <c r="D31" i="2"/>
  <c r="AR30" i="2"/>
  <c r="AN30" i="2"/>
  <c r="AJ30" i="2"/>
  <c r="AF30" i="2"/>
  <c r="AB30" i="2"/>
  <c r="X30" i="2"/>
  <c r="T30" i="2"/>
  <c r="P30" i="2"/>
  <c r="L30" i="2"/>
  <c r="H30" i="2"/>
  <c r="D30" i="2"/>
  <c r="AR29" i="2"/>
  <c r="AN29" i="2"/>
  <c r="AJ29" i="2"/>
  <c r="AF29" i="2"/>
  <c r="AB29" i="2"/>
  <c r="X29" i="2"/>
  <c r="T29" i="2"/>
  <c r="P29" i="2"/>
  <c r="L29" i="2"/>
  <c r="H29" i="2"/>
  <c r="D29" i="2"/>
  <c r="AR28" i="2"/>
  <c r="AN28" i="2"/>
  <c r="AJ28" i="2"/>
  <c r="AF28" i="2"/>
  <c r="AB28" i="2"/>
  <c r="X28" i="2"/>
  <c r="T28" i="2"/>
  <c r="P28" i="2"/>
  <c r="L28" i="2"/>
  <c r="H28" i="2"/>
  <c r="D28" i="2"/>
  <c r="AR27" i="2"/>
  <c r="AN27" i="2"/>
  <c r="AJ27" i="2"/>
  <c r="AF27" i="2"/>
  <c r="AB27" i="2"/>
  <c r="X27" i="2"/>
  <c r="T27" i="2"/>
  <c r="P27" i="2"/>
  <c r="L27" i="2"/>
  <c r="H27" i="2"/>
  <c r="D27" i="2"/>
  <c r="AR26" i="2"/>
  <c r="AN26" i="2"/>
  <c r="AJ26" i="2"/>
  <c r="AF26" i="2"/>
  <c r="AB26" i="2"/>
  <c r="X26" i="2"/>
  <c r="T26" i="2"/>
  <c r="P26" i="2"/>
  <c r="L26" i="2"/>
  <c r="H26" i="2"/>
  <c r="D26" i="2"/>
  <c r="AR25" i="2"/>
  <c r="AN25" i="2"/>
  <c r="AJ25" i="2"/>
  <c r="AF25" i="2"/>
  <c r="AB25" i="2"/>
  <c r="X25" i="2"/>
  <c r="T25" i="2"/>
  <c r="P25" i="2"/>
  <c r="L25" i="2"/>
  <c r="H25" i="2"/>
  <c r="D25" i="2"/>
  <c r="AR24" i="2"/>
  <c r="AN24" i="2"/>
  <c r="AJ24" i="2"/>
  <c r="AF24" i="2"/>
  <c r="AB24" i="2"/>
  <c r="X24" i="2"/>
  <c r="T24" i="2"/>
  <c r="P24" i="2"/>
  <c r="L24" i="2"/>
  <c r="H24" i="2"/>
  <c r="D24" i="2"/>
  <c r="AR23" i="2"/>
  <c r="AN23" i="2"/>
  <c r="AJ23" i="2"/>
  <c r="AF23" i="2"/>
  <c r="AB23" i="2"/>
  <c r="X23" i="2"/>
  <c r="T23" i="2"/>
  <c r="P23" i="2"/>
  <c r="L23" i="2"/>
  <c r="H23" i="2"/>
  <c r="D23" i="2"/>
  <c r="AR22" i="2"/>
  <c r="AN22" i="2"/>
  <c r="AJ22" i="2"/>
  <c r="AF22" i="2"/>
  <c r="AB22" i="2"/>
  <c r="X22" i="2"/>
  <c r="T22" i="2"/>
  <c r="P22" i="2"/>
  <c r="L22" i="2"/>
  <c r="H22" i="2"/>
  <c r="D22" i="2"/>
  <c r="AR21" i="2"/>
  <c r="AN21" i="2"/>
  <c r="AJ21" i="2"/>
  <c r="AF21" i="2"/>
  <c r="AB21" i="2"/>
  <c r="X21" i="2"/>
  <c r="T21" i="2"/>
  <c r="P21" i="2"/>
  <c r="L21" i="2"/>
  <c r="H21" i="2"/>
  <c r="D21" i="2"/>
  <c r="AR20" i="2"/>
  <c r="AN20" i="2"/>
  <c r="AJ20" i="2"/>
  <c r="AF20" i="2"/>
  <c r="AB20" i="2"/>
  <c r="X20" i="2"/>
  <c r="T20" i="2"/>
  <c r="P20" i="2"/>
  <c r="L20" i="2"/>
  <c r="H20" i="2"/>
  <c r="D20" i="2"/>
  <c r="AR19" i="2"/>
  <c r="AN19" i="2"/>
  <c r="AJ19" i="2"/>
  <c r="AF19" i="2"/>
  <c r="AB19" i="2"/>
  <c r="X19" i="2"/>
  <c r="T19" i="2"/>
  <c r="P19" i="2"/>
  <c r="L19" i="2"/>
  <c r="H19" i="2"/>
  <c r="D19" i="2"/>
  <c r="AR18" i="2"/>
  <c r="AN18" i="2"/>
  <c r="AJ18" i="2"/>
  <c r="AF18" i="2"/>
  <c r="AB18" i="2"/>
  <c r="X18" i="2"/>
  <c r="T18" i="2"/>
  <c r="P18" i="2"/>
  <c r="L18" i="2"/>
  <c r="H18" i="2"/>
  <c r="D18" i="2"/>
  <c r="AR17" i="2"/>
  <c r="AN17" i="2"/>
  <c r="AJ17" i="2"/>
  <c r="AF17" i="2"/>
  <c r="AB17" i="2"/>
  <c r="X17" i="2"/>
  <c r="T17" i="2"/>
  <c r="P17" i="2"/>
  <c r="L17" i="2"/>
  <c r="H17" i="2"/>
  <c r="D17" i="2"/>
  <c r="AR16" i="2"/>
  <c r="AN16" i="2"/>
  <c r="AJ16" i="2"/>
  <c r="AF16" i="2"/>
  <c r="AB16" i="2"/>
  <c r="X16" i="2"/>
  <c r="T16" i="2"/>
  <c r="P16" i="2"/>
  <c r="L16" i="2"/>
  <c r="H16" i="2"/>
  <c r="D16" i="2"/>
  <c r="AR15" i="2"/>
  <c r="AN15" i="2"/>
  <c r="AJ15" i="2"/>
  <c r="AF15" i="2"/>
  <c r="AB15" i="2"/>
  <c r="X15" i="2"/>
  <c r="T15" i="2"/>
  <c r="P15" i="2"/>
  <c r="L15" i="2"/>
  <c r="H15" i="2"/>
  <c r="D15" i="2"/>
  <c r="AR14" i="2"/>
  <c r="AN14" i="2"/>
  <c r="AJ14" i="2"/>
  <c r="AF14" i="2"/>
  <c r="AB14" i="2"/>
  <c r="X14" i="2"/>
  <c r="T14" i="2"/>
  <c r="P14" i="2"/>
  <c r="L14" i="2"/>
  <c r="H14" i="2"/>
  <c r="D14" i="2"/>
  <c r="AR13" i="2"/>
  <c r="AN13" i="2"/>
  <c r="AJ13" i="2"/>
  <c r="AF13" i="2"/>
  <c r="AB13" i="2"/>
  <c r="X13" i="2"/>
  <c r="T13" i="2"/>
  <c r="P13" i="2"/>
  <c r="L13" i="2"/>
  <c r="H13" i="2"/>
  <c r="D13" i="2"/>
  <c r="AR12" i="2"/>
  <c r="AN12" i="2"/>
  <c r="AJ12" i="2"/>
  <c r="AF12" i="2"/>
  <c r="AB12" i="2"/>
  <c r="X12" i="2"/>
  <c r="T12" i="2"/>
  <c r="P12" i="2"/>
  <c r="L12" i="2"/>
  <c r="H12" i="2"/>
  <c r="D12" i="2"/>
  <c r="AR11" i="2"/>
  <c r="AN11" i="2"/>
  <c r="AJ11" i="2"/>
  <c r="AF11" i="2"/>
  <c r="AB11" i="2"/>
  <c r="X11" i="2"/>
  <c r="T11" i="2"/>
  <c r="P11" i="2"/>
  <c r="L11" i="2"/>
  <c r="H11" i="2"/>
  <c r="D11" i="2"/>
  <c r="AR10" i="2"/>
  <c r="AN10" i="2"/>
  <c r="AJ10" i="2"/>
  <c r="AF10" i="2"/>
  <c r="AB10" i="2"/>
  <c r="X10" i="2"/>
  <c r="T10" i="2"/>
  <c r="P10" i="2"/>
  <c r="L10" i="2"/>
  <c r="H10" i="2"/>
  <c r="D10" i="2"/>
  <c r="AR9" i="2"/>
  <c r="AN9" i="2"/>
  <c r="AJ9" i="2"/>
  <c r="AF9" i="2"/>
  <c r="AB9" i="2"/>
  <c r="X9" i="2"/>
  <c r="T9" i="2"/>
  <c r="P9" i="2"/>
  <c r="L9" i="2"/>
  <c r="H9" i="2"/>
  <c r="D9" i="2"/>
  <c r="AR8" i="2"/>
  <c r="AN8" i="2"/>
  <c r="AJ8" i="2"/>
  <c r="AF8" i="2"/>
  <c r="AB8" i="2"/>
  <c r="X8" i="2"/>
  <c r="T8" i="2"/>
  <c r="P8" i="2"/>
  <c r="L8" i="2"/>
  <c r="H8" i="2"/>
  <c r="D8" i="2"/>
  <c r="U11" i="1"/>
  <c r="E11" i="1"/>
  <c r="V11" i="1" s="1"/>
  <c r="X10" i="1"/>
  <c r="V10" i="1"/>
  <c r="U10" i="1"/>
  <c r="T10" i="1"/>
  <c r="E10" i="1"/>
  <c r="W10" i="1" s="1"/>
  <c r="U8" i="1"/>
  <c r="E8" i="1"/>
  <c r="V8" i="1" s="1"/>
  <c r="V7" i="1"/>
  <c r="U7" i="1"/>
  <c r="T7" i="1"/>
  <c r="E7" i="1"/>
  <c r="X7" i="1" s="1"/>
  <c r="E38" i="4" l="1"/>
  <c r="J77" i="10"/>
  <c r="N6" i="10"/>
  <c r="N71" i="10"/>
  <c r="Q24" i="10"/>
  <c r="R87" i="10"/>
  <c r="I39" i="10"/>
  <c r="G24" i="4"/>
  <c r="N65" i="10"/>
  <c r="N89" i="10"/>
  <c r="Q42" i="10"/>
  <c r="R53" i="10"/>
  <c r="H25" i="4"/>
  <c r="Q15" i="10"/>
  <c r="F35" i="4"/>
  <c r="H11" i="10"/>
  <c r="H19" i="10"/>
  <c r="R45" i="10"/>
  <c r="H64" i="10"/>
  <c r="T18" i="10"/>
  <c r="R28" i="10"/>
  <c r="R57" i="10"/>
  <c r="K77" i="10"/>
  <c r="K84" i="10" s="1"/>
  <c r="R29" i="10"/>
  <c r="Q58" i="10"/>
  <c r="H38" i="4"/>
  <c r="R18" i="10"/>
  <c r="R42" i="10"/>
  <c r="H80" i="10"/>
  <c r="I82" i="10"/>
  <c r="N23" i="10"/>
  <c r="N25" i="10"/>
  <c r="N29" i="10"/>
  <c r="N38" i="10"/>
  <c r="N46" i="10"/>
  <c r="N49" i="10"/>
  <c r="N53" i="10"/>
  <c r="N54" i="10"/>
  <c r="N58" i="10"/>
  <c r="N70" i="10"/>
  <c r="N28" i="10"/>
  <c r="N36" i="10"/>
  <c r="N57" i="10"/>
  <c r="N8" i="10"/>
  <c r="N45" i="10"/>
  <c r="N11" i="10"/>
  <c r="N61" i="10"/>
  <c r="N10" i="10"/>
  <c r="N39" i="10"/>
  <c r="N69" i="10"/>
  <c r="N73" i="10"/>
  <c r="N81" i="10"/>
  <c r="R25" i="10"/>
  <c r="R31" i="10"/>
  <c r="R35" i="10"/>
  <c r="R34" i="10"/>
  <c r="G38" i="4"/>
  <c r="Q50" i="10"/>
  <c r="S78" i="10"/>
  <c r="I45" i="10"/>
  <c r="I8" i="10"/>
  <c r="I89" i="10"/>
  <c r="S7" i="10"/>
  <c r="H71" i="10"/>
  <c r="H46" i="10"/>
  <c r="H63" i="10"/>
  <c r="I73" i="10"/>
  <c r="H11" i="4"/>
  <c r="T63" i="10"/>
  <c r="H10" i="4"/>
  <c r="H9" i="10"/>
  <c r="H45" i="10"/>
  <c r="H47" i="10"/>
  <c r="X8" i="1"/>
  <c r="W7" i="1"/>
  <c r="T8" i="1"/>
  <c r="T11" i="1"/>
  <c r="H8" i="4"/>
  <c r="G8" i="4"/>
  <c r="T19" i="10"/>
  <c r="H37" i="4"/>
  <c r="N14" i="10"/>
  <c r="Q16" i="10"/>
  <c r="N18" i="10"/>
  <c r="H20" i="10"/>
  <c r="R23" i="10"/>
  <c r="R49" i="10"/>
  <c r="T68" i="10"/>
  <c r="Q82" i="10"/>
  <c r="R82" i="10"/>
  <c r="G36" i="4"/>
  <c r="S8" i="10"/>
  <c r="N13" i="10"/>
  <c r="T15" i="10"/>
  <c r="N34" i="10"/>
  <c r="H59" i="10"/>
  <c r="G11" i="4"/>
  <c r="G15" i="4"/>
  <c r="N21" i="10"/>
  <c r="N27" i="10"/>
  <c r="Q31" i="10"/>
  <c r="N37" i="10"/>
  <c r="N42" i="10"/>
  <c r="N43" i="10"/>
  <c r="R46" i="10"/>
  <c r="Q66" i="10"/>
  <c r="Q70" i="10"/>
  <c r="R70" i="10"/>
  <c r="O77" i="10"/>
  <c r="R51" i="10"/>
  <c r="R67" i="10"/>
  <c r="I72" i="10"/>
  <c r="Q76" i="10"/>
  <c r="H78" i="10"/>
  <c r="G14" i="4"/>
  <c r="S10" i="10"/>
  <c r="I15" i="10"/>
  <c r="H16" i="10"/>
  <c r="N17" i="10"/>
  <c r="T52" i="10"/>
  <c r="I57" i="10"/>
  <c r="Q74" i="10"/>
  <c r="I78" i="10"/>
  <c r="N78" i="10"/>
  <c r="H79" i="10"/>
  <c r="N79" i="10"/>
  <c r="N82" i="10"/>
  <c r="F77" i="10"/>
  <c r="F84" i="10" s="1"/>
  <c r="R89" i="10"/>
  <c r="G10" i="4"/>
  <c r="H14" i="4"/>
  <c r="G23" i="4"/>
  <c r="H26" i="4"/>
  <c r="R6" i="10"/>
  <c r="N7" i="10"/>
  <c r="H8" i="10"/>
  <c r="I9" i="10"/>
  <c r="I10" i="10"/>
  <c r="H12" i="10"/>
  <c r="H15" i="10"/>
  <c r="I16" i="10"/>
  <c r="N16" i="10"/>
  <c r="I19" i="10"/>
  <c r="Q26" i="10"/>
  <c r="Q28" i="10"/>
  <c r="N32" i="10"/>
  <c r="N33" i="10"/>
  <c r="H38" i="10"/>
  <c r="Q43" i="10"/>
  <c r="H48" i="10"/>
  <c r="N50" i="10"/>
  <c r="Q54" i="10"/>
  <c r="H55" i="10"/>
  <c r="N55" i="10"/>
  <c r="I56" i="10"/>
  <c r="Q60" i="10"/>
  <c r="H61" i="10"/>
  <c r="H62" i="10"/>
  <c r="N62" i="10"/>
  <c r="N66" i="10"/>
  <c r="N74" i="10"/>
  <c r="R74" i="10"/>
  <c r="H75" i="10"/>
  <c r="H89" i="10"/>
  <c r="H23" i="4"/>
  <c r="G26" i="4"/>
  <c r="B11" i="9"/>
  <c r="G35" i="4"/>
  <c r="B7" i="9"/>
  <c r="S15" i="10"/>
  <c r="I22" i="10"/>
  <c r="H22" i="10"/>
  <c r="T27" i="10"/>
  <c r="Q27" i="10"/>
  <c r="S29" i="10"/>
  <c r="S30" i="10"/>
  <c r="Q35" i="10"/>
  <c r="I38" i="10"/>
  <c r="S41" i="10"/>
  <c r="Q47" i="10"/>
  <c r="R47" i="10"/>
  <c r="S50" i="10"/>
  <c r="R50" i="10"/>
  <c r="I61" i="10"/>
  <c r="T65" i="10"/>
  <c r="Q65" i="10"/>
  <c r="Q69" i="10"/>
  <c r="T69" i="10"/>
  <c r="R72" i="10"/>
  <c r="Q72" i="10"/>
  <c r="T73" i="10"/>
  <c r="Q73" i="10"/>
  <c r="T78" i="10"/>
  <c r="Q78" i="10"/>
  <c r="I81" i="10"/>
  <c r="H81" i="10"/>
  <c r="B13" i="9"/>
  <c r="H35" i="4"/>
  <c r="I11" i="10"/>
  <c r="I12" i="10"/>
  <c r="I20" i="10"/>
  <c r="I21" i="10"/>
  <c r="H21" i="10"/>
  <c r="S22" i="10"/>
  <c r="H24" i="10"/>
  <c r="I24" i="10"/>
  <c r="I25" i="10"/>
  <c r="H25" i="10"/>
  <c r="R27" i="10"/>
  <c r="T47" i="10"/>
  <c r="T49" i="10"/>
  <c r="Q49" i="10"/>
  <c r="Q53" i="10"/>
  <c r="T53" i="10"/>
  <c r="R56" i="10"/>
  <c r="Q56" i="10"/>
  <c r="T57" i="10"/>
  <c r="Q57" i="10"/>
  <c r="R65" i="10"/>
  <c r="I68" i="10"/>
  <c r="H68" i="10"/>
  <c r="R69" i="10"/>
  <c r="R73" i="10"/>
  <c r="R79" i="10"/>
  <c r="Q79" i="10"/>
  <c r="B8" i="9"/>
  <c r="Q7" i="10"/>
  <c r="R7" i="10"/>
  <c r="R8" i="10"/>
  <c r="Q8" i="10"/>
  <c r="S21" i="10"/>
  <c r="S24" i="10"/>
  <c r="S25" i="10"/>
  <c r="S26" i="10"/>
  <c r="H28" i="10"/>
  <c r="I28" i="10"/>
  <c r="H31" i="10"/>
  <c r="I31" i="10"/>
  <c r="T38" i="10"/>
  <c r="Q38" i="10"/>
  <c r="I52" i="10"/>
  <c r="H52" i="10"/>
  <c r="Q61" i="10"/>
  <c r="T61" i="10"/>
  <c r="T62" i="10"/>
  <c r="Q62" i="10"/>
  <c r="H70" i="10"/>
  <c r="I70" i="10"/>
  <c r="H74" i="10"/>
  <c r="I74" i="10"/>
  <c r="T75" i="10"/>
  <c r="M77" i="10"/>
  <c r="M84" i="10" s="1"/>
  <c r="N87" i="10"/>
  <c r="B10" i="9"/>
  <c r="I7" i="10"/>
  <c r="H7" i="10"/>
  <c r="T11" i="10"/>
  <c r="S20" i="10"/>
  <c r="Q22" i="10"/>
  <c r="Q23" i="10"/>
  <c r="T23" i="10"/>
  <c r="R24" i="10"/>
  <c r="S32" i="10"/>
  <c r="T34" i="10"/>
  <c r="Q34" i="10"/>
  <c r="R38" i="10"/>
  <c r="T39" i="10"/>
  <c r="Q39" i="10"/>
  <c r="Q45" i="10"/>
  <c r="T45" i="10"/>
  <c r="T46" i="10"/>
  <c r="Q46" i="10"/>
  <c r="H54" i="10"/>
  <c r="I54" i="10"/>
  <c r="R54" i="10"/>
  <c r="H58" i="10"/>
  <c r="I58" i="10"/>
  <c r="R58" i="10"/>
  <c r="T59" i="10"/>
  <c r="R61" i="10"/>
  <c r="R62" i="10"/>
  <c r="Q63" i="10"/>
  <c r="R63" i="10"/>
  <c r="S66" i="10"/>
  <c r="R66" i="10"/>
  <c r="I79" i="10"/>
  <c r="S6" i="10"/>
  <c r="N9" i="10"/>
  <c r="S17" i="10"/>
  <c r="T17" i="10"/>
  <c r="H18" i="10"/>
  <c r="N19" i="10"/>
  <c r="T31" i="10"/>
  <c r="R39" i="10"/>
  <c r="S40" i="10"/>
  <c r="T42" i="10"/>
  <c r="R43" i="10"/>
  <c r="I48" i="10"/>
  <c r="N51" i="10"/>
  <c r="S53" i="10"/>
  <c r="S54" i="10"/>
  <c r="S56" i="10"/>
  <c r="S60" i="10"/>
  <c r="I64" i="10"/>
  <c r="N67" i="10"/>
  <c r="S69" i="10"/>
  <c r="S70" i="10"/>
  <c r="S72" i="10"/>
  <c r="S76" i="10"/>
  <c r="S88" i="10"/>
  <c r="B9" i="9"/>
  <c r="B14" i="9"/>
  <c r="B12" i="9"/>
  <c r="S9" i="10"/>
  <c r="Q10" i="10"/>
  <c r="S12" i="10"/>
  <c r="T14" i="10"/>
  <c r="R14" i="10"/>
  <c r="N15" i="10"/>
  <c r="S16" i="10"/>
  <c r="N24" i="10"/>
  <c r="S27" i="10"/>
  <c r="S28" i="10"/>
  <c r="I30" i="10"/>
  <c r="N31" i="10"/>
  <c r="S33" i="10"/>
  <c r="N35" i="10"/>
  <c r="S37" i="10"/>
  <c r="H39" i="10"/>
  <c r="N40" i="10"/>
  <c r="N41" i="10"/>
  <c r="S46" i="10"/>
  <c r="I47" i="10"/>
  <c r="N47" i="10"/>
  <c r="S48" i="10"/>
  <c r="S49" i="10"/>
  <c r="T50" i="10"/>
  <c r="H57" i="10"/>
  <c r="I59" i="10"/>
  <c r="N59" i="10"/>
  <c r="S62" i="10"/>
  <c r="I63" i="10"/>
  <c r="N63" i="10"/>
  <c r="S64" i="10"/>
  <c r="S65" i="10"/>
  <c r="T66" i="10"/>
  <c r="H73" i="10"/>
  <c r="I75" i="10"/>
  <c r="N75" i="10"/>
  <c r="I80" i="10"/>
  <c r="Q81" i="10"/>
  <c r="N88" i="10"/>
  <c r="Y38" i="1"/>
  <c r="Y34" i="1"/>
  <c r="Z38" i="1"/>
  <c r="Z34" i="1"/>
  <c r="H14" i="10"/>
  <c r="S14" i="10"/>
  <c r="H23" i="10"/>
  <c r="I23" i="10"/>
  <c r="H33" i="10"/>
  <c r="I33" i="10"/>
  <c r="T33" i="10"/>
  <c r="H43" i="10"/>
  <c r="I43" i="10"/>
  <c r="R48" i="10"/>
  <c r="Q48" i="10"/>
  <c r="T48" i="10"/>
  <c r="I6" i="10"/>
  <c r="I32" i="10"/>
  <c r="H32" i="10"/>
  <c r="T32" i="10"/>
  <c r="H42" i="10"/>
  <c r="I42" i="10"/>
  <c r="F9" i="4"/>
  <c r="E9" i="4"/>
  <c r="B8" i="6"/>
  <c r="H9" i="4"/>
  <c r="G9" i="4"/>
  <c r="F33" i="4"/>
  <c r="E33" i="4"/>
  <c r="G33" i="4"/>
  <c r="H33" i="4"/>
  <c r="E39" i="4"/>
  <c r="H39" i="4"/>
  <c r="G39" i="4"/>
  <c r="R20" i="10"/>
  <c r="T20" i="10"/>
  <c r="Q20" i="10"/>
  <c r="H35" i="10"/>
  <c r="I35" i="10"/>
  <c r="H41" i="10"/>
  <c r="I41" i="10"/>
  <c r="T41" i="10"/>
  <c r="R44" i="10"/>
  <c r="T44" i="10"/>
  <c r="Q44" i="10"/>
  <c r="Q11" i="10"/>
  <c r="S11" i="10"/>
  <c r="Q36" i="10"/>
  <c r="R36" i="10"/>
  <c r="T36" i="10"/>
  <c r="I29" i="10"/>
  <c r="H29" i="10"/>
  <c r="Q9" i="10"/>
  <c r="R9" i="10"/>
  <c r="T9" i="10"/>
  <c r="R12" i="10"/>
  <c r="T12" i="10"/>
  <c r="Q12" i="10"/>
  <c r="Q19" i="10"/>
  <c r="S19" i="10"/>
  <c r="I26" i="10"/>
  <c r="H26" i="10"/>
  <c r="R30" i="10"/>
  <c r="T30" i="10"/>
  <c r="Q30" i="10"/>
  <c r="H34" i="10"/>
  <c r="I34" i="10"/>
  <c r="R37" i="10"/>
  <c r="Q37" i="10"/>
  <c r="T37" i="10"/>
  <c r="I40" i="10"/>
  <c r="H40" i="10"/>
  <c r="T40" i="10"/>
  <c r="R64" i="10"/>
  <c r="Q64" i="10"/>
  <c r="T64" i="10"/>
  <c r="I67" i="10"/>
  <c r="H67" i="10"/>
  <c r="R80" i="10"/>
  <c r="Q80" i="10"/>
  <c r="I88" i="10"/>
  <c r="H88" i="10"/>
  <c r="B9" i="6"/>
  <c r="F12" i="4"/>
  <c r="E12" i="4"/>
  <c r="H12" i="4"/>
  <c r="F13" i="4"/>
  <c r="E13" i="4"/>
  <c r="B11" i="6"/>
  <c r="G13" i="4"/>
  <c r="E21" i="4"/>
  <c r="F21" i="4"/>
  <c r="G21" i="4"/>
  <c r="H21" i="4"/>
  <c r="E27" i="4"/>
  <c r="F27" i="4"/>
  <c r="H27" i="4"/>
  <c r="F32" i="4"/>
  <c r="E32" i="4"/>
  <c r="H32" i="4"/>
  <c r="G32" i="4"/>
  <c r="Q13" i="10"/>
  <c r="R13" i="10"/>
  <c r="H17" i="10"/>
  <c r="I17" i="10"/>
  <c r="Q21" i="10"/>
  <c r="T21" i="10"/>
  <c r="H27" i="10"/>
  <c r="I27" i="10"/>
  <c r="H49" i="10"/>
  <c r="I49" i="10"/>
  <c r="H50" i="10"/>
  <c r="I50" i="10"/>
  <c r="H53" i="10"/>
  <c r="I53" i="10"/>
  <c r="H56" i="10"/>
  <c r="T56" i="10"/>
  <c r="H65" i="10"/>
  <c r="I65" i="10"/>
  <c r="H66" i="10"/>
  <c r="I66" i="10"/>
  <c r="H69" i="10"/>
  <c r="I69" i="10"/>
  <c r="H72" i="10"/>
  <c r="T72" i="10"/>
  <c r="G12" i="4"/>
  <c r="H13" i="4"/>
  <c r="B7" i="6"/>
  <c r="F15" i="4"/>
  <c r="E15" i="4"/>
  <c r="H15" i="4"/>
  <c r="F20" i="4"/>
  <c r="E20" i="4"/>
  <c r="H20" i="4"/>
  <c r="G20" i="4"/>
  <c r="G27" i="4"/>
  <c r="G34" i="4"/>
  <c r="H34" i="4"/>
  <c r="J84" i="10"/>
  <c r="N12" i="10"/>
  <c r="T13" i="10"/>
  <c r="R16" i="10"/>
  <c r="T16" i="10"/>
  <c r="U16" i="10" s="1"/>
  <c r="N20" i="10"/>
  <c r="R21" i="10"/>
  <c r="R22" i="10"/>
  <c r="T22" i="10"/>
  <c r="Q25" i="10"/>
  <c r="T25" i="10"/>
  <c r="H30" i="10"/>
  <c r="Q32" i="10"/>
  <c r="R32" i="10"/>
  <c r="R33" i="10"/>
  <c r="Q33" i="10"/>
  <c r="I36" i="10"/>
  <c r="H36" i="10"/>
  <c r="H37" i="10"/>
  <c r="I37" i="10"/>
  <c r="Q40" i="10"/>
  <c r="R40" i="10"/>
  <c r="R41" i="10"/>
  <c r="Q41" i="10"/>
  <c r="I44" i="10"/>
  <c r="H44" i="10"/>
  <c r="I46" i="10"/>
  <c r="Q51" i="10"/>
  <c r="T51" i="10"/>
  <c r="S52" i="10"/>
  <c r="Q52" i="10"/>
  <c r="S55" i="10"/>
  <c r="I60" i="10"/>
  <c r="H60" i="10"/>
  <c r="I62" i="10"/>
  <c r="Q67" i="10"/>
  <c r="T67" i="10"/>
  <c r="S68" i="10"/>
  <c r="Q68" i="10"/>
  <c r="S71" i="10"/>
  <c r="I76" i="10"/>
  <c r="H76" i="10"/>
  <c r="L77" i="10"/>
  <c r="R81" i="10"/>
  <c r="Q88" i="10"/>
  <c r="T88" i="10"/>
  <c r="R88" i="10"/>
  <c r="I51" i="10"/>
  <c r="H51" i="10"/>
  <c r="R60" i="10"/>
  <c r="T60" i="10"/>
  <c r="R76" i="10"/>
  <c r="T76" i="10"/>
  <c r="B10" i="6"/>
  <c r="F8" i="4"/>
  <c r="E8" i="4"/>
  <c r="G22" i="4"/>
  <c r="H22" i="4"/>
  <c r="Q6" i="10"/>
  <c r="R10" i="10"/>
  <c r="H13" i="10"/>
  <c r="I13" i="10"/>
  <c r="S13" i="10"/>
  <c r="Q17" i="10"/>
  <c r="R17" i="10"/>
  <c r="S18" i="10"/>
  <c r="S23" i="10"/>
  <c r="R26" i="10"/>
  <c r="T26" i="10"/>
  <c r="Q29" i="10"/>
  <c r="T29" i="10"/>
  <c r="T35" i="10"/>
  <c r="S36" i="10"/>
  <c r="T43" i="10"/>
  <c r="Q55" i="10"/>
  <c r="R55" i="10"/>
  <c r="T55" i="10"/>
  <c r="S59" i="10"/>
  <c r="R59" i="10"/>
  <c r="Q71" i="10"/>
  <c r="R71" i="10"/>
  <c r="T71" i="10"/>
  <c r="S75" i="10"/>
  <c r="R75" i="10"/>
  <c r="G77" i="10"/>
  <c r="E24" i="4"/>
  <c r="F24" i="4"/>
  <c r="H24" i="4"/>
  <c r="E25" i="4"/>
  <c r="F25" i="4"/>
  <c r="G25" i="4"/>
  <c r="E36" i="4"/>
  <c r="F36" i="4"/>
  <c r="H36" i="4"/>
  <c r="G37" i="4"/>
  <c r="T24" i="10"/>
  <c r="T28" i="10"/>
  <c r="S31" i="10"/>
  <c r="S35" i="10"/>
  <c r="S39" i="10"/>
  <c r="S43" i="10"/>
  <c r="S44" i="10"/>
  <c r="S45" i="10"/>
  <c r="S51" i="10"/>
  <c r="T58" i="10"/>
  <c r="S61" i="10"/>
  <c r="S67" i="10"/>
  <c r="T74" i="10"/>
  <c r="Q89" i="10"/>
  <c r="H87" i="10"/>
  <c r="T87" i="10"/>
  <c r="P77" i="10"/>
  <c r="P84" i="10" s="1"/>
  <c r="B12" i="6"/>
  <c r="F11" i="4"/>
  <c r="E11" i="4"/>
  <c r="E23" i="4"/>
  <c r="F23" i="4"/>
  <c r="E35" i="4"/>
  <c r="H6" i="10"/>
  <c r="T6" i="10"/>
  <c r="T7" i="10"/>
  <c r="T8" i="10"/>
  <c r="H10" i="10"/>
  <c r="T10" i="10"/>
  <c r="R11" i="10"/>
  <c r="I14" i="10"/>
  <c r="Q14" i="10"/>
  <c r="R15" i="10"/>
  <c r="I18" i="10"/>
  <c r="Q18" i="10"/>
  <c r="R19" i="10"/>
  <c r="N22" i="10"/>
  <c r="N26" i="10"/>
  <c r="N30" i="10"/>
  <c r="S34" i="10"/>
  <c r="S38" i="10"/>
  <c r="S42" i="10"/>
  <c r="S47" i="10"/>
  <c r="R52" i="10"/>
  <c r="T54" i="10"/>
  <c r="I55" i="10"/>
  <c r="S57" i="10"/>
  <c r="S58" i="10"/>
  <c r="Q59" i="10"/>
  <c r="S63" i="10"/>
  <c r="R68" i="10"/>
  <c r="T70" i="10"/>
  <c r="I71" i="10"/>
  <c r="S73" i="10"/>
  <c r="S74" i="10"/>
  <c r="Q75" i="10"/>
  <c r="I87" i="10"/>
  <c r="Q87" i="10"/>
  <c r="B13" i="6"/>
  <c r="F10" i="4"/>
  <c r="E10" i="4"/>
  <c r="B14" i="6"/>
  <c r="F14" i="4"/>
  <c r="E14" i="4"/>
  <c r="E22" i="4"/>
  <c r="F22" i="4"/>
  <c r="E26" i="4"/>
  <c r="F26" i="4"/>
  <c r="F34" i="4"/>
  <c r="E34" i="4"/>
  <c r="N44" i="10"/>
  <c r="N48" i="10"/>
  <c r="N52" i="10"/>
  <c r="N56" i="10"/>
  <c r="N60" i="10"/>
  <c r="N64" i="10"/>
  <c r="N68" i="10"/>
  <c r="N72" i="10"/>
  <c r="N76" i="10"/>
  <c r="R78" i="10"/>
  <c r="N80" i="10"/>
  <c r="H82" i="10"/>
  <c r="S87" i="10"/>
  <c r="U32" i="10" l="1"/>
  <c r="U78" i="10"/>
  <c r="U57" i="10"/>
  <c r="U8" i="10"/>
  <c r="U18" i="10"/>
  <c r="U24" i="10"/>
  <c r="U68" i="10"/>
  <c r="U52" i="10"/>
  <c r="U56" i="10"/>
  <c r="U37" i="10"/>
  <c r="U63" i="10"/>
  <c r="U38" i="10"/>
  <c r="U28" i="10"/>
  <c r="U75" i="10"/>
  <c r="U69" i="10"/>
  <c r="U7" i="10"/>
  <c r="U65" i="10"/>
  <c r="U23" i="10"/>
  <c r="U31" i="10"/>
  <c r="U76" i="10"/>
  <c r="U11" i="10"/>
  <c r="U71" i="10"/>
  <c r="U14" i="10"/>
  <c r="U49" i="10"/>
  <c r="U15" i="10"/>
  <c r="U29" i="10"/>
  <c r="U45" i="10"/>
  <c r="U26" i="10"/>
  <c r="U22" i="10"/>
  <c r="U21" i="10"/>
  <c r="U9" i="10"/>
  <c r="U53" i="10"/>
  <c r="U73" i="10"/>
  <c r="S77" i="10"/>
  <c r="S84" i="10" s="1"/>
  <c r="U48" i="10"/>
  <c r="U34" i="10"/>
  <c r="U41" i="10"/>
  <c r="U39" i="10"/>
  <c r="U47" i="10"/>
  <c r="U55" i="10"/>
  <c r="N77" i="10"/>
  <c r="N84" i="10" s="1"/>
  <c r="U25" i="10"/>
  <c r="U13" i="10"/>
  <c r="U72" i="10"/>
  <c r="U12" i="10"/>
  <c r="U42" i="10"/>
  <c r="U61" i="10"/>
  <c r="O84" i="10"/>
  <c r="U88" i="10"/>
  <c r="U66" i="10"/>
  <c r="U27" i="10"/>
  <c r="U17" i="10"/>
  <c r="U46" i="10"/>
  <c r="U70" i="10"/>
  <c r="U54" i="10"/>
  <c r="U64" i="10"/>
  <c r="U40" i="10"/>
  <c r="U36" i="10"/>
  <c r="U33" i="10"/>
  <c r="U59" i="10"/>
  <c r="U43" i="10"/>
  <c r="U60" i="10"/>
  <c r="U50" i="10"/>
  <c r="U62" i="10"/>
  <c r="Q77" i="10"/>
  <c r="Q84" i="10" s="1"/>
  <c r="T77" i="10"/>
  <c r="R77" i="10"/>
  <c r="R84" i="10" s="1"/>
  <c r="U74" i="10"/>
  <c r="I77" i="10"/>
  <c r="I84" i="10" s="1"/>
  <c r="H77" i="10"/>
  <c r="H84" i="10" s="1"/>
  <c r="U44" i="10"/>
  <c r="U87" i="10"/>
  <c r="U19" i="10"/>
  <c r="U67" i="10"/>
  <c r="U51" i="10"/>
  <c r="U6" i="10"/>
  <c r="L84" i="10"/>
  <c r="U58" i="10"/>
  <c r="U35" i="10"/>
  <c r="G84" i="10"/>
  <c r="U77" i="10" l="1"/>
  <c r="U84" i="10" s="1"/>
  <c r="T84" i="10"/>
</calcChain>
</file>

<file path=xl/sharedStrings.xml><?xml version="1.0" encoding="utf-8"?>
<sst xmlns="http://schemas.openxmlformats.org/spreadsheetml/2006/main" count="3973" uniqueCount="920">
  <si>
    <t>Сценарное прогнозирование (по статьям бюджета)</t>
  </si>
  <si>
    <t>Отбор:</t>
  </si>
  <si>
    <t>Проект Новый Не равно "Управленческая корректировка"</t>
  </si>
  <si>
    <t>Статья бюджета</t>
  </si>
  <si>
    <t>Основной помесячный</t>
  </si>
  <si>
    <t>ФАКТ</t>
  </si>
  <si>
    <t>Итого</t>
  </si>
  <si>
    <t>Чистая прибыль</t>
  </si>
  <si>
    <t>Прибыль до налогообложения</t>
  </si>
  <si>
    <t>Выручка</t>
  </si>
  <si>
    <t>Выручка по основным услугам</t>
  </si>
  <si>
    <t>Перевозка отправлений с грифом</t>
  </si>
  <si>
    <t>Перевозка корреспонденции с грифом</t>
  </si>
  <si>
    <t>Перевозка посылок с грифом</t>
  </si>
  <si>
    <t>Перевозка метизов с грифом</t>
  </si>
  <si>
    <t>Перевозка почтовых отправлений без грифа</t>
  </si>
  <si>
    <t>Перевозка отправлений стандарт</t>
  </si>
  <si>
    <t>Перевозка корреспонденции стандарт</t>
  </si>
  <si>
    <t>Перевозка посылок стандарт</t>
  </si>
  <si>
    <t>Перевозка метизов стандарт</t>
  </si>
  <si>
    <t>Перевозка отправлений экспресс</t>
  </si>
  <si>
    <t xml:space="preserve"> Перевозка корреспонденции экспресс</t>
  </si>
  <si>
    <t xml:space="preserve"> Перевозка посылок экспресс</t>
  </si>
  <si>
    <t>Перевозка метизов экспресс</t>
  </si>
  <si>
    <t>Услуги хранения</t>
  </si>
  <si>
    <t>Перевозка грузов</t>
  </si>
  <si>
    <t>Перевозка грузов с грифом</t>
  </si>
  <si>
    <t xml:space="preserve"> Перевозка грузов стандарт</t>
  </si>
  <si>
    <t>Перевозка опасных грузов</t>
  </si>
  <si>
    <t>Перевозка денежной наличности</t>
  </si>
  <si>
    <t>Внутрирегиональная перевозка денежной наличности</t>
  </si>
  <si>
    <t>Межрегиональная и межбанковская перевозка денежной наличности</t>
  </si>
  <si>
    <t xml:space="preserve"> Международная перевозка денежной наличности</t>
  </si>
  <si>
    <t>Перевозка драгоценных металлов</t>
  </si>
  <si>
    <t>Перевозка наркотических средств и психотропных веществ</t>
  </si>
  <si>
    <t>Услуги по таможенной деятельности</t>
  </si>
  <si>
    <t>Услуги таможенного перевозчика</t>
  </si>
  <si>
    <t>Услуги таможенного представителя</t>
  </si>
  <si>
    <t>Услуги таможенного хранения</t>
  </si>
  <si>
    <t>Сопутствующие услуги ФГУП ГЦСС</t>
  </si>
  <si>
    <t>Аренда автотранспорта</t>
  </si>
  <si>
    <t>Аренда помещений (в т.ч. возмещение эксплуатационных расходов)</t>
  </si>
  <si>
    <t>Аренда оборудования</t>
  </si>
  <si>
    <t>Прочие услуги ФГУП ГЦСС</t>
  </si>
  <si>
    <t>Прочие доходы</t>
  </si>
  <si>
    <t>Доходы от прочих продаж</t>
  </si>
  <si>
    <t>Доходы по розничным продажам</t>
  </si>
  <si>
    <t>Доходы от продажи объектов незавершенного строительства</t>
  </si>
  <si>
    <t>Доходы от реализации автотранспорта</t>
  </si>
  <si>
    <t>Доходы от реализации основных средств (кроме автотранспорта)</t>
  </si>
  <si>
    <t>Иные доходы от реализации активов</t>
  </si>
  <si>
    <t>Списание кредиторской задолженности</t>
  </si>
  <si>
    <t>Прибыль прошлых лет</t>
  </si>
  <si>
    <t>Курсовые разницы</t>
  </si>
  <si>
    <t>Получение процентов</t>
  </si>
  <si>
    <t>Доходы от покупки и продажи валюты</t>
  </si>
  <si>
    <t>Прочие доходы по текущей деятельности</t>
  </si>
  <si>
    <t>Прочие доходы по инвестиционной деятельности</t>
  </si>
  <si>
    <t>Резервы по сомнительным долгам</t>
  </si>
  <si>
    <t>Доходы по системе взаиморасчетов</t>
  </si>
  <si>
    <t>Доходы от входящих заявок</t>
  </si>
  <si>
    <t>ДВЗ Перевозка грузов</t>
  </si>
  <si>
    <t>ДВЗ Перевозка грузов с грифом</t>
  </si>
  <si>
    <t>ДВЗ  Перевозка грузов стандарт</t>
  </si>
  <si>
    <t>ДВЗ Перевозка опасных грузов</t>
  </si>
  <si>
    <t>ДВЗ Перевозка денежной наличности</t>
  </si>
  <si>
    <t>ДВЗ Внутрирегиональная перевозка денежной наличности</t>
  </si>
  <si>
    <t>ДВЗ Межрегиональная и межбанковская перевозка денежной наличности</t>
  </si>
  <si>
    <t>ДВЗ  Международная перевозка денежной наличности</t>
  </si>
  <si>
    <t>ДВЗ Перевозка отправлений с грифом</t>
  </si>
  <si>
    <t>ДВЗ Перевозка корреспонденции с грифом</t>
  </si>
  <si>
    <t>ДВЗ Перевозка посылок с грифом</t>
  </si>
  <si>
    <t>ДВЗ Перевозка метизов с грифом</t>
  </si>
  <si>
    <t>ДВЗ Перевозка почтовых отправлений без грифа</t>
  </si>
  <si>
    <t>ДВЗ Перевозка отправлений стандарт</t>
  </si>
  <si>
    <t>ДВЗ Перевозка корреспонденции стандарт</t>
  </si>
  <si>
    <t>ДВЗ Перевозка посылок стандарт</t>
  </si>
  <si>
    <t>ДВЗ Перевозка метизов стандарт</t>
  </si>
  <si>
    <t>ДВЗ Перевозка отправлений экспресс</t>
  </si>
  <si>
    <t>ДВЗ  Перевозка корреспонденции экспресс</t>
  </si>
  <si>
    <t>ДВЗ  Перевозка посылок экспресс</t>
  </si>
  <si>
    <t>ДВЗ Перевозка метизов экспресс</t>
  </si>
  <si>
    <t>ДВЗ Услуги хранения</t>
  </si>
  <si>
    <t>ДВЗ Услуги по таможенной деятельности</t>
  </si>
  <si>
    <t>ДВЗ Услуги таможенного перевозчика</t>
  </si>
  <si>
    <t>ДВЗ Услуги таможенного представителя</t>
  </si>
  <si>
    <t>ДВЗ Услуги таможенного хранения</t>
  </si>
  <si>
    <t>ДВЗ Перевозка драгоценных металлов</t>
  </si>
  <si>
    <t>ДВЗ Перевозка наркотических средств и психотропных веществ</t>
  </si>
  <si>
    <t>Доходы от исходящих заявок</t>
  </si>
  <si>
    <t>ДИЗ Перевозка грузов</t>
  </si>
  <si>
    <t>ДИЗ Перевозка грузов с грифом</t>
  </si>
  <si>
    <t>ДИЗ  Перевозка грузов стандарт</t>
  </si>
  <si>
    <t>ДИЗ Перевозка опасных грузов</t>
  </si>
  <si>
    <t>ДИЗ Перевозка денежной наличности</t>
  </si>
  <si>
    <t>ДИЗ Внутрирегиональная перевозка денежной наличности</t>
  </si>
  <si>
    <t>ДИЗ Межрегиональная и межбанковская перевозка денежной наличности</t>
  </si>
  <si>
    <t>ДИЗ  Международная перевозка денежной наличности</t>
  </si>
  <si>
    <t>ДИЗ Перевозка отправлений с грифом</t>
  </si>
  <si>
    <t>ДИЗ Перевозка корреспонденции с грифом</t>
  </si>
  <si>
    <t>ДИЗ Перевозка посылок с грифом</t>
  </si>
  <si>
    <t>ДИЗ Перевозка метизов с грифом</t>
  </si>
  <si>
    <t>ДИЗ Перевозка почтовых отправлений без грифа</t>
  </si>
  <si>
    <t>ДИЗ Перевозка отправлений стандарт</t>
  </si>
  <si>
    <t>ДИЗ Перевозка корреспонденции стандарт</t>
  </si>
  <si>
    <t>ДИЗ Перевозка посылок стандарт</t>
  </si>
  <si>
    <t>ДИЗ Перевозка метизов стандарт</t>
  </si>
  <si>
    <t>ДИЗ Перевозка отправлений экспресс</t>
  </si>
  <si>
    <t>ДИЗ  Перевозка корреспонденции экспресс</t>
  </si>
  <si>
    <t>ДИЗ  Перевозка посылок экспресс</t>
  </si>
  <si>
    <t>ДИЗ Перевозка метизов экспресс</t>
  </si>
  <si>
    <t>ДИЗ Услуги хранения</t>
  </si>
  <si>
    <t>ДИЗ Услуги по таможенной деятельности</t>
  </si>
  <si>
    <t>ДИЗ Услуги таможенного перевозчика</t>
  </si>
  <si>
    <t>ДИЗ Услуги таможенного представителя</t>
  </si>
  <si>
    <t>ДИЗ Услуги таможенного хранения</t>
  </si>
  <si>
    <t>ДИЗ Перевозка драгоценных металлов</t>
  </si>
  <si>
    <t>ДИЗ Перевозка наркотических средств и психотропных веществ</t>
  </si>
  <si>
    <t>Затраты</t>
  </si>
  <si>
    <t>Производственные</t>
  </si>
  <si>
    <t>По коммерческому автотранспорту</t>
  </si>
  <si>
    <t>Запчасти и ремонтные материалы</t>
  </si>
  <si>
    <t>ГСМ</t>
  </si>
  <si>
    <t>Ремонт и техобслуживание</t>
  </si>
  <si>
    <t>Система мониторинга транспорта</t>
  </si>
  <si>
    <t>Прочие затраты по коммерческому автотранспорту</t>
  </si>
  <si>
    <t>Масла и смазочные материалы</t>
  </si>
  <si>
    <t>Автомобильные шины</t>
  </si>
  <si>
    <t>Мойка автотранспорта</t>
  </si>
  <si>
    <t>Оплата материальных ценностей</t>
  </si>
  <si>
    <t>Расходы на упаковку и спецбланки</t>
  </si>
  <si>
    <t>Расходы на оружие (в т.ч. разрешение на оружие)</t>
  </si>
  <si>
    <t>Расходы на форменное обмундирование ОПП</t>
  </si>
  <si>
    <t>ОС до 40000 производственное оборудование</t>
  </si>
  <si>
    <t>Спецодежда и спецоснастка</t>
  </si>
  <si>
    <t>Амортизация</t>
  </si>
  <si>
    <t>Амортизация оборудования, относящегося к тех. процессу</t>
  </si>
  <si>
    <t>Амортизация коммерческого автотранспорта</t>
  </si>
  <si>
    <t>Амортизация зданий и сооружений</t>
  </si>
  <si>
    <t>Амортизация вагонов</t>
  </si>
  <si>
    <t>Услуги сторонних организаций</t>
  </si>
  <si>
    <t>Страхование</t>
  </si>
  <si>
    <t>Страхование зданий и сооружений</t>
  </si>
  <si>
    <t>Страхование персонала</t>
  </si>
  <si>
    <t>Страхование ответственности перевозчика</t>
  </si>
  <si>
    <t>Страхование автотранспорта</t>
  </si>
  <si>
    <t>Расходы по транспортировке грузов</t>
  </si>
  <si>
    <t>Транспортировка: Содержание маршрутов по СНГ</t>
  </si>
  <si>
    <t>Содержание маршрутов по СНГ</t>
  </si>
  <si>
    <t>Сервисные услуги при перевозке грузов по СНГ</t>
  </si>
  <si>
    <t>Транспортировка: Перевозка грузов за пределами СНГ</t>
  </si>
  <si>
    <t>Перевозка грузов за пределами СНГ</t>
  </si>
  <si>
    <t>Сервисные услуги при перевозке грузов за пределами СНГ</t>
  </si>
  <si>
    <t>Транспортировка: Железнодорожные перевозки грузов</t>
  </si>
  <si>
    <t>Сервисные услуги при  ж/д перевозке грузов РФ</t>
  </si>
  <si>
    <t>Железнодорожные перевозки грузов</t>
  </si>
  <si>
    <t>Транспортировка: Автоперевозки, оказываемые сторонними организациями</t>
  </si>
  <si>
    <t>Сервисные услуги при перевозке автомобилями РФ</t>
  </si>
  <si>
    <t>Автоперевозки, оказываемые сторонними организациями</t>
  </si>
  <si>
    <t>Транспортировка: Морские перевозки грузов</t>
  </si>
  <si>
    <t>Сервисные услуги при  перевозке грузов водным транспортом РФ</t>
  </si>
  <si>
    <t>Морские перевозки грузов</t>
  </si>
  <si>
    <t>Транспортировка: Авиаперевозки грузов</t>
  </si>
  <si>
    <t>Сервисные услуги при авиаперевозке грузов РФ</t>
  </si>
  <si>
    <t>Авиаперевозки грузов</t>
  </si>
  <si>
    <t>Транспортировка: Пассажирские перевозки</t>
  </si>
  <si>
    <t>Курьерские  услуги</t>
  </si>
  <si>
    <t>Использование общественного, личного транспорта</t>
  </si>
  <si>
    <t>Услуги по лизингу</t>
  </si>
  <si>
    <t>Возмещение затрат по лизингу (по Протоколам ФГУП ГЦСС)</t>
  </si>
  <si>
    <t>Аренда производственных помещений, в т.ч.стоянка автотранспорта (гараж)</t>
  </si>
  <si>
    <t>Услуги по вооруженному сопровождению</t>
  </si>
  <si>
    <t>Командировочные расходы</t>
  </si>
  <si>
    <t>Расходы по оплате труда</t>
  </si>
  <si>
    <t>Фонд оплаты труда</t>
  </si>
  <si>
    <t>Начисления налогов на ФОТ</t>
  </si>
  <si>
    <t>Резерв</t>
  </si>
  <si>
    <t>Компенсация</t>
  </si>
  <si>
    <t>Расходы на персонал</t>
  </si>
  <si>
    <t>Обучение персонала</t>
  </si>
  <si>
    <t>Подбор персонала</t>
  </si>
  <si>
    <t>Медикаменты+мед.справки(псих,дисп и нарк.))</t>
  </si>
  <si>
    <t>Дополнительные расходы по системе взаиморасчетов</t>
  </si>
  <si>
    <t>Таможенное оформление грузов и СВХ</t>
  </si>
  <si>
    <t>Прочие затраты, относящиеся к производственному процессу</t>
  </si>
  <si>
    <t>Коммерческие</t>
  </si>
  <si>
    <t>Расходы по общепиту</t>
  </si>
  <si>
    <t>Представительские расходы</t>
  </si>
  <si>
    <t>Расходы на рекламу и PR</t>
  </si>
  <si>
    <t>Изготовление полиграфической продукции</t>
  </si>
  <si>
    <t>Изготовление сувенирной продукции, подарки</t>
  </si>
  <si>
    <t>Изготовление и размещение наружной рекламы</t>
  </si>
  <si>
    <t>Размещение рекламы в СМИ, включая справочные издания</t>
  </si>
  <si>
    <t>Создание, продвижение сайта и рекламу в интернете</t>
  </si>
  <si>
    <t>Участие в выставках, конференциях</t>
  </si>
  <si>
    <t>Маркетинговые исследования</t>
  </si>
  <si>
    <t>Расходы на участие в тендерах и аукционах</t>
  </si>
  <si>
    <t>Административные</t>
  </si>
  <si>
    <t>По служебному автотранспорту</t>
  </si>
  <si>
    <t>Прочие затраты по служебному автотранспорту</t>
  </si>
  <si>
    <t>Услуги по мойке транспортных стредств</t>
  </si>
  <si>
    <t>Материальные</t>
  </si>
  <si>
    <t>Канцелярские принадлежности</t>
  </si>
  <si>
    <t>Расходные материалы по оргтехнике</t>
  </si>
  <si>
    <t>Хоз товары и стройматериалы</t>
  </si>
  <si>
    <t>Бумага</t>
  </si>
  <si>
    <t>ОС до 40 000</t>
  </si>
  <si>
    <t>ОС до 40000 мебель</t>
  </si>
  <si>
    <t>ОС до 40000 компьютерная и оргтехника</t>
  </si>
  <si>
    <t>ОС до 40000 техника связи</t>
  </si>
  <si>
    <t>ОС до 40000 прочие, в т.ч. электротовары и инструменты</t>
  </si>
  <si>
    <t>Расходы на форменное обмундирование АУП</t>
  </si>
  <si>
    <t>Прочие материальные расходы</t>
  </si>
  <si>
    <t>Вода питьевая</t>
  </si>
  <si>
    <t>Амортизация прочего оборудования</t>
  </si>
  <si>
    <t>Амортизация служебного автотранспорта</t>
  </si>
  <si>
    <t>Ремонт Основных Средств</t>
  </si>
  <si>
    <t>Ремонт помещений</t>
  </si>
  <si>
    <t>Ремонт и техобслуживание оборудования</t>
  </si>
  <si>
    <t>Разработка проектной и сопроводительной документации</t>
  </si>
  <si>
    <t>Аренда (кроме производственных помещений)</t>
  </si>
  <si>
    <t>Расходы на услуги связи</t>
  </si>
  <si>
    <t>Услуги стационарной связи, в т.ч. радиосвязь</t>
  </si>
  <si>
    <t>Мобильная связь</t>
  </si>
  <si>
    <t>Интернет (в т.ч. электронная почта)</t>
  </si>
  <si>
    <t>Выделенные каналы</t>
  </si>
  <si>
    <t>Безопасность</t>
  </si>
  <si>
    <t>Безопасность охранно-пожарная</t>
  </si>
  <si>
    <t>Безопасность затраты на охрану труда и технику безопасности</t>
  </si>
  <si>
    <t>Безопасность мобилизационная подготовка и ГО</t>
  </si>
  <si>
    <t>Аудиторские услуги</t>
  </si>
  <si>
    <t>Обязательный аудит</t>
  </si>
  <si>
    <t>Консультационные услуги аудиторов</t>
  </si>
  <si>
    <t>Расходы по услугам банков</t>
  </si>
  <si>
    <t>Комиссия банка</t>
  </si>
  <si>
    <t>Банковские гарантии</t>
  </si>
  <si>
    <t>Проценты по кредиту</t>
  </si>
  <si>
    <t>Нотариальные и юридические услуги</t>
  </si>
  <si>
    <t>Информационно-вычислительные услуги</t>
  </si>
  <si>
    <t>Программное обеспечение</t>
  </si>
  <si>
    <t>Программное обеспечение (включая лицензии на ПО)</t>
  </si>
  <si>
    <t>Абонентское обслуживание</t>
  </si>
  <si>
    <t>Консультационные и информационные услуги</t>
  </si>
  <si>
    <t>Прочие общехозяйственные расходы</t>
  </si>
  <si>
    <t>Сертификаты, лицензии (кроме лицензий на ПО)</t>
  </si>
  <si>
    <t>Электроэнергия</t>
  </si>
  <si>
    <t>Вывоз и переработка ТБО</t>
  </si>
  <si>
    <t>Коммунальные платежи</t>
  </si>
  <si>
    <t>Почтовые услуги</t>
  </si>
  <si>
    <t>Пресса (подписка), литература (техническая, справочная)</t>
  </si>
  <si>
    <t>Уборка помещений</t>
  </si>
  <si>
    <t>Расходы на корпоративные мероприятия</t>
  </si>
  <si>
    <t>Проведение праздников и корпоративных мероприятий</t>
  </si>
  <si>
    <t>Проведение региональных совещаний</t>
  </si>
  <si>
    <t>Прочие расходы</t>
  </si>
  <si>
    <t>Списание дебиторской задолженности</t>
  </si>
  <si>
    <t>Штрафы, пени</t>
  </si>
  <si>
    <t>Судебные издержки</t>
  </si>
  <si>
    <t>Убытки прошлых лет</t>
  </si>
  <si>
    <t>Расходы по продаже и покупке валюты</t>
  </si>
  <si>
    <t>Начисление налогов и сборов</t>
  </si>
  <si>
    <t>Налог на землю</t>
  </si>
  <si>
    <t>Транспортный налог</t>
  </si>
  <si>
    <t>Налог на экологию</t>
  </si>
  <si>
    <t>Налог на имущество</t>
  </si>
  <si>
    <t>Прочие налоги и сборы</t>
  </si>
  <si>
    <t>Расходы, связанные с реализацией основных средств</t>
  </si>
  <si>
    <t>Резерв на возможные дополнительные расходы</t>
  </si>
  <si>
    <t>Расходы фонда потребления</t>
  </si>
  <si>
    <t>Расходы, связанные с реализацией автотранспорта</t>
  </si>
  <si>
    <t>Расходы, связанные с реализацией объектов незавершенного строительства</t>
  </si>
  <si>
    <t>Иные расходы, связанные с реализацией активов</t>
  </si>
  <si>
    <t>Квотирование рабочих мест</t>
  </si>
  <si>
    <t>Текущий налог на прибыль</t>
  </si>
  <si>
    <t>Иные аналогичные платежи: штрафы, пени, неустойки</t>
  </si>
  <si>
    <t>ЧП</t>
  </si>
  <si>
    <t>Выручка от оказания ОУ</t>
  </si>
  <si>
    <t>ЦФО</t>
  </si>
  <si>
    <t>ФГУП ГЦСС</t>
  </si>
  <si>
    <t>УСС</t>
  </si>
  <si>
    <t>РУСС по Центральному региону</t>
  </si>
  <si>
    <t>УСС по Калужской области</t>
  </si>
  <si>
    <t>УСС по Белгородской области</t>
  </si>
  <si>
    <t>УСС по Брянской области</t>
  </si>
  <si>
    <t>УСС по Владимирской области</t>
  </si>
  <si>
    <t>УСС по Воронежской области</t>
  </si>
  <si>
    <t>УСС по Ивановской области</t>
  </si>
  <si>
    <t>УСС по Костромской области</t>
  </si>
  <si>
    <t>УСС по Курской области</t>
  </si>
  <si>
    <t>УСС по Липецкой области</t>
  </si>
  <si>
    <t>УСС по Орловской области</t>
  </si>
  <si>
    <t>УСС по Рязанской области</t>
  </si>
  <si>
    <t>УСС по Смоленской области</t>
  </si>
  <si>
    <t>УСС по Тамбовской области</t>
  </si>
  <si>
    <t>УСС по Тверской области</t>
  </si>
  <si>
    <t>УСС по Тульской области</t>
  </si>
  <si>
    <t>УСС по Ярославской области</t>
  </si>
  <si>
    <t>РУСС по Северо-Западному региону</t>
  </si>
  <si>
    <t>УСС по г. Санкт-Петербургу и Ленинградской области</t>
  </si>
  <si>
    <t>УСС по Архангельской области</t>
  </si>
  <si>
    <t>УСС по Вологодской области</t>
  </si>
  <si>
    <t>УСС по Калининградской области</t>
  </si>
  <si>
    <t>УСС по Мурманской области</t>
  </si>
  <si>
    <t>УСС по Новгородской области</t>
  </si>
  <si>
    <t>УСС по Псковской области</t>
  </si>
  <si>
    <t>УСС по Республике Карелия</t>
  </si>
  <si>
    <t>РУСС по Южному региону</t>
  </si>
  <si>
    <t>УСС по Ростовской области</t>
  </si>
  <si>
    <t>УСС по Астраханской области</t>
  </si>
  <si>
    <t>УСС по Волгоградской области</t>
  </si>
  <si>
    <t>УСС по Кабардино-Балкарской Республике</t>
  </si>
  <si>
    <t>УСС по Краснодарскому краю</t>
  </si>
  <si>
    <t>УСС по Республике Дагестан</t>
  </si>
  <si>
    <t>УСС по Республике Северная Осетия - Алания</t>
  </si>
  <si>
    <t>УСС по Ставропольскому краю</t>
  </si>
  <si>
    <t>УСС по Республике Крым</t>
  </si>
  <si>
    <t>РУСС по Приволжскому региону</t>
  </si>
  <si>
    <t>УСС по Нижегородской области</t>
  </si>
  <si>
    <t>УСС по Пензенской области</t>
  </si>
  <si>
    <t>УСС по Республике Башкортостан</t>
  </si>
  <si>
    <t>УСС по Республике Марий Эл</t>
  </si>
  <si>
    <t>УСС по Республике Мордовия</t>
  </si>
  <si>
    <t>УСС по Республике Татарстан</t>
  </si>
  <si>
    <t>УСС по Чувашской Республике-Чувашии</t>
  </si>
  <si>
    <t>УСС по Самарской области</t>
  </si>
  <si>
    <t>УСС по Саратовской области</t>
  </si>
  <si>
    <t>УСС по Ульяновской области</t>
  </si>
  <si>
    <t>РУСС по Уральскому региону</t>
  </si>
  <si>
    <t>УСС по Свердловской области</t>
  </si>
  <si>
    <t>УСС по Кировской области</t>
  </si>
  <si>
    <t>УСС по Курганской области</t>
  </si>
  <si>
    <t>УСС по Оренбургской области</t>
  </si>
  <si>
    <t>УСС по Пермскому краю</t>
  </si>
  <si>
    <t>УСС по Республике Коми</t>
  </si>
  <si>
    <t>УСС по Тюменской области</t>
  </si>
  <si>
    <t>УСС по Удмуртской Республике</t>
  </si>
  <si>
    <t>УСС по Челябинской области</t>
  </si>
  <si>
    <t>РУСС по Сибирскому  региону</t>
  </si>
  <si>
    <t>УСС по Новосибирской области</t>
  </si>
  <si>
    <t>УСС по Алтайскому краю</t>
  </si>
  <si>
    <t>УСС по Забайкальскому краю</t>
  </si>
  <si>
    <t>УСС по Иркутской области</t>
  </si>
  <si>
    <t>УСС по Кемеровской области</t>
  </si>
  <si>
    <t>УСС по Красноярскому краю</t>
  </si>
  <si>
    <t>УСС по Омской области</t>
  </si>
  <si>
    <t>УСС по Республике Алтай</t>
  </si>
  <si>
    <t>УСС по Республике Бурятия</t>
  </si>
  <si>
    <t>УСС по Томской области</t>
  </si>
  <si>
    <t>РУСС по Дальневосточному региону</t>
  </si>
  <si>
    <t>УСС по Хабаровскому краю</t>
  </si>
  <si>
    <t>УСС по Амурской области</t>
  </si>
  <si>
    <t>УСС по Камчатскому краю</t>
  </si>
  <si>
    <t>УСС по Магаданской области</t>
  </si>
  <si>
    <t>УСС по Приморскому краю</t>
  </si>
  <si>
    <t>УСС по Сахалинской области</t>
  </si>
  <si>
    <t>УСС по Чукотскому автономному округу</t>
  </si>
  <si>
    <t>УСС по Республике Саха (Якутия)</t>
  </si>
  <si>
    <t>УСС по г. Москве и Московской области</t>
  </si>
  <si>
    <t>ГУ Почтовой связи</t>
  </si>
  <si>
    <t>УПС по г. Москве и Московской области</t>
  </si>
  <si>
    <t>Центральный аппарат</t>
  </si>
  <si>
    <t>ГК Ватутинки</t>
  </si>
  <si>
    <t>НИИПС</t>
  </si>
  <si>
    <t>Главный операционный центр специальной связи</t>
  </si>
  <si>
    <t>Филиал по г. Сочи</t>
  </si>
  <si>
    <t>Выручка от ОУ</t>
  </si>
  <si>
    <t>Расходы</t>
  </si>
  <si>
    <t>Темпы прироста</t>
  </si>
  <si>
    <t>% выполнения</t>
  </si>
  <si>
    <t xml:space="preserve">Уральский регион </t>
  </si>
  <si>
    <t>Центральный регион</t>
  </si>
  <si>
    <t>Сибирский регион</t>
  </si>
  <si>
    <t xml:space="preserve">Приволжский регион </t>
  </si>
  <si>
    <t>Южный регион</t>
  </si>
  <si>
    <t xml:space="preserve">Дальневосточный регион </t>
  </si>
  <si>
    <t>РУСС</t>
  </si>
  <si>
    <t>ТУСС (max)</t>
  </si>
  <si>
    <t>ТУСС (min)</t>
  </si>
  <si>
    <t>план</t>
  </si>
  <si>
    <t>содержание собственных ТС</t>
  </si>
  <si>
    <t>Транспортировка</t>
  </si>
  <si>
    <t>ФОТ ОПП</t>
  </si>
  <si>
    <t>ФОТ всего</t>
  </si>
  <si>
    <t>ФОТ АУП</t>
  </si>
  <si>
    <t>ФОТ КП</t>
  </si>
  <si>
    <t>командировочные</t>
  </si>
  <si>
    <t>прочие материальные расходы</t>
  </si>
  <si>
    <t>Основные показатели Бюджета прибылей и убытков ФГУП ГЦСС 2019-2021 гг., тыс.руб.</t>
  </si>
  <si>
    <t>план 2021</t>
  </si>
  <si>
    <t>факт 2021</t>
  </si>
  <si>
    <t>отклонение ф-п 2021</t>
  </si>
  <si>
    <t>% выполнения 2021 г.</t>
  </si>
  <si>
    <t>Взаиморасчеты</t>
  </si>
  <si>
    <t>Выручка итого</t>
  </si>
  <si>
    <t>Рентабельность, %</t>
  </si>
  <si>
    <t>Филиалы</t>
  </si>
  <si>
    <t>1. Выполняют выручку итого, но не выполняют ЧП</t>
  </si>
  <si>
    <t>УСС по г. Москве и Московской области + УПС</t>
  </si>
  <si>
    <t xml:space="preserve">Выручка, всего, выполнение, тыс. руб. </t>
  </si>
  <si>
    <t>2. Не выполняют выручку итого и  не выполняют ЧП</t>
  </si>
  <si>
    <t>3. Выручка и ЧП выполнены, но не выполнена Рентабельность</t>
  </si>
  <si>
    <t xml:space="preserve">Чистая прибыль, выполнение, тыс. руб. </t>
  </si>
  <si>
    <t xml:space="preserve">Выручка от ОУ,  выполнение, тыс. руб. </t>
  </si>
  <si>
    <t>4. Выполнены все 4 показателя</t>
  </si>
  <si>
    <t>убыточные</t>
  </si>
  <si>
    <t>Рентабельность, выполнение плана</t>
  </si>
  <si>
    <t>6. Выполнены 3 показателя, но не выполняют Выручку от ОУ</t>
  </si>
  <si>
    <t>5. Выполнены ЧП, но не выполнена выручка итого</t>
  </si>
  <si>
    <t>План</t>
  </si>
  <si>
    <t>Факт</t>
  </si>
  <si>
    <t xml:space="preserve">Программа деятельности 2021
</t>
  </si>
  <si>
    <t>Факт 2021</t>
  </si>
  <si>
    <t xml:space="preserve"> Факт - план ПД</t>
  </si>
  <si>
    <t>Факт - план ПД</t>
  </si>
  <si>
    <t>план 2022</t>
  </si>
  <si>
    <t>Карточка счета 91.02 за 2021 г.</t>
  </si>
  <si>
    <t>Выводимые данные:</t>
  </si>
  <si>
    <t>БУ (данные бухгалтерского учета)</t>
  </si>
  <si>
    <t>Прочие доходы и расходы Равно "Убытки прошлых лет, признанные в текущем году (для целей НУ признаются в периоде совершения ошибки, представляется УНД)"</t>
  </si>
  <si>
    <t>Период</t>
  </si>
  <si>
    <t>Документ</t>
  </si>
  <si>
    <t>Аналитика Дт</t>
  </si>
  <si>
    <t>Аналитика Кт</t>
  </si>
  <si>
    <t>Дебет</t>
  </si>
  <si>
    <t>Кредит</t>
  </si>
  <si>
    <t>Текущее сальдо</t>
  </si>
  <si>
    <t>11.01.2021</t>
  </si>
  <si>
    <t>Поступление (акт, накладная, УПД) 47БУ-000019 от 11.01.2021 0:00:00
Мойка автомобилей по вх.д. 265 от 31.12.2020</t>
  </si>
  <si>
    <t>УСС Оренбург
Убытки прошлых лет, признанные в текущем году (для целей НУ признаются в периоде совершения ошибки, представляется УНД)
&lt;...&gt;</t>
  </si>
  <si>
    <t>УСС Оренбург
РОЗА ООО
Договор № 047-2-ЕП-1-20-39 от 08.05.2020
Поступление (акт, накладная, УПД) 47БУ-000019 от 11.01.2021 0:00:00</t>
  </si>
  <si>
    <t>91.02</t>
  </si>
  <si>
    <t>60.01</t>
  </si>
  <si>
    <t>Поступление (акт, накладная, УПД) 47БУ-000021 от 11.01.2021 7:00:00
Допуск транспортного средства в контролируемую зону аэропорта по вх.д. 488 от 31.12.2020</t>
  </si>
  <si>
    <t>УСС Оренбург
ОРЕНБУРГ АЭРОПОРТ АО
Договор № 06/01/42/АП-2020 от 31.01.2020
Поступление (акт, накладная, УПД) 47БУ-000021 от 11.01.2021 7:00:00</t>
  </si>
  <si>
    <t>Поступление (акт, накладная, УПД) 47БУ-000021 от 11.01.2021 7:00:00
Допуск физического лица в контролируемую зону аэропорта по вх.д. 488 от 31.12.2020</t>
  </si>
  <si>
    <t>Поступление (акт, накладная, УПД) 47БУ-000016 от 11.01.2021 23:59:59
Электроэнергия по вх.д. 1/02040/4096 от 31.12.2020</t>
  </si>
  <si>
    <t>УСС Оренбург
РУСЭНЕРГОСБЫТ ООО ОРЕНБУРГСКИЙ ФИЛИАЛ
Договор № РЭС-Орб/801 от 27.03.2020
Поступление (акт, накладная, УПД) 47БУ-000016 от 11.01.2021 23:59:59</t>
  </si>
  <si>
    <t>Поступление (акт, накладная, УПД) 47БУ-000017 от 11.01.2021 23:59:59
Мойка автомобилей по вх.д. 55а от 31.12.2020</t>
  </si>
  <si>
    <t>УСС Оренбург
ПОЖЦЕНТР ООО
Договор № 047-2-ЕП-1-20-37 от 30.04.2020
Поступление (акт, накладная, УПД) 47БУ-000017 от 11.01.2021 23:59:59</t>
  </si>
  <si>
    <t>Поступление (акт, накладная, УПД) 47БУ-000018 от 11.01.2021 23:59:59
Транспортное обслуживание по вх.д. 44824 от 22.12.2020</t>
  </si>
  <si>
    <t>УСС Оренбург
РУСЛАН ПКФ ООО
Договор № 047-2-ЕП-1-20-45 от 07.08.2020
Поступление (акт, накладная, УПД) 47БУ-000018 от 11.01.2021 23:59:59</t>
  </si>
  <si>
    <t>18.01.2021</t>
  </si>
  <si>
    <t>Поступление (акт, накладная, УПД) 47БУ-000020 от 18.01.2021 0:00:00
Электроэнергия по вх.д. 0047034/0304 от 31.12.2020</t>
  </si>
  <si>
    <t>УСС Оренбург
Энергосбыт Плюс АО - Оренбургский филиал в г. Бузулук
Договор № 68566 от 01.01.2020
Поступление (акт, накладная, УПД) 47БУ-000020 от 18.01.2021 0:00:00</t>
  </si>
  <si>
    <t>25.01.2021</t>
  </si>
  <si>
    <t>Поступление (акт, накладная, УПД) 47БУ-000024 от 25.01.2021 0:00:00
Электроэнергия по вх.д. 1/02040/3757 от 30.11.2020</t>
  </si>
  <si>
    <t>УСС Оренбург
РУСЭНЕРГОСБЫТ ООО ОРЕНБУРГСКИЙ ФИЛИАЛ
Договор № РЭС-Орб/801 от 27.03.2020
Поступление (акт, накладная, УПД) 47БУ-000024 от 25.01.2021 0:00:00</t>
  </si>
  <si>
    <t>Поступление (акт, накладная, УПД) 47БУ-000022 от 25.01.2021 14:32:35
Отопление по вх.д. 5870 от 30.11.2020</t>
  </si>
  <si>
    <t>УСС Оренбург
ЖКХ ГОРОДА БУЗУЛУКА МУП
Договор № 170 от 01.02.2020
Поступление (акт, накладная, УПД) 47БУ-000022 от 25.01.2021 14:32:35</t>
  </si>
  <si>
    <t>Поступление (акт, накладная, УПД) 47БУ-000023 от 25.01.2021 14:35:59
Отопление по вх.д. 6635 от 23.12.2020</t>
  </si>
  <si>
    <t>УСС Оренбург
ЖКХ ГОРОДА БУЗУЛУКА МУП
Договор № 170 от 01.02.2020
Поступление (акт, накладная, УПД) 47БУ-000023 от 25.01.2021 14:35:59</t>
  </si>
  <si>
    <t>26.01.2021</t>
  </si>
  <si>
    <t>Поступление (акт, накладная, УПД) 60БУ-000006 от 26.01.2021 0:00:00
пропуск постоянный личный в аэропорт по вх.д. ССЫВ0002808 от 31.12.2020</t>
  </si>
  <si>
    <t>УСС Сыктывкар
Убытки прошлых лет, признанные в текущем году (для целей НУ признаются в периоде совершения ошибки, представляется УНД)
&lt;...&gt;</t>
  </si>
  <si>
    <t>УСС Сыктывкар
КОМИАВИАТРАНС АО
Договор № 21.2/У/200751 от 06.05.2020
Поступление (акт, накладная, УПД) 60БУ-000006 от 26.01.2021 0:00:00</t>
  </si>
  <si>
    <t>Поступление (акт, накладная, УПД) 60БУ-000006 от 26.01.2021 0:00:00
пропуск постоянный транспортный в аэропорт по вх.д. ССЫВ0002808 от 31.12.2020</t>
  </si>
  <si>
    <t>Поступление (акт, накладная, УПД) 60БУ-000007 от 26.01.2021 15:41:25
предрейсовый техосмотр т/с по вх.д. 1608 от 31.12.2020</t>
  </si>
  <si>
    <t>УСС Сыктывкар
СЫКТЫВКАРСКОЕ АТП №1 ООО
Договор № 6 от 01.01.2020
Поступление (акт, накладная, УПД) 60БУ-000007 от 26.01.2021 15:41:25</t>
  </si>
  <si>
    <t>Поступление (акт, накладная, УПД) 60БУ-000008 от 26.01.2021 15:47:00
предрейсовый медосмотр по вх.д. 1607 от 31.12.2020</t>
  </si>
  <si>
    <t>УСС Сыктывкар
СЫКТЫВКАРСКОЕ АТП №1 ООО
Договор № 7 от 01.01.2020
Поступление (акт, накладная, УПД) 60БУ-000008 от 26.01.2021 15:47:00</t>
  </si>
  <si>
    <t>27.01.2021</t>
  </si>
  <si>
    <t>Поступление (акт, накладная, УПД) 47БУ-000032 от 27.01.2021 23:59:59
Отопление по вх.д. 00000068615/3301 от 31.10.2020</t>
  </si>
  <si>
    <t>УСС Оренбург
Т ПЛЮС ПАО ОРЕНБУРГСКИЙ ФИЛИАЛ
Договор № 961995 от 12.03.2020
Поступление (акт, накладная, УПД) 47БУ-000032 от 27.01.2021 23:59:59</t>
  </si>
  <si>
    <t>Поступление (акт, накладная, УПД) 47БУ-000033 от 27.01.2021 23:59:59
Отопление по вх.д. 00000076357/3301 от 30.11.2020</t>
  </si>
  <si>
    <t>УСС Оренбург
Т ПЛЮС ПАО ОРЕНБУРГСКИЙ ФИЛИАЛ
Договор № 961995 от 12.03.2020
Поступление (акт, накладная, УПД) 47БУ-000033 от 27.01.2021 23:59:59</t>
  </si>
  <si>
    <t>Поступление (акт, накладная, УПД) 47БУ-000034 от 27.01.2021 23:59:59
Отопление по вх.д. 00000084490/3301 от 31.12.2020</t>
  </si>
  <si>
    <t>УСС Оренбург
Т ПЛЮС ПАО ОРЕНБУРГСКИЙ ФИЛИАЛ
Договор № 961995 от 12.03.2020
Поступление (акт, накладная, УПД) 47БУ-000034 от 27.01.2021 23:59:59</t>
  </si>
  <si>
    <t>28.01.2021</t>
  </si>
  <si>
    <t>Поступление (акт, накладная, УПД) 60БУ-000010 от 28.01.2021 10:39:35
Транспортировка: Автоперевозки, оказываемые сторонними орг. по вх.д. 784 от 31.12.2020</t>
  </si>
  <si>
    <t>УСС Сыктывкар
ГАЗЕЛЬ ПЛЮС ООО
Договор № 51 от 10.08.2020
Поступление (акт, накладная, УПД) 60БУ-000010 от 28.01.2021 10:39:35</t>
  </si>
  <si>
    <t>29.01.2021</t>
  </si>
  <si>
    <t>Поступление (акт, накладная, УПД) 60БУ-000011 от 29.01.2021 12:22:56
электроэнергия по вх.д. ЦОСР033539 от 30.11.2020</t>
  </si>
  <si>
    <t>УСС Сыктывкар
КОМИ ЭНЕРГОСБЫТОВАЯ КОМПАНИЯ ОАО
Договор № 5611817 от 01.01.2020
Поступление (акт, накладная, УПД) 60БУ-000011 от 29.01.2021 12:22:56</t>
  </si>
  <si>
    <t>Поступление (акт, накладная, УПД) 60БУ-000012 от 29.01.2021 12:25:07
электроэнергия по вх.д. ЦОСР037445 от 31.12.2020</t>
  </si>
  <si>
    <t>УСС Сыктывкар
КОМИ ЭНЕРГОСБЫТОВАЯ КОМПАНИЯ ОАО
Договор № 5611817 от 01.01.2020
Поступление (акт, накладная, УПД) 60БУ-000012 от 29.01.2021 12:25:07</t>
  </si>
  <si>
    <t>31.01.2021</t>
  </si>
  <si>
    <t>Поступление (акт, накладная, УПД) 73БУ-000007 от 31.01.2021 23:59:59
Негативное воздействие коэфф. 0,5 по вх.д. Ю29295 от 31.12.2020</t>
  </si>
  <si>
    <t>УСС Екатеринбург
Убытки прошлых лет, признанные в текущем году (для целей НУ признаются в периоде совершения ошибки, представляется УНД)
&lt;...&gt;</t>
  </si>
  <si>
    <t>УСС Екатеринбург
ВОДОКАНАЛ-НТ ООО
Договор № 0027 от 29.10.2019
Поступление (акт, накладная, УПД) 73БУ-000007 от 31.01.2021 23:59:59</t>
  </si>
  <si>
    <t>Поступление (акт, накладная, УПД) 73БУ-000007 от 31.01.2021 23:59:59
Сверхнормативный сброс коэфф. 2 по вх.д. Ю29295 от 31.12.2020</t>
  </si>
  <si>
    <t>Поступление (акт, накладная, УПД) 73БУ-000007 от 31.01.2021 23:59:59
Полный комплекс услуг водоотведения по вх.д. Ю29295 от 31.12.2020</t>
  </si>
  <si>
    <t>Поступление (акт, накладная, УПД) 73БУ-000007 от 31.01.2021 23:59:59
Холодное водоснабжение по вх.д. Ю29295 от 31.12.2020</t>
  </si>
  <si>
    <t>Поступление (акт, накладная, УПД) 73БУ-000022 от 31.01.2021 23:59:59
прием сточных вод, оказывающих негативное воздействие на работу ЦСВ по вх.д. А270627 от 01.12.2020</t>
  </si>
  <si>
    <t>УСС Екатеринбург
ВОДОКАНАЛ МУП
Договор № 742/п от 16.11.2020
Поступление (акт, накладная, УПД) 73БУ-000022 от 31.01.2021 23:59:59</t>
  </si>
  <si>
    <t>Поступление (акт, накладная, УПД) 73БУ-000024 от 31.01.2021 23:59:59
Обучение по программе"Правила работы в электроустановках" по вх.д. 27795 от 31.12.2020</t>
  </si>
  <si>
    <t>УСС Екатеринбург
ИНСТИТУТ ПОВЫШЕНИЯ КВАЛИФИКАЦИИ ТЕХНОПРОГРЕСС АНО ДПО
Договор № 3476443-ИПК03-АТЭЛ от 28.04.2020
Поступление (акт, накладная, УПД) 73БУ-000024 от 31.01.2021 23:59:59</t>
  </si>
  <si>
    <t>Поступление (акт, накладная, УПД) 60БУ-000036 от 31.01.2021 23:59:59
предрейсовый техосмотр т/с по вх.д. 21 от 31.01.2021</t>
  </si>
  <si>
    <t>УСС Сыктывкар
СЫКТЫВКАРСКОЕ АТП №1 ООО
Договор № 56 от 19.10.2020
Поступление (акт, накладная, УПД) 60БУ-000036 от 31.01.2021 23:59:59</t>
  </si>
  <si>
    <t>Поступление (акт, накладная, УПД) 73БУ-000052 от 31.01.2021 23:59:59
Негативное воздействие коэфф. 0,5 по вх.д. Ю2508 от 31.01.2021</t>
  </si>
  <si>
    <t>УСС Екатеринбург
ВОДОКАНАЛ-НТ ООО
Договор № 0027 от 29.10.2019
Поступление (акт, накладная, УПД) 73БУ-000052 от 31.01.2021 23:59:59</t>
  </si>
  <si>
    <t>Поступление (акт, накладная, УПД) 73БУ-000052 от 31.01.2021 23:59:59
Сверхнормативный сброс коэфф. 2 по вх.д. Ю2508 от 31.01.2021</t>
  </si>
  <si>
    <t>Поступление (акт, накладная, УПД) 73БУ-000052 от 31.01.2021 23:59:59
Полный комплекс услуг водоотведения по вх.д. Ю2508 от 31.01.2021</t>
  </si>
  <si>
    <t>Поступление (акт, накладная, УПД) 73БУ-000052 от 31.01.2021 23:59:59
Холодное водоснабжение по вх.д. Ю2508 от 31.01.2021</t>
  </si>
  <si>
    <t>Поступление (акт, накладная, УПД) 73БУ-000065 от 31.01.2021 23:59:59
прием сточных вод, оказывающих негативное воздействие на работу ЦСВ по вх.д. А270628 от 31.12.2020</t>
  </si>
  <si>
    <t>УСС Екатеринбург
ВОДОКАНАЛ МУП
Договор № 742/п от 16.11.2020
Поступление (акт, накладная, УПД) 73БУ-000065 от 31.01.2021 23:59:59</t>
  </si>
  <si>
    <t>15.02.2021</t>
  </si>
  <si>
    <t>Поступление (акт, накладная, УПД) 73БУ-000085 от 15.02.2021 8:00:00
Ремонт автотранспорта по вх.д. 107 от 26.12.2020</t>
  </si>
  <si>
    <t>УСС Екатеринбург
ТРАНСАВТО СЕРВИСНЫЙ ЦЕНТР ООО
Договор № 32009642531/1529 от 04.12.2020
Поступление (акт, накладная, УПД) 73БУ-000085 от 15.02.2021 8:00:00</t>
  </si>
  <si>
    <t>16.02.2021</t>
  </si>
  <si>
    <t>Поступление (акт, накладная, УПД) 73БУ-000092 от 16.02.2021 8:00:00
Ремонт автотранспорта по вх.д. 253 от 26.12.2020</t>
  </si>
  <si>
    <t>УСС Екатеринбург
РЕГИОН 96 ООО
Договор № 31908319589/651 от 14.10.2019
Поступление (акт, накладная, УПД) 73БУ-000092 от 16.02.2021 8:00:00</t>
  </si>
  <si>
    <t>Поступление (акт, накладная, УПД) 73БУ-000093 от 16.02.2021 8:00:00
Ремонт автотранспорта по вх.д. 254 от 20.12.2020</t>
  </si>
  <si>
    <t>УСС Екатеринбург
РЕГИОН 96 ООО
Договор № 31908319589/651 от 14.10.2019
Поступление (акт, накладная, УПД) 73БУ-000093 от 16.02.2021 8:00:00</t>
  </si>
  <si>
    <t>28.02.2021</t>
  </si>
  <si>
    <t>Расход материалов 73БУ-000293 от 28.02.2021 23:59:59
Списание материалов на прочие расходы</t>
  </si>
  <si>
    <t>УСС Екатеринбург
Убытки прошлых лет, признанные в текущем году (для целей НУ признаются в периоде совершения ошибки, представляется УНД)
Масло моторное</t>
  </si>
  <si>
    <t>УСС Екатеринбург
Масло моторное
К807МЕ196
Поступление (акт, накладная, УПД) 73БУ-000093 от 16.02.2021 8:00:00</t>
  </si>
  <si>
    <t>10.03.1</t>
  </si>
  <si>
    <t>УСС Екатеринбург
Убытки прошлых лет, признанные в текущем году (для целей НУ признаются в периоде совершения ошибки, представляется УНД)
АТF 1л</t>
  </si>
  <si>
    <t>УСС Екатеринбург
АТF 1л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</si>
  <si>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Смазка универсальная</t>
  </si>
  <si>
    <t>УСС Екатеринбург
Смазка универсальная
К807МЕ196
Поступление (акт, накладная, УПД) 73БУ-000093 от 16.02.2021 8:00:00</t>
  </si>
  <si>
    <t>Расход материалов 73БУ-000294 от 28.02.2021 23:59:59
Списание материалов на прочие расходы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</si>
  <si>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топливный Вольво</t>
  </si>
  <si>
    <t>УСС Екатеринбург
Фильтр топливный Вольво
К807МЕ196
Поступление (акт, накладная, УПД) 73БУ-000093 от 16.02.2021 8:00:00</t>
  </si>
  <si>
    <t>10.05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</si>
  <si>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салона</t>
  </si>
  <si>
    <t>УСС Екатеринбург
Фильтр салона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</si>
  <si>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охлаждающей жидкости</t>
  </si>
  <si>
    <t>УСС Екатеринбург
Фильтр охлаждающей жидкости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</si>
  <si>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влагоотделитель</t>
  </si>
  <si>
    <t>УСС Екатеринбург
Фильтр влагоотделитель
К807МЕ196
Поступление (акт, накладная, УПД) 73БУ-000093 от 16.02.2021 8:00:00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</si>
  <si>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Фильтр воздушный Вольво </t>
  </si>
  <si>
    <t>УСС Екатеринбург
Фильтр воздушный Вольво 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</si>
  <si>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масляный Вольво</t>
  </si>
  <si>
    <t>УСС Екатеринбург
Фильтр масляный Вольво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</si>
  <si>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Тормозные колодки передние</t>
  </si>
  <si>
    <t>УСС Екатеринбург
Тормозные колодки передние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</si>
  <si>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Тормозные колодки задние</t>
  </si>
  <si>
    <t>УСС Екатеринбург
Тормозные колодки задние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</si>
  <si>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Кран стояночного тормоза</t>
  </si>
  <si>
    <t>УСС Екатеринбург
Кран стояночного тормоза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</si>
  <si>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Амортизатор кабины</t>
  </si>
  <si>
    <t>УСС Екатеринбург
Амортизатор кабины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</si>
  <si>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Ролик обводной</t>
  </si>
  <si>
    <t>УСС Екатеринбург
Ролик обводной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</si>
  <si>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Ролик натяжной</t>
  </si>
  <si>
    <t>УСС Екатеринбург
Ролик натяжной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</si>
  <si>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Ролик приводной</t>
  </si>
  <si>
    <t>УСС Екатеринбург
Ролик приводной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</si>
  <si>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Антифриз</t>
  </si>
  <si>
    <t>УСС Екатеринбург
Антифриз
К807МЕ196
Поступление (акт, накладная, УПД) 73БУ-000093 от 16.02.2021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</si>
  <si>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Ремкомплект шкворня</t>
  </si>
  <si>
    <t>УСС Екатеринбург
Ремкомплект шкворня
К807МЕ196
Поступление (акт, накладная, УПД) 73БУ-000093 от 16.02.2021 8:00:00</t>
  </si>
  <si>
    <t>Расход материалов 73БУ-000303 от 28.02.2021 23:59:59
Списание материалов на прочие расходы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</si>
  <si>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Лампа </t>
  </si>
  <si>
    <t>УСС Екатеринбург
Лампа 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</si>
  <si>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Соединитель канала</t>
  </si>
  <si>
    <t>УСС Екатеринбург
Соединитель канала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</si>
  <si>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Хомут пластиковый 267*6мм</t>
  </si>
  <si>
    <t>УСС Екатеринбург
Хомут пластиковый 267*6мм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</si>
  <si>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Уплотнительная втулка</t>
  </si>
  <si>
    <t>УСС Екатеринбург
Уплотнительная втулка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</si>
  <si>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Кабельный наконечник</t>
  </si>
  <si>
    <t>УСС Екатеринбург
Кабельный наконечник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</si>
  <si>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масл Форд</t>
  </si>
  <si>
    <t>УСС Екатеринбург
Фильтр масл Форд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</si>
  <si>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салонный Форд</t>
  </si>
  <si>
    <t>УСС Екатеринбург
Фильтр салонный Форд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</si>
  <si>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топл Форд</t>
  </si>
  <si>
    <t>УСС Екатеринбург
Фильтр топл Форд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</si>
  <si>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возд. Форд</t>
  </si>
  <si>
    <t>УСС Екатеринбург
Фильтр возд. Форд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</si>
  <si>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Фонарь габаритный боковой</t>
  </si>
  <si>
    <t>УСС Екатеринбург
Фонарь габаритный боковой
К134ЕК196
Поступление (акт, накладная, УПД) 73БУ-000085 от 15.02.2021 8:00:00</t>
  </si>
  <si>
    <t>Расход материалов 73БУ-000304 от 28.02.2021 23:59:59
Списание материалов на прочие расходы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</si>
  <si>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Масло моторное OEM: WSS-M2C913-D/, ACEA: A5/B5 </t>
  </si>
  <si>
    <t>УСС Екатеринбург
Масло моторное OEM: WSS-M2C913-D/, ACEA: A5/B5 
К134ЕК196
Поступление (акт, накладная, УПД) 73БУ-000085 от 15.02.2021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</si>
  <si>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Масло трансм.ESD-M2C175-A API; GL-4+</t>
  </si>
  <si>
    <t>УСС Екатеринбург
Масло трансм.ESD-M2C175-A API; GL-4+
К134ЕК196
Поступление (акт, накладная, УПД) 73БУ-000085 от 15.02.2021 8:00:00</t>
  </si>
  <si>
    <t>Расход материалов 73БУ-000333 от 28.02.2021 23:59:59
Списание материалов на прочие расходы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</si>
  <si>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Компрессор </t>
  </si>
  <si>
    <t>УСС Екатеринбург
Компрессор 
А794МТ196
Поступление (акт, накладная, УПД) 73БУ-000092 от 16.02.2021 8:00:00</t>
  </si>
  <si>
    <t>01.03.2021</t>
  </si>
  <si>
    <t>Поступление (акт, накладная, УПД) 73БУ-000173 от 01.03.2021 8:00:00
Ремонт автотранспорта по вх.д. 6863 от 21.12.2020</t>
  </si>
  <si>
    <t>УСС Екатеринбург
ТРАНСАВТО СЕРВИСНЫЙ ЦЕНТР ООО
Договор № 32009642531/1529 от 04.12.2020
Поступление (акт, накладная, УПД) 73БУ-000173 от 01.03.2021 8:00:00</t>
  </si>
  <si>
    <t>17.03.2021</t>
  </si>
  <si>
    <t>Корректировка реализации 73БУ-000004 от 17.03.2021 11:44:29
Корректировка реализации</t>
  </si>
  <si>
    <t>&lt;...&gt;
Убытки прошлых лет, признанные в текущем году (для целей НУ признаются в периоде совершения ошибки, представляется УНД)
Перевозка метизов и упаковок без грифа, по РФ, от юридических лиц в адрес юридических лиц, "стандарт</t>
  </si>
  <si>
    <t>&lt;...&gt;
УРАЛТРАНСМАШ АО
Договор № 1921187312771442245201643/659-1з/174/230 от 04.02.2020
Реализация (акт, накладная, УПД) 73ОУ-000005594 от 30.06.2020 23:59:59</t>
  </si>
  <si>
    <t>62.01</t>
  </si>
  <si>
    <t>18.03.2021</t>
  </si>
  <si>
    <t>Корректировка реализации 73БУ-000005 от 18.03.2021 15:49:39
Корректировка реализации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</si>
  <si>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Перевозка грузов и упаковок с грифом, по РФ</t>
  </si>
  <si>
    <t>УСС Екатеринбург
МАШИНОСТРОИТЕЛЬНЫЙ ЗАВОД ИМЕНИ КАЛИНИНА ПАО
Договор № 22-3933/326/20/016 от 26.05.2020
Реализация (акт, накладная, УПД) 73ОУ-000008679 от 30.09.2020 23:59:59</t>
  </si>
  <si>
    <t>19.03.2021</t>
  </si>
  <si>
    <t>Корректировка реализации 73БУ-000007 от 19.03.2021 23:59:59
Корректировка реализации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</si>
  <si>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Перевозка грузов и упаковок без грифа, по РФ</t>
  </si>
  <si>
    <t>УСС Екатеринбург
ПРОМСТРОЙ АО ФИЛИАЛ Г СВОБОДНЫЙ
Договор № ФГУП-ПС/1001 от 10.01.2020
Реализация (акт, накладная, УПД) 73ОУ-000011729 от 31.12.2020 23:59:59</t>
  </si>
  <si>
    <t>Корректировка реализации 73БУ-000008 от 19.03.2021 23:59:59
Корректировка реализации</t>
  </si>
  <si>
    <t>УСС Екатеринбург
ПРОМСТРОЙ АО ФИЛИАЛ Г СВОБОДНЫЙ
Договор № ФГУП-ПС/1001 от 10.01.2020
Реализация (акт, накладная, УПД) 73ОУ-000011754 от 31.12.2020 23:59:59</t>
  </si>
  <si>
    <t>25.03.2021</t>
  </si>
  <si>
    <t>Корректировка реализации 73БУ-000009 от 25.03.2021 10:59:57
Корректировка реализации</t>
  </si>
  <si>
    <t>&lt;...&gt;
Убытки прошлых лет, признанные в текущем году (для целей НУ признаются в периоде совершения ошибки, представляется УНД)
Перевозка грузов и упаковок без грифа, по РФ</t>
  </si>
  <si>
    <t>&lt;...&gt;
1015 ЗАВОД ПО РЕМОНТУ ВОЕННО-ТЕХНИЧЕСКОГО ИМУЩЕСТВА АО
Договор № 22-3425 от 12.11.2019
Реализация (акт, накладная, УПД) 73ОУ-000005561 от 30.06.2020 23:59:59</t>
  </si>
  <si>
    <t>Корректировка реализации 73БУ-000010 от 25.03.2021 11:10:42
Корректировка реализации</t>
  </si>
  <si>
    <t>УСС Екатеринбург
1015 ЗАВОД ПО РЕМОНТУ ВОЕННО-ТЕХНИЧЕСКОГО ИМУЩЕСТВА АО
Контракт № 1821187308121432208201551/31/26 от 22.06.2020
Реализация (акт, накладная, УПД) 73ОУ-000008017 от 30.09.2020 23:59:59</t>
  </si>
  <si>
    <t>31.03.2021</t>
  </si>
  <si>
    <t>Расход материалов 73БУ-314 от 31.03.2021 23:59:59
Списание материалов на прочие расходы</t>
  </si>
  <si>
    <t>УСС Екатеринбург
Убытки прошлых лет, признанные в текущем году (для целей НУ признаются в периоде совершения ошибки, представляется УНД)
Датчик  давления</t>
  </si>
  <si>
    <t>УСС Екатеринбург
Датчик  давления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</si>
  <si>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Датчик расхода воздуха</t>
  </si>
  <si>
    <t>УСС Екатеринбург
Датчик расхода воздуха
Р632УВ96
Поступление (акт, накладная, УПД) 73БУ-000173 от 01.03.2021 8:00:00</t>
  </si>
  <si>
    <t>УСС Екатеринбург
Лампа 
Р632УВ96
Поступление (акт, накладная, УПД) 73БУ-000173 от 01.03.2021 8:00:00</t>
  </si>
  <si>
    <t>УСС Екатеринбург
Кабельный наконечник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</si>
  <si>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Опора</t>
  </si>
  <si>
    <t>УСС Екатеринбург
Опора
Р632УВ96
Поступление (акт, накладная, УПД) 73БУ-000173 от 01.03.2021 8:00:00</t>
  </si>
  <si>
    <t>УСС Екатеринбург
Масло моторное OEM: WSS-M2C913-D/, ACEA: A5/B5 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</si>
  <si>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Цепь ГРМ</t>
  </si>
  <si>
    <t>УСС Екатеринбург
Цепь ГРМ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</si>
  <si>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Сальник коленвала задний</t>
  </si>
  <si>
    <t>УСС Екатеринбург
Сальник коленвала задний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</si>
  <si>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Сальник к/вала передний</t>
  </si>
  <si>
    <t>УСС Екатеринбург
Сальник к/вала передний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</si>
  <si>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Прокладка клап крышки</t>
  </si>
  <si>
    <t>УСС Екатеринбург
Прокладка клап крышки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</si>
  <si>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Прокладка теплообменника</t>
  </si>
  <si>
    <t>УСС Екатеринбург
Прокладка теплообменника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</si>
  <si>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Прокладка двс комплект верхние</t>
  </si>
  <si>
    <t>УСС Екатеринбург
Прокладка двс комплект верхние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</si>
  <si>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Клапан впускной</t>
  </si>
  <si>
    <t>УСС Екатеринбург
Клапан впускной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</si>
  <si>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Клапан выпускной</t>
  </si>
  <si>
    <t>УСС Екатеринбург
Клапан выпускной
Р632УВ96
Поступление (акт, накладная, УПД) 73БУ-000173 от 01.03.2021 8:00:00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</si>
  <si>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Натяжитель </t>
  </si>
  <si>
    <t>УСС Екатеринбург
Натяжитель 
Р632УВ96
Поступление (акт, накладная, УПД) 73БУ-000173 от 01.03.2021 8:00:00</t>
  </si>
  <si>
    <t xml:space="preserve">УСС Екатеринбург
Убытки прошлых лет, признанные в текущем году (для целей НУ признаются в периоде совершения ошибки, представляется УНД)
Успокоитель </t>
  </si>
  <si>
    <t>УСС Екатеринбург
Успокоитель 
Р632УВ96
Поступление (акт, накладная, УПД) 73БУ-000173 от 01.03.2021 8:00:00</t>
  </si>
  <si>
    <t>УСС Екатеринбург
Хомут пластиковый 267*6мм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</si>
  <si>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Выключатель подачи топлива</t>
  </si>
  <si>
    <t>УСС Екатеринбург
Выключатель подачи топлива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</si>
  <si>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Фильтр масл</t>
  </si>
  <si>
    <t>УСС Екатеринбург
Фильтр масл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</si>
  <si>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Форсунка</t>
  </si>
  <si>
    <t>УСС Екатеринбург
Форсунка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</si>
  <si>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Кольца уплотнительные форсунок</t>
  </si>
  <si>
    <t>УСС Екатеринбург
Кольца уплотнительные форсунок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</si>
  <si>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Прокладка впускного коллектора</t>
  </si>
  <si>
    <t>УСС Екатеринбург
Прокладка впускного коллектора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</si>
  <si>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Прокладка выпускного коллектора</t>
  </si>
  <si>
    <t>УСС Екатеринбург
Прокладка выпускного коллектора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</si>
  <si>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Охлаждающая жидкость WSS-M97B44-D</t>
  </si>
  <si>
    <t>УСС Екатеринбург
Охлаждающая жидкость WSS-M97B44-D
Р632УВ96
Поступление (акт, накладная, УПД) 73БУ-000173 от 01.03.2021 8:00:00</t>
  </si>
  <si>
    <t>УСС Екатеринбург
Убытки прошлых лет, признанные в текущем году (для целей НУ признаются в периоде совершения ошибки, представляется УНД)
Маслоотражательный колпачок клапана</t>
  </si>
  <si>
    <t>УСС Екатеринбург
Маслоотражательный колпачок клапана
Р632УВ96
Поступление (акт, накладная, УПД) 73БУ-000173 от 01.03.2021 8:00:00</t>
  </si>
  <si>
    <t>29.04.2021</t>
  </si>
  <si>
    <t>Корректировка поступления 50БУ-000007 от 29.04.2021 13:00:00
Поступление продукции для давальца по вх.д.б/н от 30.11.2018</t>
  </si>
  <si>
    <t>УСС Пермь
Убытки прошлых лет, признанные в текущем году (для целей НУ признаются в периоде совершения ошибки, представляется УНД)
&lt;...&gt;</t>
  </si>
  <si>
    <t>УСС Пермь
ТУ РОСИМУЩЕСТВА В ПЕРМСКОМ КРАЕ
Договор № 0487 от 27.02.2007
Поступление (акт, накладная, УПД) 50БУ-001657 от 30.11.2018 23:59:59</t>
  </si>
  <si>
    <t>01.05.2021</t>
  </si>
  <si>
    <t>Операция 60БУ-000045 от 01.05.2021 23:59:59
Корректировка по акту № 21 от 31.01.2021</t>
  </si>
  <si>
    <t>01.06.2021</t>
  </si>
  <si>
    <t>Операция 73БУ-000121 от 01.06.2021 23:00:00
Негативное воздействие коэфф. 0,5 по вх.д. Ю2508 от 31.01.2021</t>
  </si>
  <si>
    <t>Операция 73БУ-000121 от 01.06.2021 23:00:00
Сверхнормативный сброс коэфф. 2 по вх.д. Ю2508 от 31.01.2021</t>
  </si>
  <si>
    <t>Операция 73БУ-000121 от 01.06.2021 23:00:00
Полный комплекс услуг водоотведения по вх.д. Ю2508 от 31.01.2021</t>
  </si>
  <si>
    <t>Операция 73БУ-000121 от 01.06.2021 23:00:00
Холодное водоснабжение по вх.д. Ю2508 от 31.01.2021</t>
  </si>
  <si>
    <t>15.06.2021</t>
  </si>
  <si>
    <t>Операция 47БУ-000115 от 15.06.2021 10:08:18</t>
  </si>
  <si>
    <t>Производственный отдел 
Убытки прошлых лет, признанные в текущем году (для целей НУ признаются в периоде совершения ошибки, представляется УНД)
&lt;...&gt;</t>
  </si>
  <si>
    <t>Налог (взносы): доначислено / уплачено (самостоятельно)</t>
  </si>
  <si>
    <t>68.07</t>
  </si>
  <si>
    <t>16.06.2021</t>
  </si>
  <si>
    <t>Корректировка реализации 27БУ-000001 от 16.06.2021 13:18:35
Корректировка реализации</t>
  </si>
  <si>
    <t>УСС Киров
Убытки прошлых лет, признанные в текущем году (для целей НУ признаются в периоде совершения ошибки, представляется УНД)
Обсл. ПТК, в пределах гор./обл./рег.</t>
  </si>
  <si>
    <t>УСС Киров
ГАЗПРОМБАНК АО
Договор № 11-и/20. от 01.03.2020
Реализация (акт, накладная, УПД) 27ОУ-000000210 от 31.01.2020 20:04:30</t>
  </si>
  <si>
    <t>19.08.2021</t>
  </si>
  <si>
    <t>Операция 47БУ-000149 от 19.08.2021 13:46:41</t>
  </si>
  <si>
    <t>Налог (взносы): начислено / уплачено</t>
  </si>
  <si>
    <t>31.08.2021</t>
  </si>
  <si>
    <t>Поступление (акт, накладная, УПД) 73БУ-000694 от 31.08.2021 23:59:59
Ремонт автотранспорта по вх.д. 252 от 26.12.2020</t>
  </si>
  <si>
    <t>Транспортный отдел
Убытки прошлых лет, признанные в текущем году (для целей НУ признаются в периоде совершения ошибки, представляется УНД)
&lt;...&gt;</t>
  </si>
  <si>
    <t>УСС Екатеринбург
РЕГИОН 96 ООО
Договор № 31908319589/651 от 14.10.2019
Поступление (акт, накладная, УПД) 73БУ-000694 от 31.08.2021 23:59:59</t>
  </si>
  <si>
    <t>21.09.2021</t>
  </si>
  <si>
    <t>Операция 47БУ-000167 от 21.09.2021 9:46:54</t>
  </si>
  <si>
    <t>30.09.2021</t>
  </si>
  <si>
    <t>Корректировка реализации 73БУ-000038 от 30.09.2021 23:59:59
Корректировка реализации</t>
  </si>
  <si>
    <t>&lt;...&gt;
Убытки прошлых лет, признанные в текущем году (для целей НУ признаются в периоде совершения ошибки, представляется УНД)
Перев. крупногаб. грузов и упаковок без грифа, по заказу предпр. ОПК, по РФ, "стандарт"</t>
  </si>
  <si>
    <t>&lt;...&gt;
УРАЛТРАНСМАШ АО
Договор № 22-0528/022 от 10.10.2019
Реализация (акт, накладная, УПД) 73ОУ-000012162 от 30.12.2019 13:10:03</t>
  </si>
  <si>
    <t>Корректировка реализации 73БУ-000039 от 30.09.2021 23:59:59
Корректировка реализации</t>
  </si>
  <si>
    <t>&lt;...&gt;
УРАЛТРАНСМАШ АО
Договор № 22-0528/026 от 05.12.2019
Реализация (акт, накладная, УПД) 73ОУ-000010050 от 31.10.2019 23:59:59</t>
  </si>
  <si>
    <t>Корректировка реализации 73БУ-000040 от 30.09.2021 23:59:59
Корректировка реализации</t>
  </si>
  <si>
    <t>&lt;...&gt;
УРАЛТРАНСМАШ АО
Договор № 22-0528/026 от 05.12.2019
Реализация (акт, накладная, УПД) 73ОУ-000010049 от 31.10.2019 23:59:59</t>
  </si>
  <si>
    <t>Корректировка реализации 73БУ-000041 от 30.09.2021 23:59:59
Корректировка реализации</t>
  </si>
  <si>
    <t>&lt;...&gt;
УРАЛТРАНСМАШ АО
Договор № 22-0528/026 от 05.12.2019
Реализация (акт, накладная, УПД) 73ОУ-000010053 от 31.10.2019 23:59:59</t>
  </si>
  <si>
    <t>Корректировка реализации 73БУ-000042 от 30.09.2021 23:59:59
Корректировка реализации</t>
  </si>
  <si>
    <t>&lt;...&gt;
УРАЛТРАНСМАШ АО
Договор № 22-0528/026 от 05.12.2019
Реализация (акт, накладная, УПД) 73ОУ-000010052 от 31.10.2019 23:59:59</t>
  </si>
  <si>
    <t>Корректировка реализации 73БУ-000043 от 30.09.2021 23:59:59
Корректировка реализации</t>
  </si>
  <si>
    <t>&lt;...&gt;
УРАЛТРАНСМАШ АО
Договор № 22-0528/026 от 05.12.2019
Реализация (акт, накладная, УПД) 73ОУ-000010051 от 31.10.2019 23:59:59</t>
  </si>
  <si>
    <t>Корректировка реализации 73БУ-000044 от 30.09.2021 23:59:59
Корректировка реализации</t>
  </si>
  <si>
    <t>&lt;...&gt;
УРАЛТРАНСМАШ АО
Договор № 22-0528/026 от 05.12.2019
Реализация (акт, накладная, УПД) 73ОУ-000010054 от 31.10.2019 23:59:59</t>
  </si>
  <si>
    <t>Корректировка реализации 73БУ-000045 от 30.09.2021 23:59:59
Корректировка реализации</t>
  </si>
  <si>
    <t>&lt;...&gt;
УРАЛТРАНСМАШ АО
Договор № 22-0528/026 от 05.12.2019
Реализация (акт, накладная, УПД) 73ОУ-000011305 от 30.11.2019 23:59:59</t>
  </si>
  <si>
    <t>Корректировка реализации 73БУ-000046 от 30.09.2021 23:59:59
Корректировка реализации</t>
  </si>
  <si>
    <t>&lt;...&gt;
УРАЛТРАНСМАШ АО
Договор № 22-0528/026 от 05.12.2019
Реализация (акт, накладная, УПД) 73ОУ-000011306 от 30.11.2019 23:59:59</t>
  </si>
  <si>
    <t>Корректировка реализации 73БУ-000047 от 30.09.2021 23:59:59
Корректировка реализации</t>
  </si>
  <si>
    <t>&lt;...&gt;
УРАЛТРАНСМАШ АО
Договор № 22-0528/026 от 05.12.2019
Реализация (акт, накладная, УПД) 73ОУ-000011160 от 30.11.2019 23:59:59</t>
  </si>
  <si>
    <t>Корректировка реализации 73БУ-000048 от 30.09.2021 23:59:59
Корректировка реализации</t>
  </si>
  <si>
    <t>&lt;...&gt;
УРАЛТРАНСМАШ АО
Договор № 22-0528/026 от 05.12.2019
Реализация (акт, накладная, УПД) 73ОУ-000011162 от 30.11.2019 23:59:59</t>
  </si>
  <si>
    <t>Корректировка реализации 73БУ-000049 от 30.09.2021 23:59:59
Корректировка реализации</t>
  </si>
  <si>
    <t>&lt;...&gt;
УРАЛТРАНСМАШ АО
Договор № 22-0528/026 от 05.12.2019
Реализация (акт, накладная, УПД) 73ОУ-000011161 от 30.11.2019 23:59:59</t>
  </si>
  <si>
    <t>Корректировка реализации 73БУ-000050 от 30.09.2021 23:59:59
Корректировка реализации</t>
  </si>
  <si>
    <t>&lt;...&gt;
УРАЛТРАНСМАШ АО
Договор № 22-0528/026 от 05.12.2019
Реализация (акт, накладная, УПД) 73ОУ-000011163 от 30.11.2019 23:59:59</t>
  </si>
  <si>
    <t>Корректировка реализации 73БУ-000051 от 30.09.2021 23:59:59
Корректировка реализации</t>
  </si>
  <si>
    <t>&lt;...&gt;
Убытки прошлых лет, признанные в текущем году (для целей НУ признаются в периоде совершения ошибки, представляется УНД)
Перев. опасных грузов, по заказу предпр. ОПК, по РФ</t>
  </si>
  <si>
    <t>&lt;...&gt;
УРАЛТРАНСМАШ АО
Договор № 1820187315151432245025254/22-0528/013 от 26.09.2018
Реализация (акт, накладная, УПД) 73ОУ-000000834 от 31.01.2019 23:59:59</t>
  </si>
  <si>
    <t>Поступление (акт, накладная, УПД) 73БУ-000805 от 30.09.2021 23:59:59
Ремонт автотранспорта по вх.д. 163 от 01.10.2020</t>
  </si>
  <si>
    <t>УСС Екатеринбург
РЕГИОН 96 ООО
Договор № 31908451808/638 от 05.12.2019
Поступление (акт, накладная, УПД) 73БУ-000805 от 30.09.2021 23:59:59</t>
  </si>
  <si>
    <t>26.10.2021</t>
  </si>
  <si>
    <t>Поступление (акт, накладная, УПД) 73БУ-000884 от 26.10.2021 10:02:20
Ремонт автотранспорта по вх.д. 181 от 12.10.2020</t>
  </si>
  <si>
    <t>УСС Екатеринбург
РЕГИОН 96 ООО
Договор № 31908319589/651 от 14.10.2019
Поступление (акт, накладная, УПД) 73БУ-000884 от 26.10.2021 10:02:20</t>
  </si>
  <si>
    <t>01.11.2021</t>
  </si>
  <si>
    <t>Корректировка реализации 73БУ-000053 от 01.11.2021 0:00:00
Корректировка реализации</t>
  </si>
  <si>
    <t>УСС Екатеринбург
УРАЛТРАНСМАШ АО
Договор № 22-0528/022 от 10.10.2019
Реализация (акт, накладная, УПД) 73ОУ-000006519 от 31.07.2020 23:59:59</t>
  </si>
  <si>
    <t>Корректировка реализации 73БУ-000054 от 01.11.2021 23:59:57
Корректировка реализации</t>
  </si>
  <si>
    <t>УСС Екатеринбург
МИЛЛЕНИУМ ООО
Договор № 153 от 17.10.2018
Реализация (акт, накладная, УПД) 73ОУ-000011759 от 31.12.2020 23:59:59</t>
  </si>
  <si>
    <t>Корректировка реализации 73БУ-000055 от 01.11.2021 23:59:58
Корректировка реализации</t>
  </si>
  <si>
    <t>УСС Екатеринбург
Убытки прошлых лет, признанные в текущем году (для целей НУ признаются в периоде совершения ошибки, представляется УНД)
Перевозка метизов и упаковок без грифа, по РФ, от юридических лиц в адрес юридических лиц, "стандарт</t>
  </si>
  <si>
    <t>УСС Екатеринбург
МИЛЛЕНИУМ ООО
Договор № 153 от 17.10.2018
Реализация (акт, накладная, УПД) 73ОУ-000011760 от 31.12.2020 23:59:59</t>
  </si>
  <si>
    <t>Корректировка реализации 73БУ-000056 от 01.11.2021 23:59:59
Корректировка реализации</t>
  </si>
  <si>
    <t>УСС Екатеринбург
МИЛЛЕНИУМ ООО
Договор № 153 от 17.10.2018
Реализация (акт, накладная, УПД) 73ОУ-000011761 от 31.12.2020 23:59:59</t>
  </si>
  <si>
    <t>Корректировка реализации 73БУ-000057 от 01.11.2021 23:59:59
Корректировка реализации</t>
  </si>
  <si>
    <t>УСС Екатеринбург
МИЛЛЕНИУМ ООО
Договор № 153 от 17.10.2018
Реализация (акт, накладная, УПД) 73ОУ-000011762 от 31.12.2020 23:59:59</t>
  </si>
  <si>
    <t>Корректировка реализации 73БУ-000058 от 01.11.2021 23:59:59
Корректировка реализации</t>
  </si>
  <si>
    <t>УСС Екатеринбург
МИЛЛЕНИУМ ООО
Договор № 153 от 17.10.2018
Реализация (акт, накладная, УПД) 73ОУ-000011763 от 31.12.2020 23:59:59</t>
  </si>
  <si>
    <t>Корректировка реализации 73БУ-000059 от 01.11.2021 23:59:59
Корректировка реализации</t>
  </si>
  <si>
    <t>УСС Екатеринбург
1015 ЗАВОД ПО РЕМОНТУ ВОЕННО-ТЕХНИЧЕСКОГО ИМУЩЕСТВА АО
Контракт № 1821187308121432208201551/31/26 от 22.06.2020
Реализация (акт, накладная, УПД) 73ОУ-000006167 от 31.07.2020 23:59:59</t>
  </si>
  <si>
    <t>11.11.2021</t>
  </si>
  <si>
    <t>Операция 47БУ-000190 от 11.11.2021 23:59:59</t>
  </si>
  <si>
    <t>Обороты за период и сальдо на конец</t>
  </si>
  <si>
    <t>2017 год факт</t>
  </si>
  <si>
    <t>2018 год факт</t>
  </si>
  <si>
    <t>2019 год факт</t>
  </si>
  <si>
    <t>2020 год факт</t>
  </si>
  <si>
    <t>2021 год факт</t>
  </si>
  <si>
    <t>2022 год план</t>
  </si>
  <si>
    <t>ФОТ ВСЕГО</t>
  </si>
  <si>
    <t>ФОТ ИТОГО без ГПХ</t>
  </si>
  <si>
    <t>Среднесписочная численность без ГПХ</t>
  </si>
  <si>
    <t>ФОТ АУП+ГЛ бух+АПП</t>
  </si>
  <si>
    <t>ЧИСЛ АУП+ГЛ бух+АПП</t>
  </si>
  <si>
    <t>ЧИСЛ ОПП</t>
  </si>
  <si>
    <t>СЗПТ ИТОГО без ГПХ</t>
  </si>
  <si>
    <t>СЗПТ АУП+ГЛ бух+АПП</t>
  </si>
  <si>
    <t>СЗПТ ОПП</t>
  </si>
  <si>
    <t>СЗПТ Коммерсанты</t>
  </si>
  <si>
    <t>Затраты на оплату труда</t>
  </si>
  <si>
    <t>Доходы</t>
  </si>
  <si>
    <t>Доля ФОТ в выручке</t>
  </si>
  <si>
    <t>Производительность</t>
  </si>
  <si>
    <t>СЗПТ Коммрсанты</t>
  </si>
  <si>
    <t>Москва+УПС</t>
  </si>
  <si>
    <t>Москва</t>
  </si>
  <si>
    <t>Северо-западный</t>
  </si>
  <si>
    <t>УПС</t>
  </si>
  <si>
    <t>факт 2022</t>
  </si>
  <si>
    <t>ф2022/п2022</t>
  </si>
  <si>
    <t>ф2022/п2020</t>
  </si>
  <si>
    <t>п2021/п2020</t>
  </si>
  <si>
    <t>ф2022/п2021</t>
  </si>
  <si>
    <t>отклонение ф-п 2022</t>
  </si>
  <si>
    <t>% выполнения 2022 г.</t>
  </si>
  <si>
    <t>ф2022/ф2021</t>
  </si>
  <si>
    <t>факт 22/план 22</t>
  </si>
  <si>
    <t>факт 22/факт 21</t>
  </si>
  <si>
    <t>янв-апр 2020 год</t>
  </si>
  <si>
    <t>янв-апр 2021 год</t>
  </si>
  <si>
    <t>янв-апр 2022 год</t>
  </si>
  <si>
    <t>Темп прироста по ЧП в ПД, в %</t>
  </si>
  <si>
    <t>Выполнение плана, в %</t>
  </si>
  <si>
    <t>Убыточные филиалы по итогам 4 месяцев 2022 г.</t>
  </si>
  <si>
    <t>Прогноз 2022</t>
  </si>
  <si>
    <t>Выручка 1 полугодие</t>
  </si>
  <si>
    <t>Чистая прибыль 1 полугодие</t>
  </si>
  <si>
    <t>Основные показатели Бюджета прибылей и убытков ФГУП ГЦСС 1 полугодие 2022 гг., тыс.руб.</t>
  </si>
  <si>
    <t>Выручка май</t>
  </si>
  <si>
    <t>Чистая прибыль май</t>
  </si>
  <si>
    <t>Выручка июнь</t>
  </si>
  <si>
    <t>Чистая прибыль июнь</t>
  </si>
  <si>
    <t>Бюджет план 2022</t>
  </si>
  <si>
    <t>Факт 2022</t>
  </si>
  <si>
    <t>Выполнение плана, %</t>
  </si>
  <si>
    <t>Факт - план</t>
  </si>
  <si>
    <t>Выручка от основных услуг</t>
  </si>
  <si>
    <t>5 мес. 2018 г.</t>
  </si>
  <si>
    <t>5 мес. 2019 г.</t>
  </si>
  <si>
    <t>5 мес. 2020 г.</t>
  </si>
  <si>
    <t>5 мес. 2021 г.</t>
  </si>
  <si>
    <t>5 мес. 2022 г.</t>
  </si>
  <si>
    <t>тыс. руб.</t>
  </si>
  <si>
    <t>Наименование региона / филиала</t>
  </si>
  <si>
    <t>Северо-Западный регион</t>
  </si>
  <si>
    <t>Приволжский регион</t>
  </si>
  <si>
    <t>Дальневосточный регион</t>
  </si>
  <si>
    <t>МИМО</t>
  </si>
  <si>
    <t>Наименование статьи</t>
  </si>
  <si>
    <t>План, тыс. руб.</t>
  </si>
  <si>
    <t>Факт, тыс. руб.</t>
  </si>
  <si>
    <t>Отклонение абс., тыс. руб.</t>
  </si>
  <si>
    <t>Отклонение, %</t>
  </si>
  <si>
    <t xml:space="preserve">  Затраты на коммерческий автотранспорт</t>
  </si>
  <si>
    <t xml:space="preserve">      ГСМ</t>
  </si>
  <si>
    <t xml:space="preserve">      Ремонт, ТО, Запчасти, Масла</t>
  </si>
  <si>
    <t xml:space="preserve">  Транспортировка</t>
  </si>
  <si>
    <t xml:space="preserve">      Железнодорожные перевозки грузов</t>
  </si>
  <si>
    <t xml:space="preserve">      Автоперевозки, оказываемые сторонними организациями</t>
  </si>
  <si>
    <t xml:space="preserve">      Курьерские услуги</t>
  </si>
  <si>
    <t xml:space="preserve">  Амортизация</t>
  </si>
  <si>
    <t xml:space="preserve">  Убытки прошлых лет</t>
  </si>
  <si>
    <t xml:space="preserve">  Прочие расходы</t>
  </si>
  <si>
    <t xml:space="preserve">  Расходы на форменное обмундирование ОПП</t>
  </si>
  <si>
    <t xml:space="preserve">  Хозтовары и стройматериалы</t>
  </si>
  <si>
    <t xml:space="preserve">  Программное обеспечение (включая лицензии на ПО)</t>
  </si>
  <si>
    <t xml:space="preserve">  Штрафы, пени</t>
  </si>
  <si>
    <t>Факт УУ</t>
  </si>
  <si>
    <t>Перевозка корреспонденции экспресс</t>
  </si>
  <si>
    <t>Перевозка посылок экспресс</t>
  </si>
  <si>
    <t>Перевозка грузов стандарт</t>
  </si>
  <si>
    <t>Международная перевозка денежной наличности</t>
  </si>
  <si>
    <t>Амортизация компьютерной и серверной техники</t>
  </si>
  <si>
    <t>Расходы на содержание ЦА</t>
  </si>
  <si>
    <t>ФАКТ УУ-План</t>
  </si>
  <si>
    <t>Факт УУ/План</t>
  </si>
  <si>
    <t xml:space="preserve">  Сертификаты, лицензии (кроме лицензий на ПО)</t>
  </si>
  <si>
    <t xml:space="preserve">      Морские перевозки грузов</t>
  </si>
  <si>
    <t xml:space="preserve">  Услуги по вооруженному сопровождению</t>
  </si>
  <si>
    <t xml:space="preserve">  ОС до 40000 техника связи</t>
  </si>
  <si>
    <t>Сторонние автоперевозки</t>
  </si>
  <si>
    <t>6 мес. 2014 г.</t>
  </si>
  <si>
    <t>6 мес. 2015 г.</t>
  </si>
  <si>
    <t>6 мес. 2016 г.</t>
  </si>
  <si>
    <t>6 мес. 2017г.</t>
  </si>
  <si>
    <t>6 мес. 2018 г.</t>
  </si>
  <si>
    <t>6 мес. 2019 г.</t>
  </si>
  <si>
    <t>6 мес. 2020 г.</t>
  </si>
  <si>
    <t>6 мес. 2021 г.</t>
  </si>
  <si>
    <t>6 мес. 2022 г.</t>
  </si>
  <si>
    <t>Показатель</t>
  </si>
  <si>
    <t>Программа деятельности 2022</t>
  </si>
  <si>
    <t>УСС по Карачаево-Черкесской Республике</t>
  </si>
  <si>
    <t>УСС по Чеченской Республике</t>
  </si>
  <si>
    <t>факт янв-июнь 2021</t>
  </si>
  <si>
    <t>план янв-июнь 2022</t>
  </si>
  <si>
    <t>факт янв-июнь 2022</t>
  </si>
  <si>
    <t>Прибыль/убыток  6 мес. 2021, тыс. руб.</t>
  </si>
  <si>
    <t>Прибыль/убыток 5 мес. 2022, тыс. руб.</t>
  </si>
  <si>
    <t>Прибыль/убыток 6 мес. 2022, тыс. руб.</t>
  </si>
  <si>
    <t>Re,%</t>
  </si>
  <si>
    <t>БПУ ФГУП ГЦСС, январь-июнь2022</t>
  </si>
  <si>
    <t>Январь - Июнь 2022 г.</t>
  </si>
  <si>
    <t xml:space="preserve">  Судебные издержки</t>
  </si>
  <si>
    <t xml:space="preserve">      Использование общественного, личного транспорта</t>
  </si>
  <si>
    <t>ИТОГО</t>
  </si>
  <si>
    <t>№ п/п</t>
  </si>
  <si>
    <t>Убыток  6 мес. 2021, тыс. руб.</t>
  </si>
  <si>
    <t>Прибыль 6 мес. 2022, тыс. руб.</t>
  </si>
  <si>
    <t>Факт БУ</t>
  </si>
  <si>
    <t>Гриф</t>
  </si>
  <si>
    <t>Стандарт</t>
  </si>
  <si>
    <t>Грузы</t>
  </si>
  <si>
    <t>Драг.металлы</t>
  </si>
  <si>
    <t>Таможня</t>
  </si>
  <si>
    <t xml:space="preserve">план </t>
  </si>
  <si>
    <t>факт</t>
  </si>
  <si>
    <t>Экспресс</t>
  </si>
  <si>
    <t>темп прироста</t>
  </si>
  <si>
    <t>Ден. наличность</t>
  </si>
  <si>
    <t>Наркотич.вещ-ва</t>
  </si>
  <si>
    <t>Январь - Июнь 2021 г.</t>
  </si>
  <si>
    <t>ФОТ</t>
  </si>
  <si>
    <t>Амортизация ТС</t>
  </si>
  <si>
    <t>Автоперевозки</t>
  </si>
  <si>
    <t>Ж/д перевозки</t>
  </si>
  <si>
    <t>Амортизация зданий</t>
  </si>
  <si>
    <t>ОС (Техника связи)</t>
  </si>
  <si>
    <t>Амортизация прочее</t>
  </si>
  <si>
    <t>Ремонт, ТО и запчасти, масла</t>
  </si>
  <si>
    <t>Упаковка</t>
  </si>
  <si>
    <t>Авиапревозки</t>
  </si>
  <si>
    <t>Пассажирские перевозки</t>
  </si>
  <si>
    <t>Содержание имущества</t>
  </si>
  <si>
    <t>Выручка от ОУ (ПД)</t>
  </si>
  <si>
    <t>Чистая прибыль (ПД)</t>
  </si>
  <si>
    <t>Лизинг+амортизицию ТС</t>
  </si>
  <si>
    <t>Чистая прибыль без ЦА</t>
  </si>
  <si>
    <t>Чистая прибыль (без амортизации ТС и лизинга)</t>
  </si>
  <si>
    <t>7 мес. 2014 г.</t>
  </si>
  <si>
    <t>7мес. 2015 г.</t>
  </si>
  <si>
    <t>7 мес. 2016 г.</t>
  </si>
  <si>
    <t>7мес. 2017г.</t>
  </si>
  <si>
    <t>7 мес. 2018 г.</t>
  </si>
  <si>
    <t>7 мес. 2019 г.</t>
  </si>
  <si>
    <t>7 мес. 2020 г.</t>
  </si>
  <si>
    <t>7 мес. 2021 г.</t>
  </si>
  <si>
    <t>7 мес. 2022 г.</t>
  </si>
  <si>
    <t>Основные показатели Бюджета прибылей и убытков ФГУП ГЦСС 7 месяцев 2022 гг., тыс.руб.</t>
  </si>
  <si>
    <t>факт янв-июль 2021</t>
  </si>
  <si>
    <t>план янв-июль 2022</t>
  </si>
  <si>
    <t>факт янв-июль 2022</t>
  </si>
  <si>
    <t>Прибыль/убыток  7 мес. 2021, тыс. руб.</t>
  </si>
  <si>
    <t>Прибыль/убыток 7 мес. 2022, тыс. руб.</t>
  </si>
  <si>
    <t>БПУ ФГУП ГЦСС, январь-июль2022</t>
  </si>
  <si>
    <t>Январь - Июль 2021 г.</t>
  </si>
  <si>
    <t>Январь - Июль 2022 г.</t>
  </si>
  <si>
    <t>Статья оборотов Новый В группе "Доходы 2020"</t>
  </si>
  <si>
    <t>2021 г.</t>
  </si>
  <si>
    <t>2022 г.</t>
  </si>
  <si>
    <t>Сумма (сценарий)</t>
  </si>
  <si>
    <t>прогноз 2022</t>
  </si>
  <si>
    <t>факт январь-июль 2022</t>
  </si>
  <si>
    <t>прогноз август-декабрь 2022</t>
  </si>
  <si>
    <t>План 2022</t>
  </si>
  <si>
    <t>Справочно</t>
  </si>
  <si>
    <t>прогноз 22 /план 22</t>
  </si>
  <si>
    <t>прогноз 22 /факт 21</t>
  </si>
  <si>
    <t>Сумма</t>
  </si>
  <si>
    <t>план 2022*</t>
  </si>
  <si>
    <t>план август-декабрь 2022*</t>
  </si>
  <si>
    <t>Факт - План</t>
  </si>
  <si>
    <t xml:space="preserve">План 7 мес. 2022 </t>
  </si>
  <si>
    <t>Факт 7 мес.  2022 (БУ)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</si>
</sst>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4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0"/>
      <color indexed="21"/>
      <name val="Arial"/>
      <family val="2"/>
      <charset val="204"/>
    </font>
    <font>
      <sz val="9"/>
      <color indexed="10"/>
      <name val="Arial"/>
      <family val="2"/>
      <charset val="204"/>
    </font>
    <font>
      <b/>
      <sz val="10"/>
      <color indexed="21"/>
      <name val="Arial"/>
      <family val="2"/>
      <charset val="204"/>
    </font>
    <font>
      <b/>
      <sz val="11"/>
      <name val="Arial Cyr"/>
      <charset val="204"/>
    </font>
    <font>
      <sz val="14"/>
      <name val="Arial Cyr"/>
      <charset val="204"/>
    </font>
    <font>
      <sz val="14"/>
      <name val="Tahoma"/>
      <family val="2"/>
      <charset val="204"/>
    </font>
    <font>
      <sz val="14"/>
      <color rgb="FF00B050"/>
      <name val="Tahoma"/>
      <family val="2"/>
      <charset val="204"/>
    </font>
    <font>
      <sz val="14"/>
      <color theme="1"/>
      <name val="Tahoma"/>
      <family val="2"/>
      <charset val="204"/>
    </font>
    <font>
      <sz val="12"/>
      <color theme="1"/>
      <name val="Tahoma"/>
      <family val="2"/>
      <charset val="204"/>
    </font>
    <font>
      <sz val="12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0"/>
      <color rgb="FFC00000"/>
      <name val="Tahoma"/>
      <family val="2"/>
      <charset val="204"/>
    </font>
    <font>
      <b/>
      <sz val="9"/>
      <color rgb="FF00B050"/>
      <name val="Tahoma"/>
      <family val="2"/>
      <charset val="204"/>
    </font>
    <font>
      <b/>
      <sz val="9"/>
      <color rgb="FFC00000"/>
      <name val="Tahoma"/>
      <family val="2"/>
      <charset val="204"/>
    </font>
    <font>
      <b/>
      <sz val="9"/>
      <name val="Tahoma"/>
      <family val="2"/>
      <charset val="204"/>
    </font>
    <font>
      <b/>
      <sz val="12"/>
      <name val="Tahoma"/>
      <family val="2"/>
      <charset val="204"/>
    </font>
    <font>
      <sz val="13"/>
      <color rgb="FF000000"/>
      <name val="Tahoma"/>
      <family val="2"/>
      <charset val="204"/>
    </font>
    <font>
      <sz val="13"/>
      <color rgb="FF008E40"/>
      <name val="Tahoma"/>
      <family val="2"/>
      <charset val="204"/>
    </font>
    <font>
      <b/>
      <sz val="12"/>
      <color rgb="FF000E2A"/>
      <name val="Tahoma"/>
      <family val="2"/>
      <charset val="204"/>
    </font>
    <font>
      <b/>
      <sz val="12"/>
      <color rgb="FFC00000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rgb="FF002060"/>
      <name val="Tahoma"/>
      <family val="2"/>
      <charset val="204"/>
    </font>
    <font>
      <sz val="10"/>
      <color rgb="FF002060"/>
      <name val="Tahoma"/>
      <family val="2"/>
      <charset val="204"/>
    </font>
    <font>
      <sz val="13"/>
      <name val="Arial"/>
      <family val="2"/>
      <charset val="204"/>
    </font>
    <font>
      <b/>
      <sz val="12"/>
      <color rgb="FF00B050"/>
      <name val="Tahoma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rgb="FF000E2A"/>
      <name val="Tahoma"/>
      <family val="2"/>
      <charset val="204"/>
    </font>
    <font>
      <b/>
      <sz val="10"/>
      <color rgb="FF00B050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E9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ECC5"/>
        <bgColor auto="1"/>
      </patternFill>
    </fill>
  </fills>
  <borders count="7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/>
      <top style="thin">
        <color indexed="60"/>
      </top>
      <bottom/>
      <diagonal/>
    </border>
    <border>
      <left/>
      <right/>
      <top style="thin">
        <color indexed="60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FFFFFF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FFFF"/>
      </top>
      <bottom style="medium">
        <color rgb="FF000000"/>
      </bottom>
      <diagonal/>
    </border>
    <border>
      <left style="dotted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FFFFFF"/>
      </right>
      <top style="medium">
        <color rgb="FF000000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FFFFFF"/>
      </right>
      <top style="dotted">
        <color rgb="FF000000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FFFFFF"/>
      </bottom>
      <diagonal/>
    </border>
    <border>
      <left style="dotted">
        <color rgb="FF000000"/>
      </left>
      <right style="medium">
        <color rgb="FFFFFFFF"/>
      </right>
      <top style="dotted">
        <color rgb="FF000000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</cellStyleXfs>
  <cellXfs count="488">
    <xf numFmtId="0" fontId="0" fillId="0" borderId="0" xfId="0"/>
    <xf numFmtId="0" fontId="1" fillId="0" borderId="0" xfId="1"/>
    <xf numFmtId="0" fontId="2" fillId="0" borderId="0" xfId="1" applyNumberFormat="1" applyFont="1" applyAlignment="1">
      <alignment vertical="top"/>
    </xf>
    <xf numFmtId="0" fontId="3" fillId="0" borderId="0" xfId="1" applyNumberFormat="1" applyFont="1" applyAlignment="1">
      <alignment vertical="top"/>
    </xf>
    <xf numFmtId="0" fontId="3" fillId="2" borderId="2" xfId="1" applyNumberFormat="1" applyFont="1" applyFill="1" applyBorder="1" applyAlignment="1">
      <alignment vertical="top" wrapText="1"/>
    </xf>
    <xf numFmtId="4" fontId="4" fillId="3" borderId="2" xfId="1" applyNumberFormat="1" applyFont="1" applyFill="1" applyBorder="1" applyAlignment="1">
      <alignment horizontal="right" vertical="top"/>
    </xf>
    <xf numFmtId="0" fontId="4" fillId="3" borderId="2" xfId="1" applyNumberFormat="1" applyFont="1" applyFill="1" applyBorder="1" applyAlignment="1">
      <alignment vertical="top" wrapText="1" indent="6"/>
    </xf>
    <xf numFmtId="0" fontId="3" fillId="2" borderId="1" xfId="1" applyNumberFormat="1" applyFont="1" applyFill="1" applyBorder="1" applyAlignment="1">
      <alignment vertical="top" wrapText="1"/>
    </xf>
    <xf numFmtId="3" fontId="4" fillId="3" borderId="2" xfId="1" applyNumberFormat="1" applyFont="1" applyFill="1" applyBorder="1" applyAlignment="1">
      <alignment horizontal="right" vertical="top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vertical="top"/>
    </xf>
    <xf numFmtId="0" fontId="0" fillId="0" borderId="3" xfId="0" applyBorder="1"/>
    <xf numFmtId="0" fontId="3" fillId="2" borderId="0" xfId="1" applyNumberFormat="1" applyFont="1" applyFill="1" applyBorder="1" applyAlignment="1">
      <alignment vertical="top"/>
    </xf>
    <xf numFmtId="4" fontId="4" fillId="3" borderId="0" xfId="1" applyNumberFormat="1" applyFont="1" applyFill="1" applyBorder="1" applyAlignment="1">
      <alignment horizontal="right" vertical="top"/>
    </xf>
    <xf numFmtId="0" fontId="5" fillId="0" borderId="0" xfId="1" applyNumberFormat="1" applyFont="1" applyAlignment="1">
      <alignment vertical="top"/>
    </xf>
    <xf numFmtId="0" fontId="6" fillId="0" borderId="0" xfId="1" applyNumberFormat="1" applyFont="1" applyAlignment="1">
      <alignment vertical="top"/>
    </xf>
    <xf numFmtId="0" fontId="1" fillId="0" borderId="3" xfId="1" applyNumberFormat="1" applyFont="1" applyBorder="1" applyAlignment="1">
      <alignment vertical="top" wrapText="1"/>
    </xf>
    <xf numFmtId="4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 wrapText="1" indent="2"/>
    </xf>
    <xf numFmtId="0" fontId="1" fillId="0" borderId="3" xfId="1" applyNumberFormat="1" applyFont="1" applyBorder="1" applyAlignment="1">
      <alignment vertical="top" wrapText="1" indent="4"/>
    </xf>
    <xf numFmtId="0" fontId="1" fillId="0" borderId="3" xfId="1" applyNumberFormat="1" applyFont="1" applyBorder="1" applyAlignment="1">
      <alignment vertical="top" wrapText="1" indent="6"/>
    </xf>
    <xf numFmtId="0" fontId="6" fillId="2" borderId="3" xfId="1" applyNumberFormat="1" applyFont="1" applyFill="1" applyBorder="1" applyAlignment="1">
      <alignment vertical="top" wrapText="1"/>
    </xf>
    <xf numFmtId="0" fontId="3" fillId="2" borderId="3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Border="1" applyAlignment="1">
      <alignment horizontal="right" vertical="top"/>
    </xf>
    <xf numFmtId="9" fontId="7" fillId="0" borderId="3" xfId="1" applyNumberFormat="1" applyFont="1" applyBorder="1" applyAlignment="1">
      <alignment horizontal="right" vertical="top"/>
    </xf>
    <xf numFmtId="4" fontId="0" fillId="0" borderId="3" xfId="0" applyNumberFormat="1" applyBorder="1"/>
    <xf numFmtId="0" fontId="1" fillId="0" borderId="0" xfId="2"/>
    <xf numFmtId="0" fontId="5" fillId="0" borderId="0" xfId="2" applyNumberFormat="1" applyFont="1" applyAlignment="1">
      <alignment vertical="top"/>
    </xf>
    <xf numFmtId="0" fontId="6" fillId="0" borderId="0" xfId="2" applyNumberFormat="1" applyFont="1" applyAlignment="1">
      <alignment vertical="top"/>
    </xf>
    <xf numFmtId="0" fontId="6" fillId="2" borderId="2" xfId="2" applyNumberFormat="1" applyFont="1" applyFill="1" applyBorder="1" applyAlignment="1">
      <alignment vertical="top" wrapText="1"/>
    </xf>
    <xf numFmtId="0" fontId="8" fillId="3" borderId="2" xfId="2" applyNumberFormat="1" applyFont="1" applyFill="1" applyBorder="1" applyAlignment="1">
      <alignment vertical="top" wrapText="1"/>
    </xf>
    <xf numFmtId="0" fontId="8" fillId="3" borderId="2" xfId="2" applyNumberFormat="1" applyFont="1" applyFill="1" applyBorder="1" applyAlignment="1">
      <alignment vertical="top" wrapText="1" indent="2"/>
    </xf>
    <xf numFmtId="0" fontId="8" fillId="3" borderId="2" xfId="2" applyNumberFormat="1" applyFont="1" applyFill="1" applyBorder="1" applyAlignment="1">
      <alignment vertical="top" wrapText="1" indent="4"/>
    </xf>
    <xf numFmtId="0" fontId="8" fillId="3" borderId="2" xfId="2" applyNumberFormat="1" applyFont="1" applyFill="1" applyBorder="1" applyAlignment="1">
      <alignment vertical="top" wrapText="1" indent="6"/>
    </xf>
    <xf numFmtId="0" fontId="8" fillId="3" borderId="2" xfId="2" applyNumberFormat="1" applyFont="1" applyFill="1" applyBorder="1" applyAlignment="1">
      <alignment vertical="top" wrapText="1" indent="8"/>
    </xf>
    <xf numFmtId="0" fontId="1" fillId="0" borderId="2" xfId="2" applyNumberFormat="1" applyFont="1" applyBorder="1" applyAlignment="1">
      <alignment vertical="top" wrapText="1" indent="10"/>
    </xf>
    <xf numFmtId="0" fontId="8" fillId="3" borderId="2" xfId="2" applyNumberFormat="1" applyFont="1" applyFill="1" applyBorder="1" applyAlignment="1">
      <alignment vertical="top" wrapText="1" indent="10"/>
    </xf>
    <xf numFmtId="0" fontId="1" fillId="0" borderId="2" xfId="2" applyNumberFormat="1" applyFont="1" applyBorder="1" applyAlignment="1">
      <alignment vertical="top" wrapText="1" indent="12"/>
    </xf>
    <xf numFmtId="0" fontId="1" fillId="0" borderId="2" xfId="2" applyNumberFormat="1" applyFont="1" applyBorder="1" applyAlignment="1">
      <alignment vertical="top" wrapText="1" indent="8"/>
    </xf>
    <xf numFmtId="0" fontId="8" fillId="3" borderId="2" xfId="2" applyNumberFormat="1" applyFont="1" applyFill="1" applyBorder="1" applyAlignment="1">
      <alignment vertical="top" wrapText="1" indent="12"/>
    </xf>
    <xf numFmtId="0" fontId="1" fillId="0" borderId="2" xfId="2" applyNumberFormat="1" applyFont="1" applyBorder="1" applyAlignment="1">
      <alignment vertical="top" wrapText="1" indent="14"/>
    </xf>
    <xf numFmtId="0" fontId="1" fillId="0" borderId="2" xfId="2" applyNumberFormat="1" applyFont="1" applyBorder="1" applyAlignment="1">
      <alignment vertical="top" wrapText="1" indent="2"/>
    </xf>
    <xf numFmtId="0" fontId="6" fillId="2" borderId="2" xfId="2" applyNumberFormat="1" applyFont="1" applyFill="1" applyBorder="1" applyAlignment="1">
      <alignment vertical="top"/>
    </xf>
    <xf numFmtId="4" fontId="6" fillId="2" borderId="2" xfId="2" applyNumberFormat="1" applyFont="1" applyFill="1" applyBorder="1" applyAlignment="1">
      <alignment horizontal="right" vertical="top"/>
    </xf>
    <xf numFmtId="3" fontId="8" fillId="3" borderId="2" xfId="2" applyNumberFormat="1" applyFont="1" applyFill="1" applyBorder="1" applyAlignment="1">
      <alignment horizontal="right" vertical="top"/>
    </xf>
    <xf numFmtId="3" fontId="8" fillId="3" borderId="2" xfId="2" applyNumberFormat="1" applyFont="1" applyFill="1" applyBorder="1" applyAlignment="1">
      <alignment vertical="top"/>
    </xf>
    <xf numFmtId="3" fontId="1" fillId="0" borderId="2" xfId="2" applyNumberFormat="1" applyFont="1" applyBorder="1" applyAlignment="1">
      <alignment horizontal="right" vertical="top"/>
    </xf>
    <xf numFmtId="3" fontId="1" fillId="0" borderId="2" xfId="2" applyNumberFormat="1" applyFont="1" applyBorder="1" applyAlignment="1">
      <alignment vertical="top"/>
    </xf>
    <xf numFmtId="0" fontId="1" fillId="0" borderId="2" xfId="2" applyNumberFormat="1" applyFont="1" applyBorder="1" applyAlignment="1">
      <alignment vertical="top" wrapText="1"/>
    </xf>
    <xf numFmtId="0" fontId="9" fillId="0" borderId="0" xfId="0" applyFont="1"/>
    <xf numFmtId="0" fontId="7" fillId="0" borderId="0" xfId="1" applyFont="1"/>
    <xf numFmtId="0" fontId="10" fillId="0" borderId="0" xfId="1" applyNumberFormat="1" applyFont="1" applyAlignment="1">
      <alignment vertical="top"/>
    </xf>
    <xf numFmtId="0" fontId="7" fillId="8" borderId="10" xfId="1" applyNumberFormat="1" applyFont="1" applyFill="1" applyBorder="1" applyAlignment="1">
      <alignment horizontal="center" vertical="center" wrapText="1"/>
    </xf>
    <xf numFmtId="0" fontId="7" fillId="9" borderId="10" xfId="1" applyNumberFormat="1" applyFont="1" applyFill="1" applyBorder="1" applyAlignment="1">
      <alignment horizontal="center" vertical="center" wrapText="1"/>
    </xf>
    <xf numFmtId="0" fontId="7" fillId="7" borderId="10" xfId="1" applyNumberFormat="1" applyFont="1" applyFill="1" applyBorder="1" applyAlignment="1">
      <alignment horizontal="center" vertical="center" wrapText="1"/>
    </xf>
    <xf numFmtId="0" fontId="7" fillId="7" borderId="11" xfId="1" applyNumberFormat="1" applyFont="1" applyFill="1" applyBorder="1" applyAlignment="1">
      <alignment horizontal="center" vertical="center" wrapText="1"/>
    </xf>
    <xf numFmtId="0" fontId="10" fillId="0" borderId="28" xfId="1" applyNumberFormat="1" applyFont="1" applyBorder="1" applyAlignment="1">
      <alignment vertical="top" wrapText="1"/>
    </xf>
    <xf numFmtId="3" fontId="10" fillId="0" borderId="20" xfId="1" applyNumberFormat="1" applyFont="1" applyBorder="1" applyAlignment="1">
      <alignment horizontal="right" vertical="top"/>
    </xf>
    <xf numFmtId="9" fontId="7" fillId="0" borderId="20" xfId="1" applyNumberFormat="1" applyFont="1" applyBorder="1" applyAlignment="1">
      <alignment horizontal="right" vertical="top"/>
    </xf>
    <xf numFmtId="3" fontId="7" fillId="0" borderId="20" xfId="1" applyNumberFormat="1" applyFont="1" applyBorder="1" applyAlignment="1">
      <alignment horizontal="right" vertical="top"/>
    </xf>
    <xf numFmtId="0" fontId="7" fillId="0" borderId="29" xfId="1" applyNumberFormat="1" applyFont="1" applyBorder="1" applyAlignment="1">
      <alignment vertical="top" wrapText="1" indent="2"/>
    </xf>
    <xf numFmtId="0" fontId="10" fillId="6" borderId="30" xfId="1" applyNumberFormat="1" applyFont="1" applyFill="1" applyBorder="1" applyAlignment="1">
      <alignment vertical="top" wrapText="1" indent="4"/>
    </xf>
    <xf numFmtId="3" fontId="10" fillId="6" borderId="3" xfId="1" applyNumberFormat="1" applyFont="1" applyFill="1" applyBorder="1" applyAlignment="1">
      <alignment horizontal="right" vertical="top"/>
    </xf>
    <xf numFmtId="3" fontId="10" fillId="0" borderId="3" xfId="1" applyNumberFormat="1" applyFont="1" applyBorder="1" applyAlignment="1">
      <alignment horizontal="right" vertical="top"/>
    </xf>
    <xf numFmtId="0" fontId="7" fillId="0" borderId="28" xfId="1" applyNumberFormat="1" applyFont="1" applyBorder="1" applyAlignment="1">
      <alignment vertical="top" wrapText="1" indent="6"/>
    </xf>
    <xf numFmtId="0" fontId="7" fillId="0" borderId="31" xfId="1" applyNumberFormat="1" applyFont="1" applyBorder="1" applyAlignment="1">
      <alignment vertical="top" wrapText="1" indent="6"/>
    </xf>
    <xf numFmtId="0" fontId="7" fillId="0" borderId="29" xfId="1" applyNumberFormat="1" applyFont="1" applyBorder="1" applyAlignment="1">
      <alignment vertical="top" wrapText="1" indent="6"/>
    </xf>
    <xf numFmtId="0" fontId="10" fillId="6" borderId="4" xfId="1" applyNumberFormat="1" applyFont="1" applyFill="1" applyBorder="1" applyAlignment="1">
      <alignment vertical="top" wrapText="1" indent="4"/>
    </xf>
    <xf numFmtId="0" fontId="7" fillId="0" borderId="31" xfId="1" applyNumberFormat="1" applyFont="1" applyBorder="1" applyAlignment="1">
      <alignment vertical="top" wrapText="1" indent="4"/>
    </xf>
    <xf numFmtId="3" fontId="7" fillId="0" borderId="3" xfId="1" applyNumberFormat="1" applyFont="1" applyBorder="1" applyAlignment="1">
      <alignment vertical="top" wrapText="1" indent="4"/>
    </xf>
    <xf numFmtId="0" fontId="10" fillId="6" borderId="31" xfId="1" applyNumberFormat="1" applyFont="1" applyFill="1" applyBorder="1" applyAlignment="1">
      <alignment vertical="top" wrapText="1" indent="4"/>
    </xf>
    <xf numFmtId="0" fontId="10" fillId="6" borderId="27" xfId="1" applyNumberFormat="1" applyFont="1" applyFill="1" applyBorder="1" applyAlignment="1">
      <alignment vertical="top" wrapText="1" indent="4"/>
    </xf>
    <xf numFmtId="3" fontId="7" fillId="0" borderId="23" xfId="1" applyNumberFormat="1" applyFont="1" applyBorder="1" applyAlignment="1">
      <alignment horizontal="right" vertical="top"/>
    </xf>
    <xf numFmtId="9" fontId="7" fillId="0" borderId="23" xfId="1" applyNumberFormat="1" applyFont="1" applyBorder="1" applyAlignment="1">
      <alignment horizontal="right" vertical="top"/>
    </xf>
    <xf numFmtId="3" fontId="10" fillId="6" borderId="25" xfId="1" applyNumberFormat="1" applyFont="1" applyFill="1" applyBorder="1" applyAlignment="1">
      <alignment horizontal="right" vertical="top"/>
    </xf>
    <xf numFmtId="3" fontId="10" fillId="0" borderId="25" xfId="1" applyNumberFormat="1" applyFont="1" applyBorder="1" applyAlignment="1">
      <alignment horizontal="right" vertical="top"/>
    </xf>
    <xf numFmtId="9" fontId="7" fillId="0" borderId="25" xfId="1" applyNumberFormat="1" applyFont="1" applyBorder="1" applyAlignment="1">
      <alignment horizontal="right" vertical="top"/>
    </xf>
    <xf numFmtId="3" fontId="7" fillId="0" borderId="26" xfId="1" applyNumberFormat="1" applyFont="1" applyBorder="1" applyAlignment="1">
      <alignment horizontal="right" vertical="top"/>
    </xf>
    <xf numFmtId="3" fontId="10" fillId="6" borderId="17" xfId="1" applyNumberFormat="1" applyFont="1" applyFill="1" applyBorder="1" applyAlignment="1">
      <alignment horizontal="right" vertical="top"/>
    </xf>
    <xf numFmtId="3" fontId="10" fillId="0" borderId="17" xfId="1" applyNumberFormat="1" applyFont="1" applyBorder="1" applyAlignment="1">
      <alignment horizontal="right" vertical="top"/>
    </xf>
    <xf numFmtId="9" fontId="7" fillId="0" borderId="17" xfId="1" applyNumberFormat="1" applyFont="1" applyBorder="1" applyAlignment="1">
      <alignment horizontal="right" vertical="top"/>
    </xf>
    <xf numFmtId="3" fontId="7" fillId="0" borderId="18" xfId="1" applyNumberFormat="1" applyFont="1" applyBorder="1" applyAlignment="1">
      <alignment horizontal="right" vertical="top"/>
    </xf>
    <xf numFmtId="3" fontId="7" fillId="0" borderId="8" xfId="1" applyNumberFormat="1" applyFont="1" applyBorder="1" applyAlignment="1">
      <alignment horizontal="right" vertical="top"/>
    </xf>
    <xf numFmtId="3" fontId="10" fillId="6" borderId="10" xfId="1" applyNumberFormat="1" applyFont="1" applyFill="1" applyBorder="1" applyAlignment="1">
      <alignment horizontal="right" vertical="top"/>
    </xf>
    <xf numFmtId="3" fontId="10" fillId="0" borderId="10" xfId="1" applyNumberFormat="1" applyFont="1" applyBorder="1" applyAlignment="1">
      <alignment horizontal="right" vertical="top"/>
    </xf>
    <xf numFmtId="9" fontId="7" fillId="0" borderId="10" xfId="1" applyNumberFormat="1" applyFont="1" applyBorder="1" applyAlignment="1">
      <alignment horizontal="right" vertical="top"/>
    </xf>
    <xf numFmtId="3" fontId="7" fillId="0" borderId="11" xfId="1" applyNumberFormat="1" applyFont="1" applyBorder="1" applyAlignment="1">
      <alignment horizontal="right" vertical="top"/>
    </xf>
    <xf numFmtId="0" fontId="7" fillId="8" borderId="9" xfId="1" applyNumberFormat="1" applyFont="1" applyFill="1" applyBorder="1" applyAlignment="1">
      <alignment horizontal="center" vertical="center" wrapText="1"/>
    </xf>
    <xf numFmtId="0" fontId="7" fillId="8" borderId="11" xfId="1" applyNumberFormat="1" applyFont="1" applyFill="1" applyBorder="1" applyAlignment="1">
      <alignment horizontal="center" vertical="center" wrapText="1"/>
    </xf>
    <xf numFmtId="3" fontId="10" fillId="0" borderId="19" xfId="1" applyNumberFormat="1" applyFont="1" applyBorder="1" applyAlignment="1">
      <alignment horizontal="right" vertical="top"/>
    </xf>
    <xf numFmtId="3" fontId="7" fillId="0" borderId="21" xfId="1" applyNumberFormat="1" applyFont="1" applyBorder="1" applyAlignment="1">
      <alignment horizontal="right" vertical="top"/>
    </xf>
    <xf numFmtId="3" fontId="7" fillId="0" borderId="22" xfId="1" applyNumberFormat="1" applyFont="1" applyBorder="1" applyAlignment="1">
      <alignment horizontal="right" vertical="top"/>
    </xf>
    <xf numFmtId="3" fontId="7" fillId="0" borderId="24" xfId="1" applyNumberFormat="1" applyFont="1" applyBorder="1" applyAlignment="1">
      <alignment horizontal="right" vertical="top"/>
    </xf>
    <xf numFmtId="3" fontId="7" fillId="0" borderId="19" xfId="1" applyNumberFormat="1" applyFont="1" applyBorder="1" applyAlignment="1">
      <alignment horizontal="right" vertical="top"/>
    </xf>
    <xf numFmtId="3" fontId="7" fillId="0" borderId="7" xfId="1" applyNumberFormat="1" applyFont="1" applyBorder="1" applyAlignment="1">
      <alignment horizontal="right" vertical="top"/>
    </xf>
    <xf numFmtId="3" fontId="10" fillId="6" borderId="16" xfId="1" applyNumberFormat="1" applyFont="1" applyFill="1" applyBorder="1" applyAlignment="1">
      <alignment horizontal="right" vertical="top"/>
    </xf>
    <xf numFmtId="3" fontId="10" fillId="6" borderId="7" xfId="1" applyNumberFormat="1" applyFont="1" applyFill="1" applyBorder="1" applyAlignment="1">
      <alignment horizontal="right" vertical="top"/>
    </xf>
    <xf numFmtId="3" fontId="10" fillId="6" borderId="9" xfId="1" applyNumberFormat="1" applyFont="1" applyFill="1" applyBorder="1" applyAlignment="1">
      <alignment horizontal="right" vertical="top"/>
    </xf>
    <xf numFmtId="0" fontId="7" fillId="9" borderId="11" xfId="1" applyNumberFormat="1" applyFont="1" applyFill="1" applyBorder="1" applyAlignment="1">
      <alignment horizontal="center" vertical="center" wrapText="1"/>
    </xf>
    <xf numFmtId="3" fontId="10" fillId="0" borderId="21" xfId="1" applyNumberFormat="1" applyFont="1" applyBorder="1" applyAlignment="1">
      <alignment horizontal="right" vertical="top"/>
    </xf>
    <xf numFmtId="3" fontId="10" fillId="0" borderId="26" xfId="1" applyNumberFormat="1" applyFont="1" applyBorder="1" applyAlignment="1">
      <alignment horizontal="right" vertical="top"/>
    </xf>
    <xf numFmtId="3" fontId="10" fillId="0" borderId="18" xfId="1" applyNumberFormat="1" applyFont="1" applyBorder="1" applyAlignment="1">
      <alignment horizontal="right" vertical="top"/>
    </xf>
    <xf numFmtId="3" fontId="10" fillId="0" borderId="8" xfId="1" applyNumberFormat="1" applyFont="1" applyBorder="1" applyAlignment="1">
      <alignment horizontal="right" vertical="top"/>
    </xf>
    <xf numFmtId="3" fontId="10" fillId="0" borderId="11" xfId="1" applyNumberFormat="1" applyFont="1" applyBorder="1" applyAlignment="1">
      <alignment horizontal="right" vertical="top"/>
    </xf>
    <xf numFmtId="0" fontId="7" fillId="12" borderId="9" xfId="1" applyNumberFormat="1" applyFont="1" applyFill="1" applyBorder="1" applyAlignment="1">
      <alignment horizontal="center" vertical="center" wrapText="1"/>
    </xf>
    <xf numFmtId="0" fontId="7" fillId="12" borderId="10" xfId="1" applyNumberFormat="1" applyFont="1" applyFill="1" applyBorder="1" applyAlignment="1">
      <alignment horizontal="center" vertical="center" wrapText="1"/>
    </xf>
    <xf numFmtId="0" fontId="7" fillId="15" borderId="10" xfId="1" applyNumberFormat="1" applyFont="1" applyFill="1" applyBorder="1" applyAlignment="1">
      <alignment horizontal="center" vertical="center" wrapText="1"/>
    </xf>
    <xf numFmtId="3" fontId="9" fillId="0" borderId="0" xfId="0" applyNumberFormat="1" applyFont="1"/>
    <xf numFmtId="0" fontId="7" fillId="10" borderId="34" xfId="1" applyNumberFormat="1" applyFont="1" applyFill="1" applyBorder="1" applyAlignment="1">
      <alignment horizontal="center" vertical="center" wrapText="1"/>
    </xf>
    <xf numFmtId="9" fontId="10" fillId="0" borderId="19" xfId="1" applyNumberFormat="1" applyFont="1" applyBorder="1" applyAlignment="1">
      <alignment horizontal="right" vertical="top"/>
    </xf>
    <xf numFmtId="9" fontId="7" fillId="0" borderId="19" xfId="1" applyNumberFormat="1" applyFont="1" applyBorder="1" applyAlignment="1">
      <alignment horizontal="right" vertical="top"/>
    </xf>
    <xf numFmtId="0" fontId="7" fillId="7" borderId="36" xfId="1" applyNumberFormat="1" applyFont="1" applyFill="1" applyBorder="1" applyAlignment="1">
      <alignment horizontal="center" vertical="center" wrapText="1"/>
    </xf>
    <xf numFmtId="9" fontId="7" fillId="0" borderId="37" xfId="1" applyNumberFormat="1" applyFont="1" applyBorder="1" applyAlignment="1">
      <alignment horizontal="right" vertical="top"/>
    </xf>
    <xf numFmtId="9" fontId="7" fillId="0" borderId="12" xfId="1" applyNumberFormat="1" applyFont="1" applyBorder="1" applyAlignment="1">
      <alignment horizontal="right" vertical="top"/>
    </xf>
    <xf numFmtId="9" fontId="7" fillId="0" borderId="38" xfId="1" applyNumberFormat="1" applyFont="1" applyBorder="1" applyAlignment="1">
      <alignment horizontal="right" vertical="top"/>
    </xf>
    <xf numFmtId="9" fontId="7" fillId="0" borderId="39" xfId="1" applyNumberFormat="1" applyFont="1" applyBorder="1" applyAlignment="1">
      <alignment horizontal="right" vertical="top"/>
    </xf>
    <xf numFmtId="9" fontId="7" fillId="0" borderId="36" xfId="1" applyNumberFormat="1" applyFont="1" applyBorder="1" applyAlignment="1">
      <alignment horizontal="right" vertical="top"/>
    </xf>
    <xf numFmtId="0" fontId="7" fillId="10" borderId="40" xfId="1" applyNumberFormat="1" applyFont="1" applyFill="1" applyBorder="1" applyAlignment="1">
      <alignment horizontal="center" vertical="center" wrapText="1"/>
    </xf>
    <xf numFmtId="0" fontId="7" fillId="10" borderId="41" xfId="1" applyNumberFormat="1" applyFont="1" applyFill="1" applyBorder="1" applyAlignment="1">
      <alignment horizontal="center" vertical="center" wrapText="1"/>
    </xf>
    <xf numFmtId="9" fontId="10" fillId="0" borderId="21" xfId="1" applyNumberFormat="1" applyFont="1" applyBorder="1" applyAlignment="1">
      <alignment horizontal="right" vertical="top"/>
    </xf>
    <xf numFmtId="9" fontId="7" fillId="0" borderId="21" xfId="1" applyNumberFormat="1" applyFont="1" applyBorder="1" applyAlignment="1">
      <alignment horizontal="right" vertical="top"/>
    </xf>
    <xf numFmtId="9" fontId="7" fillId="0" borderId="8" xfId="1" applyNumberFormat="1" applyFont="1" applyBorder="1" applyAlignment="1">
      <alignment horizontal="right" vertical="top"/>
    </xf>
    <xf numFmtId="9" fontId="7" fillId="0" borderId="24" xfId="1" applyNumberFormat="1" applyFont="1" applyBorder="1" applyAlignment="1">
      <alignment horizontal="right" vertical="top"/>
    </xf>
    <xf numFmtId="9" fontId="10" fillId="0" borderId="18" xfId="1" applyNumberFormat="1" applyFont="1" applyBorder="1" applyAlignment="1">
      <alignment horizontal="right" vertical="top"/>
    </xf>
    <xf numFmtId="9" fontId="10" fillId="0" borderId="8" xfId="1" applyNumberFormat="1" applyFont="1" applyBorder="1" applyAlignment="1">
      <alignment horizontal="right" vertical="top"/>
    </xf>
    <xf numFmtId="9" fontId="7" fillId="0" borderId="40" xfId="1" applyNumberFormat="1" applyFont="1" applyBorder="1" applyAlignment="1">
      <alignment horizontal="right" vertical="top"/>
    </xf>
    <xf numFmtId="9" fontId="10" fillId="0" borderId="11" xfId="1" applyNumberFormat="1" applyFont="1" applyBorder="1" applyAlignment="1">
      <alignment horizontal="right" vertical="top"/>
    </xf>
    <xf numFmtId="0" fontId="7" fillId="9" borderId="32" xfId="1" applyNumberFormat="1" applyFont="1" applyFill="1" applyBorder="1" applyAlignment="1">
      <alignment horizontal="center" vertical="center" wrapText="1"/>
    </xf>
    <xf numFmtId="0" fontId="7" fillId="12" borderId="11" xfId="1" applyNumberFormat="1" applyFont="1" applyFill="1" applyBorder="1" applyAlignment="1">
      <alignment horizontal="center" vertical="center" wrapText="1"/>
    </xf>
    <xf numFmtId="0" fontId="7" fillId="15" borderId="9" xfId="1" applyNumberFormat="1" applyFont="1" applyFill="1" applyBorder="1" applyAlignment="1">
      <alignment horizontal="center" vertical="center" wrapText="1"/>
    </xf>
    <xf numFmtId="0" fontId="7" fillId="15" borderId="11" xfId="1" applyNumberFormat="1" applyFont="1" applyFill="1" applyBorder="1" applyAlignment="1">
      <alignment horizontal="center" vertical="center" wrapText="1"/>
    </xf>
    <xf numFmtId="3" fontId="9" fillId="0" borderId="3" xfId="0" applyNumberFormat="1" applyFont="1" applyBorder="1"/>
    <xf numFmtId="0" fontId="9" fillId="14" borderId="3" xfId="0" applyFont="1" applyFill="1" applyBorder="1" applyAlignment="1">
      <alignment horizontal="center" vertical="center" wrapText="1"/>
    </xf>
    <xf numFmtId="9" fontId="9" fillId="0" borderId="3" xfId="0" applyNumberFormat="1" applyFont="1" applyBorder="1"/>
    <xf numFmtId="0" fontId="9" fillId="0" borderId="3" xfId="0" applyFont="1" applyBorder="1" applyAlignment="1">
      <alignment wrapText="1"/>
    </xf>
    <xf numFmtId="0" fontId="9" fillId="16" borderId="3" xfId="0" applyFont="1" applyFill="1" applyBorder="1" applyAlignment="1">
      <alignment wrapText="1"/>
    </xf>
    <xf numFmtId="0" fontId="9" fillId="1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0" borderId="31" xfId="1" applyNumberFormat="1" applyFont="1" applyBorder="1" applyAlignment="1">
      <alignment vertical="top" wrapText="1"/>
    </xf>
    <xf numFmtId="0" fontId="7" fillId="0" borderId="28" xfId="1" applyNumberFormat="1" applyFont="1" applyBorder="1" applyAlignment="1">
      <alignment vertical="top" wrapText="1"/>
    </xf>
    <xf numFmtId="0" fontId="7" fillId="0" borderId="29" xfId="1" applyNumberFormat="1" applyFont="1" applyBorder="1" applyAlignment="1">
      <alignment vertical="top" wrapText="1"/>
    </xf>
    <xf numFmtId="0" fontId="7" fillId="16" borderId="31" xfId="1" applyNumberFormat="1" applyFont="1" applyFill="1" applyBorder="1" applyAlignment="1">
      <alignment vertical="top" wrapText="1" indent="6"/>
    </xf>
    <xf numFmtId="0" fontId="7" fillId="16" borderId="28" xfId="1" applyNumberFormat="1" applyFont="1" applyFill="1" applyBorder="1" applyAlignment="1">
      <alignment vertical="top" wrapText="1" indent="6"/>
    </xf>
    <xf numFmtId="0" fontId="7" fillId="16" borderId="29" xfId="1" applyNumberFormat="1" applyFont="1" applyFill="1" applyBorder="1" applyAlignment="1">
      <alignment vertical="top" wrapText="1" indent="6"/>
    </xf>
    <xf numFmtId="0" fontId="7" fillId="5" borderId="31" xfId="1" applyNumberFormat="1" applyFont="1" applyFill="1" applyBorder="1" applyAlignment="1">
      <alignment vertical="top" wrapText="1"/>
    </xf>
    <xf numFmtId="0" fontId="7" fillId="16" borderId="31" xfId="1" applyNumberFormat="1" applyFont="1" applyFill="1" applyBorder="1" applyAlignment="1">
      <alignment vertical="top" wrapText="1"/>
    </xf>
    <xf numFmtId="0" fontId="7" fillId="16" borderId="29" xfId="1" applyNumberFormat="1" applyFont="1" applyFill="1" applyBorder="1" applyAlignment="1">
      <alignment vertical="top" wrapText="1"/>
    </xf>
    <xf numFmtId="0" fontId="1" fillId="0" borderId="42" xfId="1" applyNumberFormat="1" applyFont="1" applyFill="1" applyBorder="1" applyAlignment="1">
      <alignment vertical="top" wrapText="1" indent="4"/>
    </xf>
    <xf numFmtId="0" fontId="13" fillId="0" borderId="0" xfId="3" applyNumberFormat="1" applyFont="1" applyAlignment="1">
      <alignment wrapText="1"/>
    </xf>
    <xf numFmtId="0" fontId="1" fillId="0" borderId="0" xfId="3"/>
    <xf numFmtId="0" fontId="4" fillId="0" borderId="0" xfId="3" applyNumberFormat="1" applyFont="1" applyAlignment="1">
      <alignment vertical="top" wrapText="1"/>
    </xf>
    <xf numFmtId="0" fontId="12" fillId="0" borderId="45" xfId="3" applyNumberFormat="1" applyFont="1" applyBorder="1" applyAlignment="1">
      <alignment vertical="top"/>
    </xf>
    <xf numFmtId="0" fontId="12" fillId="0" borderId="45" xfId="3" applyNumberFormat="1" applyFont="1" applyBorder="1" applyAlignment="1">
      <alignment vertical="top" wrapText="1"/>
    </xf>
    <xf numFmtId="0" fontId="12" fillId="0" borderId="45" xfId="3" applyNumberFormat="1" applyFont="1" applyBorder="1" applyAlignment="1">
      <alignment horizontal="left" vertical="top"/>
    </xf>
    <xf numFmtId="0" fontId="12" fillId="0" borderId="46" xfId="3" applyNumberFormat="1" applyFont="1" applyBorder="1" applyAlignment="1">
      <alignment horizontal="center" vertical="top"/>
    </xf>
    <xf numFmtId="0" fontId="12" fillId="0" borderId="47" xfId="3" applyNumberFormat="1" applyFont="1" applyBorder="1" applyAlignment="1">
      <alignment horizontal="right" vertical="top" wrapText="1"/>
    </xf>
    <xf numFmtId="0" fontId="16" fillId="17" borderId="46" xfId="3" applyNumberFormat="1" applyFont="1" applyFill="1" applyBorder="1" applyAlignment="1">
      <alignment horizontal="center" vertical="top"/>
    </xf>
    <xf numFmtId="2" fontId="16" fillId="17" borderId="47" xfId="3" applyNumberFormat="1" applyFont="1" applyFill="1" applyBorder="1" applyAlignment="1">
      <alignment horizontal="right" vertical="top" wrapText="1"/>
    </xf>
    <xf numFmtId="0" fontId="14" fillId="17" borderId="43" xfId="3" applyNumberFormat="1" applyFont="1" applyFill="1" applyBorder="1" applyAlignment="1">
      <alignment vertical="top"/>
    </xf>
    <xf numFmtId="0" fontId="14" fillId="17" borderId="1" xfId="3" applyNumberFormat="1" applyFont="1" applyFill="1" applyBorder="1" applyAlignment="1">
      <alignment vertical="top"/>
    </xf>
    <xf numFmtId="0" fontId="14" fillId="17" borderId="44" xfId="3" applyNumberFormat="1" applyFont="1" applyFill="1" applyBorder="1" applyAlignment="1">
      <alignment vertical="top"/>
    </xf>
    <xf numFmtId="0" fontId="17" fillId="11" borderId="7" xfId="0" applyFont="1" applyFill="1" applyBorder="1" applyAlignment="1">
      <alignment horizontal="center"/>
    </xf>
    <xf numFmtId="0" fontId="17" fillId="11" borderId="3" xfId="0" applyFont="1" applyFill="1" applyBorder="1" applyAlignment="1">
      <alignment wrapText="1"/>
    </xf>
    <xf numFmtId="0" fontId="17" fillId="11" borderId="8" xfId="0" applyFont="1" applyFill="1" applyBorder="1" applyAlignment="1">
      <alignment wrapText="1"/>
    </xf>
    <xf numFmtId="0" fontId="18" fillId="9" borderId="3" xfId="1" applyFont="1" applyFill="1" applyBorder="1" applyAlignment="1">
      <alignment horizontal="centerContinuous"/>
    </xf>
    <xf numFmtId="0" fontId="18" fillId="9" borderId="12" xfId="1" applyFont="1" applyFill="1" applyBorder="1" applyAlignment="1">
      <alignment horizontal="centerContinuous"/>
    </xf>
    <xf numFmtId="0" fontId="18" fillId="9" borderId="12" xfId="1" applyFont="1" applyFill="1" applyBorder="1" applyAlignment="1">
      <alignment horizontal="left"/>
    </xf>
    <xf numFmtId="4" fontId="0" fillId="0" borderId="7" xfId="0" applyNumberFormat="1" applyBorder="1"/>
    <xf numFmtId="10" fontId="0" fillId="0" borderId="3" xfId="0" applyNumberFormat="1" applyBorder="1"/>
    <xf numFmtId="0" fontId="18" fillId="18" borderId="3" xfId="1" applyFont="1" applyFill="1" applyBorder="1" applyAlignment="1">
      <alignment horizontal="center"/>
    </xf>
    <xf numFmtId="0" fontId="18" fillId="18" borderId="12" xfId="1" applyFont="1" applyFill="1" applyBorder="1" applyAlignment="1">
      <alignment horizontal="left"/>
    </xf>
    <xf numFmtId="4" fontId="0" fillId="18" borderId="7" xfId="0" applyNumberFormat="1" applyFill="1" applyBorder="1"/>
    <xf numFmtId="4" fontId="0" fillId="18" borderId="3" xfId="0" applyNumberFormat="1" applyFill="1" applyBorder="1"/>
    <xf numFmtId="10" fontId="0" fillId="18" borderId="3" xfId="0" applyNumberFormat="1" applyFill="1" applyBorder="1"/>
    <xf numFmtId="0" fontId="0" fillId="18" borderId="0" xfId="0" applyFill="1"/>
    <xf numFmtId="0" fontId="18" fillId="9" borderId="3" xfId="1" applyFont="1" applyFill="1" applyBorder="1" applyAlignment="1">
      <alignment horizontal="center"/>
    </xf>
    <xf numFmtId="3" fontId="0" fillId="0" borderId="0" xfId="0" applyNumberFormat="1"/>
    <xf numFmtId="0" fontId="19" fillId="4" borderId="7" xfId="0" applyNumberFormat="1" applyFont="1" applyFill="1" applyBorder="1" applyAlignment="1">
      <alignment horizontal="center" vertical="center" wrapText="1"/>
    </xf>
    <xf numFmtId="0" fontId="19" fillId="4" borderId="3" xfId="0" applyNumberFormat="1" applyFont="1" applyFill="1" applyBorder="1" applyAlignment="1">
      <alignment horizontal="center" vertical="center" wrapText="1"/>
    </xf>
    <xf numFmtId="0" fontId="19" fillId="4" borderId="8" xfId="0" applyNumberFormat="1" applyFont="1" applyFill="1" applyBorder="1" applyAlignment="1">
      <alignment horizontal="center" vertical="center" wrapText="1"/>
    </xf>
    <xf numFmtId="3" fontId="19" fillId="5" borderId="9" xfId="0" applyNumberFormat="1" applyFont="1" applyFill="1" applyBorder="1" applyAlignment="1">
      <alignment horizontal="center" vertical="center" wrapText="1"/>
    </xf>
    <xf numFmtId="3" fontId="19" fillId="5" borderId="10" xfId="0" applyNumberFormat="1" applyFont="1" applyFill="1" applyBorder="1" applyAlignment="1">
      <alignment horizontal="center" vertical="center" wrapText="1"/>
    </xf>
    <xf numFmtId="3" fontId="20" fillId="5" borderId="10" xfId="0" applyNumberFormat="1" applyFont="1" applyFill="1" applyBorder="1" applyAlignment="1">
      <alignment horizontal="center" vertical="center" wrapText="1"/>
    </xf>
    <xf numFmtId="3" fontId="20" fillId="5" borderId="11" xfId="0" applyNumberFormat="1" applyFont="1" applyFill="1" applyBorder="1" applyAlignment="1">
      <alignment horizontal="center" vertical="center" wrapText="1"/>
    </xf>
    <xf numFmtId="3" fontId="19" fillId="4" borderId="7" xfId="0" applyNumberFormat="1" applyFont="1" applyFill="1" applyBorder="1" applyAlignment="1">
      <alignment horizontal="center" vertical="center" wrapText="1"/>
    </xf>
    <xf numFmtId="3" fontId="19" fillId="4" borderId="3" xfId="0" applyNumberFormat="1" applyFont="1" applyFill="1" applyBorder="1" applyAlignment="1">
      <alignment horizontal="center" vertical="center" wrapText="1"/>
    </xf>
    <xf numFmtId="3" fontId="19" fillId="4" borderId="8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1" fillId="0" borderId="0" xfId="0" applyFont="1"/>
    <xf numFmtId="1" fontId="7" fillId="0" borderId="21" xfId="1" applyNumberFormat="1" applyFont="1" applyBorder="1" applyAlignment="1">
      <alignment horizontal="right" vertical="top"/>
    </xf>
    <xf numFmtId="0" fontId="23" fillId="4" borderId="3" xfId="1" applyNumberFormat="1" applyFont="1" applyFill="1" applyBorder="1" applyAlignment="1">
      <alignment horizontal="center" vertical="center" wrapText="1"/>
    </xf>
    <xf numFmtId="0" fontId="23" fillId="4" borderId="3" xfId="1" applyNumberFormat="1" applyFont="1" applyFill="1" applyBorder="1" applyAlignment="1">
      <alignment horizontal="center" vertical="center"/>
    </xf>
    <xf numFmtId="0" fontId="23" fillId="0" borderId="3" xfId="1" applyNumberFormat="1" applyFont="1" applyBorder="1" applyAlignment="1">
      <alignment vertical="top" wrapText="1" indent="4"/>
    </xf>
    <xf numFmtId="3" fontId="23" fillId="0" borderId="3" xfId="1" applyNumberFormat="1" applyFont="1" applyBorder="1" applyAlignment="1">
      <alignment horizontal="right" vertical="top"/>
    </xf>
    <xf numFmtId="4" fontId="23" fillId="0" borderId="3" xfId="1" applyNumberFormat="1" applyFont="1" applyBorder="1" applyAlignment="1">
      <alignment horizontal="right" vertical="top"/>
    </xf>
    <xf numFmtId="9" fontId="23" fillId="0" borderId="3" xfId="1" applyNumberFormat="1" applyFont="1" applyBorder="1" applyAlignment="1">
      <alignment horizontal="right" vertical="top"/>
    </xf>
    <xf numFmtId="0" fontId="23" fillId="2" borderId="0" xfId="1" applyNumberFormat="1" applyFont="1" applyFill="1" applyBorder="1" applyAlignment="1">
      <alignment horizontal="center" vertical="center"/>
    </xf>
    <xf numFmtId="0" fontId="23" fillId="2" borderId="3" xfId="1" applyNumberFormat="1" applyFont="1" applyFill="1" applyBorder="1" applyAlignment="1">
      <alignment horizontal="center" vertical="center" wrapText="1"/>
    </xf>
    <xf numFmtId="0" fontId="23" fillId="19" borderId="3" xfId="1" applyNumberFormat="1" applyFont="1" applyFill="1" applyBorder="1" applyAlignment="1">
      <alignment horizontal="center" vertical="center" wrapText="1"/>
    </xf>
    <xf numFmtId="9" fontId="23" fillId="0" borderId="3" xfId="4" applyFont="1" applyBorder="1" applyAlignment="1">
      <alignment horizontal="right" vertical="top"/>
    </xf>
    <xf numFmtId="4" fontId="26" fillId="0" borderId="3" xfId="1" applyNumberFormat="1" applyFont="1" applyBorder="1" applyAlignment="1">
      <alignment horizontal="right" vertical="top"/>
    </xf>
    <xf numFmtId="4" fontId="27" fillId="0" borderId="3" xfId="1" applyNumberFormat="1" applyFont="1" applyBorder="1" applyAlignment="1">
      <alignment horizontal="right" vertical="top"/>
    </xf>
    <xf numFmtId="0" fontId="26" fillId="0" borderId="3" xfId="1" applyNumberFormat="1" applyFont="1" applyBorder="1" applyAlignment="1">
      <alignment vertical="top" wrapText="1"/>
    </xf>
    <xf numFmtId="0" fontId="27" fillId="0" borderId="3" xfId="1" applyNumberFormat="1" applyFont="1" applyBorder="1" applyAlignment="1">
      <alignment vertical="top" wrapText="1"/>
    </xf>
    <xf numFmtId="0" fontId="28" fillId="4" borderId="3" xfId="1" applyNumberFormat="1" applyFont="1" applyFill="1" applyBorder="1" applyAlignment="1">
      <alignment vertical="top" wrapText="1" indent="6"/>
    </xf>
    <xf numFmtId="4" fontId="28" fillId="4" borderId="3" xfId="1" applyNumberFormat="1" applyFont="1" applyFill="1" applyBorder="1" applyAlignment="1">
      <alignment horizontal="right" vertical="top"/>
    </xf>
    <xf numFmtId="0" fontId="23" fillId="0" borderId="0" xfId="1" applyFont="1"/>
    <xf numFmtId="0" fontId="29" fillId="0" borderId="0" xfId="1" applyNumberFormat="1" applyFont="1" applyAlignment="1">
      <alignment vertical="top"/>
    </xf>
    <xf numFmtId="0" fontId="23" fillId="0" borderId="0" xfId="1" applyNumberFormat="1" applyFont="1" applyAlignment="1">
      <alignment vertical="top"/>
    </xf>
    <xf numFmtId="3" fontId="1" fillId="0" borderId="2" xfId="5" applyNumberFormat="1" applyFont="1" applyBorder="1" applyAlignment="1">
      <alignment horizontal="right" vertical="top"/>
    </xf>
    <xf numFmtId="0" fontId="3" fillId="2" borderId="2" xfId="5" applyNumberFormat="1" applyFont="1" applyFill="1" applyBorder="1" applyAlignment="1">
      <alignment vertical="top" wrapText="1"/>
    </xf>
    <xf numFmtId="0" fontId="3" fillId="2" borderId="1" xfId="5" applyNumberFormat="1" applyFont="1" applyFill="1" applyBorder="1" applyAlignment="1">
      <alignment vertical="top" wrapText="1"/>
    </xf>
    <xf numFmtId="0" fontId="4" fillId="3" borderId="2" xfId="5" applyNumberFormat="1" applyFont="1" applyFill="1" applyBorder="1" applyAlignment="1">
      <alignment horizontal="left" vertical="top" wrapText="1"/>
    </xf>
    <xf numFmtId="3" fontId="4" fillId="3" borderId="2" xfId="5" applyNumberFormat="1" applyFont="1" applyFill="1" applyBorder="1" applyAlignment="1">
      <alignment horizontal="right" vertical="top"/>
    </xf>
    <xf numFmtId="9" fontId="23" fillId="0" borderId="3" xfId="4" applyNumberFormat="1" applyFont="1" applyBorder="1" applyAlignment="1">
      <alignment horizontal="right" vertical="top"/>
    </xf>
    <xf numFmtId="4" fontId="0" fillId="0" borderId="0" xfId="0" applyNumberFormat="1"/>
    <xf numFmtId="4" fontId="4" fillId="3" borderId="2" xfId="6" applyNumberFormat="1" applyFont="1" applyFill="1" applyBorder="1" applyAlignment="1">
      <alignment horizontal="right" vertical="top"/>
    </xf>
    <xf numFmtId="0" fontId="4" fillId="3" borderId="2" xfId="6" applyNumberFormat="1" applyFont="1" applyFill="1" applyBorder="1" applyAlignment="1">
      <alignment vertical="top"/>
    </xf>
    <xf numFmtId="0" fontId="4" fillId="0" borderId="0" xfId="7" applyAlignment="1">
      <alignment horizontal="left"/>
    </xf>
    <xf numFmtId="0" fontId="4" fillId="0" borderId="0" xfId="7" applyAlignment="1"/>
    <xf numFmtId="0" fontId="2" fillId="0" borderId="0" xfId="7" applyNumberFormat="1" applyFont="1" applyAlignment="1">
      <alignment vertical="top"/>
    </xf>
    <xf numFmtId="0" fontId="4" fillId="0" borderId="0" xfId="7"/>
    <xf numFmtId="0" fontId="3" fillId="6" borderId="3" xfId="7" applyFont="1" applyFill="1" applyBorder="1" applyAlignment="1">
      <alignment horizontal="left" vertical="top" wrapText="1"/>
    </xf>
    <xf numFmtId="0" fontId="34" fillId="6" borderId="3" xfId="7" applyFont="1" applyFill="1" applyBorder="1" applyAlignment="1">
      <alignment horizontal="left" vertical="top" wrapText="1"/>
    </xf>
    <xf numFmtId="164" fontId="34" fillId="6" borderId="3" xfId="7" applyNumberFormat="1" applyFont="1" applyFill="1" applyBorder="1" applyAlignment="1">
      <alignment vertical="top"/>
    </xf>
    <xf numFmtId="3" fontId="34" fillId="6" borderId="3" xfId="7" applyNumberFormat="1" applyFont="1" applyFill="1" applyBorder="1" applyAlignment="1">
      <alignment vertical="top"/>
    </xf>
    <xf numFmtId="3" fontId="4" fillId="0" borderId="0" xfId="7" applyNumberFormat="1"/>
    <xf numFmtId="0" fontId="4" fillId="23" borderId="3" xfId="7" applyFont="1" applyFill="1" applyBorder="1" applyAlignment="1">
      <alignment horizontal="left" vertical="top" wrapText="1" indent="2"/>
    </xf>
    <xf numFmtId="164" fontId="4" fillId="23" borderId="3" xfId="7" applyNumberFormat="1" applyFont="1" applyFill="1" applyBorder="1" applyAlignment="1">
      <alignment vertical="top"/>
    </xf>
    <xf numFmtId="3" fontId="4" fillId="23" borderId="3" xfId="7" applyNumberFormat="1" applyFont="1" applyFill="1" applyBorder="1" applyAlignment="1">
      <alignment vertical="top"/>
    </xf>
    <xf numFmtId="0" fontId="34" fillId="6" borderId="3" xfId="7" applyFont="1" applyFill="1" applyBorder="1" applyAlignment="1">
      <alignment horizontal="left" vertical="top" wrapText="1" indent="4"/>
    </xf>
    <xf numFmtId="0" fontId="4" fillId="6" borderId="3" xfId="7" applyFont="1" applyFill="1" applyBorder="1" applyAlignment="1">
      <alignment horizontal="left" vertical="top" wrapText="1" indent="6"/>
    </xf>
    <xf numFmtId="164" fontId="4" fillId="6" borderId="3" xfId="7" applyNumberFormat="1" applyFont="1" applyFill="1" applyBorder="1" applyAlignment="1">
      <alignment vertical="top"/>
    </xf>
    <xf numFmtId="3" fontId="4" fillId="6" borderId="3" xfId="7" applyNumberFormat="1" applyFont="1" applyFill="1" applyBorder="1" applyAlignment="1">
      <alignment vertical="top"/>
    </xf>
    <xf numFmtId="0" fontId="4" fillId="23" borderId="3" xfId="7" applyFont="1" applyFill="1" applyBorder="1" applyAlignment="1">
      <alignment horizontal="left" vertical="top" wrapText="1" indent="8"/>
    </xf>
    <xf numFmtId="0" fontId="4" fillId="0" borderId="3" xfId="7" applyBorder="1" applyAlignment="1">
      <alignment horizontal="left" vertical="top" wrapText="1" indent="10"/>
    </xf>
    <xf numFmtId="164" fontId="4" fillId="0" borderId="3" xfId="7" applyNumberFormat="1" applyBorder="1" applyAlignment="1">
      <alignment vertical="top"/>
    </xf>
    <xf numFmtId="3" fontId="4" fillId="0" borderId="3" xfId="7" applyNumberFormat="1" applyBorder="1" applyAlignment="1">
      <alignment vertical="top"/>
    </xf>
    <xf numFmtId="0" fontId="4" fillId="23" borderId="3" xfId="7" applyFont="1" applyFill="1" applyBorder="1" applyAlignment="1">
      <alignment horizontal="left" vertical="top" wrapText="1" indent="10"/>
    </xf>
    <xf numFmtId="0" fontId="4" fillId="0" borderId="3" xfId="7" applyBorder="1" applyAlignment="1">
      <alignment horizontal="left" vertical="top" wrapText="1" indent="12"/>
    </xf>
    <xf numFmtId="0" fontId="4" fillId="0" borderId="3" xfId="7" applyBorder="1" applyAlignment="1">
      <alignment horizontal="left" vertical="top" wrapText="1" indent="8"/>
    </xf>
    <xf numFmtId="0" fontId="4" fillId="23" borderId="3" xfId="7" applyFont="1" applyFill="1" applyBorder="1" applyAlignment="1">
      <alignment horizontal="left" vertical="top" wrapText="1" indent="6"/>
    </xf>
    <xf numFmtId="0" fontId="4" fillId="23" borderId="3" xfId="7" applyFont="1" applyFill="1" applyBorder="1" applyAlignment="1">
      <alignment horizontal="left" vertical="top" wrapText="1" indent="12"/>
    </xf>
    <xf numFmtId="0" fontId="4" fillId="0" borderId="3" xfId="7" applyBorder="1" applyAlignment="1">
      <alignment horizontal="left" vertical="top" wrapText="1" indent="14"/>
    </xf>
    <xf numFmtId="0" fontId="4" fillId="5" borderId="3" xfId="7" applyFont="1" applyFill="1" applyBorder="1" applyAlignment="1">
      <alignment horizontal="left" vertical="top" wrapText="1" indent="4"/>
    </xf>
    <xf numFmtId="3" fontId="4" fillId="5" borderId="3" xfId="7" applyNumberFormat="1" applyFont="1" applyFill="1" applyBorder="1" applyAlignment="1">
      <alignment vertical="top"/>
    </xf>
    <xf numFmtId="0" fontId="34" fillId="6" borderId="3" xfId="7" applyFont="1" applyFill="1" applyBorder="1" applyAlignment="1">
      <alignment horizontal="left" vertical="top" wrapText="1" indent="6"/>
    </xf>
    <xf numFmtId="0" fontId="4" fillId="0" borderId="3" xfId="7" applyBorder="1" applyAlignment="1">
      <alignment horizontal="left" vertical="top" wrapText="1" indent="2"/>
    </xf>
    <xf numFmtId="0" fontId="35" fillId="0" borderId="50" xfId="0" applyFont="1" applyBorder="1" applyAlignment="1">
      <alignment horizontal="center" wrapText="1" readingOrder="1"/>
    </xf>
    <xf numFmtId="0" fontId="35" fillId="0" borderId="51" xfId="0" applyFont="1" applyBorder="1" applyAlignment="1">
      <alignment horizontal="center" wrapText="1" readingOrder="1"/>
    </xf>
    <xf numFmtId="0" fontId="35" fillId="0" borderId="52" xfId="0" applyFont="1" applyBorder="1" applyAlignment="1">
      <alignment horizontal="center" wrapText="1" readingOrder="1"/>
    </xf>
    <xf numFmtId="0" fontId="25" fillId="0" borderId="53" xfId="0" applyFont="1" applyBorder="1" applyAlignment="1">
      <alignment horizontal="left" wrapText="1" readingOrder="1"/>
    </xf>
    <xf numFmtId="3" fontId="25" fillId="0" borderId="54" xfId="0" applyNumberFormat="1" applyFont="1" applyBorder="1" applyAlignment="1">
      <alignment horizontal="center" wrapText="1" readingOrder="1"/>
    </xf>
    <xf numFmtId="9" fontId="25" fillId="0" borderId="55" xfId="0" applyNumberFormat="1" applyFont="1" applyBorder="1" applyAlignment="1">
      <alignment horizontal="center" wrapText="1" readingOrder="1"/>
    </xf>
    <xf numFmtId="0" fontId="36" fillId="0" borderId="56" xfId="0" applyFont="1" applyBorder="1" applyAlignment="1">
      <alignment horizontal="left" wrapText="1" readingOrder="1"/>
    </xf>
    <xf numFmtId="3" fontId="36" fillId="0" borderId="57" xfId="0" applyNumberFormat="1" applyFont="1" applyBorder="1" applyAlignment="1">
      <alignment horizontal="center" wrapText="1" readingOrder="1"/>
    </xf>
    <xf numFmtId="9" fontId="36" fillId="0" borderId="58" xfId="0" applyNumberFormat="1" applyFont="1" applyBorder="1" applyAlignment="1">
      <alignment horizontal="center" wrapText="1" readingOrder="1"/>
    </xf>
    <xf numFmtId="0" fontId="25" fillId="0" borderId="56" xfId="0" applyFont="1" applyBorder="1" applyAlignment="1">
      <alignment horizontal="left" wrapText="1" readingOrder="1"/>
    </xf>
    <xf numFmtId="3" fontId="25" fillId="0" borderId="57" xfId="0" applyNumberFormat="1" applyFont="1" applyBorder="1" applyAlignment="1">
      <alignment horizontal="center" wrapText="1" readingOrder="1"/>
    </xf>
    <xf numFmtId="9" fontId="25" fillId="0" borderId="58" xfId="0" applyNumberFormat="1" applyFont="1" applyBorder="1" applyAlignment="1">
      <alignment horizontal="center" wrapText="1" readingOrder="1"/>
    </xf>
    <xf numFmtId="0" fontId="36" fillId="0" borderId="59" xfId="0" applyFont="1" applyBorder="1" applyAlignment="1">
      <alignment horizontal="left" wrapText="1" readingOrder="1"/>
    </xf>
    <xf numFmtId="3" fontId="36" fillId="0" borderId="60" xfId="0" applyNumberFormat="1" applyFont="1" applyBorder="1" applyAlignment="1">
      <alignment horizontal="center" wrapText="1" readingOrder="1"/>
    </xf>
    <xf numFmtId="9" fontId="36" fillId="0" borderId="61" xfId="0" applyNumberFormat="1" applyFont="1" applyBorder="1" applyAlignment="1">
      <alignment horizontal="center" wrapText="1" readingOrder="1"/>
    </xf>
    <xf numFmtId="0" fontId="23" fillId="4" borderId="3" xfId="1" applyNumberFormat="1" applyFont="1" applyFill="1" applyBorder="1" applyAlignment="1">
      <alignment horizontal="center" vertical="center" wrapText="1"/>
    </xf>
    <xf numFmtId="0" fontId="34" fillId="6" borderId="3" xfId="7" applyFont="1" applyFill="1" applyBorder="1" applyAlignment="1">
      <alignment horizontal="center" vertical="center" wrapText="1"/>
    </xf>
    <xf numFmtId="3" fontId="4" fillId="3" borderId="2" xfId="5" applyNumberFormat="1" applyFont="1" applyFill="1" applyBorder="1" applyAlignment="1">
      <alignment horizontal="left" vertical="top" wrapText="1"/>
    </xf>
    <xf numFmtId="0" fontId="7" fillId="0" borderId="62" xfId="1" applyNumberFormat="1" applyFont="1" applyBorder="1" applyAlignment="1">
      <alignment vertical="top" wrapText="1" indent="6"/>
    </xf>
    <xf numFmtId="3" fontId="7" fillId="0" borderId="42" xfId="1" applyNumberFormat="1" applyFont="1" applyBorder="1" applyAlignment="1">
      <alignment horizontal="right" vertical="top"/>
    </xf>
    <xf numFmtId="9" fontId="7" fillId="0" borderId="42" xfId="1" applyNumberFormat="1" applyFont="1" applyBorder="1" applyAlignment="1">
      <alignment horizontal="right" vertical="top"/>
    </xf>
    <xf numFmtId="3" fontId="7" fillId="0" borderId="63" xfId="1" applyNumberFormat="1" applyFont="1" applyBorder="1" applyAlignment="1">
      <alignment horizontal="right" vertical="top"/>
    </xf>
    <xf numFmtId="3" fontId="7" fillId="0" borderId="3" xfId="1" applyNumberFormat="1" applyFont="1" applyBorder="1" applyAlignment="1">
      <alignment horizontal="right" vertical="top" wrapText="1" indent="4"/>
    </xf>
    <xf numFmtId="3" fontId="7" fillId="0" borderId="3" xfId="1" applyNumberFormat="1" applyFont="1" applyBorder="1" applyAlignment="1">
      <alignment vertical="center" wrapText="1"/>
    </xf>
    <xf numFmtId="3" fontId="10" fillId="0" borderId="20" xfId="1" applyNumberFormat="1" applyFont="1" applyBorder="1" applyAlignment="1">
      <alignment vertical="center"/>
    </xf>
    <xf numFmtId="3" fontId="7" fillId="0" borderId="23" xfId="1" applyNumberFormat="1" applyFont="1" applyBorder="1" applyAlignment="1">
      <alignment vertical="center"/>
    </xf>
    <xf numFmtId="3" fontId="10" fillId="6" borderId="25" xfId="1" applyNumberFormat="1" applyFont="1" applyFill="1" applyBorder="1" applyAlignment="1">
      <alignment vertical="center"/>
    </xf>
    <xf numFmtId="3" fontId="7" fillId="0" borderId="20" xfId="1" applyNumberFormat="1" applyFont="1" applyBorder="1" applyAlignment="1">
      <alignment vertical="center"/>
    </xf>
    <xf numFmtId="3" fontId="7" fillId="0" borderId="3" xfId="1" applyNumberFormat="1" applyFont="1" applyBorder="1" applyAlignment="1">
      <alignment vertical="center"/>
    </xf>
    <xf numFmtId="3" fontId="7" fillId="0" borderId="42" xfId="1" applyNumberFormat="1" applyFont="1" applyBorder="1" applyAlignment="1">
      <alignment vertical="center"/>
    </xf>
    <xf numFmtId="3" fontId="10" fillId="6" borderId="17" xfId="1" applyNumberFormat="1" applyFont="1" applyFill="1" applyBorder="1" applyAlignment="1">
      <alignment vertical="center"/>
    </xf>
    <xf numFmtId="3" fontId="10" fillId="6" borderId="3" xfId="1" applyNumberFormat="1" applyFont="1" applyFill="1" applyBorder="1" applyAlignment="1">
      <alignment vertical="center"/>
    </xf>
    <xf numFmtId="3" fontId="10" fillId="6" borderId="10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3" borderId="2" xfId="8" applyNumberFormat="1" applyFont="1" applyFill="1" applyBorder="1" applyAlignment="1">
      <alignment horizontal="left" vertical="top" wrapText="1"/>
    </xf>
    <xf numFmtId="10" fontId="0" fillId="0" borderId="0" xfId="4" applyNumberFormat="1" applyFont="1"/>
    <xf numFmtId="3" fontId="34" fillId="6" borderId="3" xfId="0" applyNumberFormat="1" applyFont="1" applyFill="1" applyBorder="1" applyAlignment="1">
      <alignment vertical="top"/>
    </xf>
    <xf numFmtId="3" fontId="4" fillId="23" borderId="3" xfId="0" applyNumberFormat="1" applyFont="1" applyFill="1" applyBorder="1" applyAlignment="1">
      <alignment vertical="top"/>
    </xf>
    <xf numFmtId="3" fontId="4" fillId="6" borderId="3" xfId="0" applyNumberFormat="1" applyFont="1" applyFill="1" applyBorder="1" applyAlignment="1">
      <alignment vertical="top"/>
    </xf>
    <xf numFmtId="3" fontId="39" fillId="0" borderId="3" xfId="0" applyNumberFormat="1" applyFont="1" applyBorder="1" applyAlignment="1">
      <alignment vertical="top"/>
    </xf>
    <xf numFmtId="0" fontId="4" fillId="0" borderId="0" xfId="7" applyFont="1" applyAlignment="1">
      <alignment horizontal="left"/>
    </xf>
    <xf numFmtId="3" fontId="4" fillId="0" borderId="0" xfId="7" applyNumberFormat="1" applyFont="1" applyAlignment="1">
      <alignment horizontal="left"/>
    </xf>
    <xf numFmtId="0" fontId="34" fillId="6" borderId="3" xfId="7" applyFont="1" applyFill="1" applyBorder="1" applyAlignment="1">
      <alignment horizontal="center" vertical="center"/>
    </xf>
    <xf numFmtId="0" fontId="37" fillId="20" borderId="49" xfId="0" applyFont="1" applyFill="1" applyBorder="1" applyAlignment="1">
      <alignment horizontal="center" vertical="center" wrapText="1"/>
    </xf>
    <xf numFmtId="0" fontId="30" fillId="20" borderId="49" xfId="0" applyFont="1" applyFill="1" applyBorder="1" applyAlignment="1">
      <alignment horizontal="center" vertical="center" wrapText="1" readingOrder="1"/>
    </xf>
    <xf numFmtId="0" fontId="30" fillId="0" borderId="49" xfId="0" applyFont="1" applyBorder="1" applyAlignment="1">
      <alignment horizontal="left" vertical="center" wrapText="1" readingOrder="1"/>
    </xf>
    <xf numFmtId="3" fontId="30" fillId="0" borderId="49" xfId="0" applyNumberFormat="1" applyFont="1" applyBorder="1" applyAlignment="1">
      <alignment horizontal="center" vertical="center" wrapText="1" readingOrder="1"/>
    </xf>
    <xf numFmtId="9" fontId="31" fillId="0" borderId="49" xfId="0" applyNumberFormat="1" applyFont="1" applyBorder="1" applyAlignment="1">
      <alignment horizontal="center" vertical="center" wrapText="1" readingOrder="1"/>
    </xf>
    <xf numFmtId="3" fontId="31" fillId="0" borderId="49" xfId="0" applyNumberFormat="1" applyFont="1" applyBorder="1" applyAlignment="1">
      <alignment horizontal="center" vertical="center" wrapText="1" readingOrder="1"/>
    </xf>
    <xf numFmtId="0" fontId="32" fillId="0" borderId="0" xfId="0" applyFont="1" applyFill="1" applyBorder="1" applyAlignment="1">
      <alignment horizontal="center" vertical="top" wrapText="1" readingOrder="1"/>
    </xf>
    <xf numFmtId="4" fontId="38" fillId="0" borderId="0" xfId="0" applyNumberFormat="1" applyFont="1" applyFill="1" applyBorder="1" applyAlignment="1">
      <alignment horizontal="center" vertical="top" wrapText="1" readingOrder="1"/>
    </xf>
    <xf numFmtId="4" fontId="33" fillId="0" borderId="0" xfId="0" applyNumberFormat="1" applyFont="1" applyFill="1" applyBorder="1" applyAlignment="1">
      <alignment horizontal="center" vertical="top" wrapText="1" readingOrder="1"/>
    </xf>
    <xf numFmtId="0" fontId="43" fillId="0" borderId="0" xfId="0" applyFont="1" applyAlignment="1">
      <alignment horizontal="center" vertical="center"/>
    </xf>
    <xf numFmtId="0" fontId="40" fillId="0" borderId="49" xfId="0" applyFont="1" applyBorder="1" applyAlignment="1">
      <alignment horizontal="center" vertical="center" wrapText="1"/>
    </xf>
    <xf numFmtId="0" fontId="41" fillId="21" borderId="49" xfId="0" applyFont="1" applyFill="1" applyBorder="1" applyAlignment="1">
      <alignment horizontal="center" vertical="center" wrapText="1" readingOrder="1"/>
    </xf>
    <xf numFmtId="0" fontId="40" fillId="10" borderId="49" xfId="0" applyFont="1" applyFill="1" applyBorder="1" applyAlignment="1">
      <alignment horizontal="center" vertical="center"/>
    </xf>
    <xf numFmtId="0" fontId="40" fillId="0" borderId="49" xfId="0" applyFont="1" applyBorder="1" applyAlignment="1">
      <alignment horizontal="center" vertical="center"/>
    </xf>
    <xf numFmtId="0" fontId="25" fillId="0" borderId="49" xfId="0" applyFont="1" applyBorder="1" applyAlignment="1">
      <alignment horizontal="left" vertical="center" wrapText="1" readingOrder="1"/>
    </xf>
    <xf numFmtId="4" fontId="25" fillId="0" borderId="49" xfId="0" applyNumberFormat="1" applyFont="1" applyBorder="1" applyAlignment="1">
      <alignment horizontal="center" vertical="center" wrapText="1" readingOrder="1"/>
    </xf>
    <xf numFmtId="0" fontId="42" fillId="0" borderId="49" xfId="0" applyFont="1" applyBorder="1" applyAlignment="1">
      <alignment horizontal="left" vertical="center" wrapText="1" readingOrder="1"/>
    </xf>
    <xf numFmtId="4" fontId="42" fillId="0" borderId="49" xfId="0" applyNumberFormat="1" applyFont="1" applyBorder="1" applyAlignment="1">
      <alignment horizontal="center" vertical="center" wrapText="1" readingOrder="1"/>
    </xf>
    <xf numFmtId="0" fontId="40" fillId="10" borderId="49" xfId="0" applyFont="1" applyFill="1" applyBorder="1" applyAlignment="1">
      <alignment vertical="center"/>
    </xf>
    <xf numFmtId="4" fontId="40" fillId="10" borderId="49" xfId="0" applyNumberFormat="1" applyFont="1" applyFill="1" applyBorder="1" applyAlignment="1">
      <alignment horizontal="center" vertical="center"/>
    </xf>
    <xf numFmtId="4" fontId="25" fillId="10" borderId="49" xfId="0" applyNumberFormat="1" applyFont="1" applyFill="1" applyBorder="1" applyAlignment="1">
      <alignment horizontal="center" vertical="center"/>
    </xf>
    <xf numFmtId="0" fontId="41" fillId="21" borderId="49" xfId="0" applyFont="1" applyFill="1" applyBorder="1" applyAlignment="1">
      <alignment horizontal="left" vertical="center" wrapText="1" readingOrder="1"/>
    </xf>
    <xf numFmtId="3" fontId="42" fillId="0" borderId="49" xfId="0" applyNumberFormat="1" applyFont="1" applyBorder="1" applyAlignment="1">
      <alignment horizontal="left" vertical="center" wrapText="1" readingOrder="1"/>
    </xf>
    <xf numFmtId="0" fontId="40" fillId="6" borderId="49" xfId="0" applyFont="1" applyFill="1" applyBorder="1" applyAlignment="1">
      <alignment vertical="center"/>
    </xf>
    <xf numFmtId="4" fontId="40" fillId="6" borderId="49" xfId="0" applyNumberFormat="1" applyFont="1" applyFill="1" applyBorder="1" applyAlignment="1">
      <alignment horizontal="center" vertical="center"/>
    </xf>
    <xf numFmtId="0" fontId="4" fillId="0" borderId="0" xfId="7" applyAlignment="1">
      <alignment horizontal="center"/>
    </xf>
    <xf numFmtId="9" fontId="4" fillId="0" borderId="0" xfId="4" applyFont="1"/>
    <xf numFmtId="9" fontId="4" fillId="0" borderId="0" xfId="4" applyNumberFormat="1" applyFont="1"/>
    <xf numFmtId="0" fontId="34" fillId="6" borderId="14" xfId="7" applyFont="1" applyFill="1" applyBorder="1" applyAlignment="1">
      <alignment horizontal="center" vertical="center" wrapText="1"/>
    </xf>
    <xf numFmtId="9" fontId="4" fillId="0" borderId="0" xfId="7" applyNumberFormat="1"/>
    <xf numFmtId="3" fontId="4" fillId="24" borderId="3" xfId="7" applyNumberFormat="1" applyFill="1" applyBorder="1" applyAlignment="1">
      <alignment vertical="top"/>
    </xf>
    <xf numFmtId="3" fontId="4" fillId="24" borderId="3" xfId="7" applyNumberFormat="1" applyFont="1" applyFill="1" applyBorder="1" applyAlignment="1">
      <alignment vertical="top"/>
    </xf>
    <xf numFmtId="3" fontId="34" fillId="24" borderId="3" xfId="7" applyNumberFormat="1" applyFont="1" applyFill="1" applyBorder="1" applyAlignment="1">
      <alignment vertical="top"/>
    </xf>
    <xf numFmtId="3" fontId="4" fillId="0" borderId="3" xfId="7" applyNumberFormat="1" applyFont="1" applyFill="1" applyBorder="1" applyAlignment="1">
      <alignment vertical="top"/>
    </xf>
    <xf numFmtId="0" fontId="34" fillId="6" borderId="14" xfId="7" applyFont="1" applyFill="1" applyBorder="1" applyAlignment="1">
      <alignment horizontal="center" vertical="center" wrapText="1"/>
    </xf>
    <xf numFmtId="0" fontId="23" fillId="4" borderId="3" xfId="1" applyNumberFormat="1" applyFont="1" applyFill="1" applyBorder="1" applyAlignment="1">
      <alignment horizontal="center" vertical="center"/>
    </xf>
    <xf numFmtId="0" fontId="23" fillId="4" borderId="3" xfId="1" applyNumberFormat="1" applyFont="1" applyFill="1" applyBorder="1" applyAlignment="1">
      <alignment horizontal="center" vertical="center" wrapText="1"/>
    </xf>
    <xf numFmtId="0" fontId="34" fillId="6" borderId="14" xfId="7" applyFont="1" applyFill="1" applyBorder="1" applyAlignment="1">
      <alignment horizontal="center" vertical="center" wrapText="1"/>
    </xf>
    <xf numFmtId="165" fontId="7" fillId="0" borderId="21" xfId="1" applyNumberFormat="1" applyFont="1" applyBorder="1" applyAlignment="1">
      <alignment horizontal="right" vertical="top"/>
    </xf>
    <xf numFmtId="0" fontId="23" fillId="4" borderId="3" xfId="1" applyNumberFormat="1" applyFont="1" applyFill="1" applyBorder="1" applyAlignment="1">
      <alignment horizontal="center" vertical="center" wrapText="1"/>
    </xf>
    <xf numFmtId="3" fontId="4" fillId="3" borderId="2" xfId="9" applyNumberFormat="1" applyFont="1" applyFill="1" applyBorder="1" applyAlignment="1">
      <alignment horizontal="right" vertical="top"/>
    </xf>
    <xf numFmtId="3" fontId="10" fillId="0" borderId="20" xfId="1" applyNumberFormat="1" applyFont="1" applyBorder="1" applyAlignment="1">
      <alignment vertical="top"/>
    </xf>
    <xf numFmtId="3" fontId="7" fillId="0" borderId="23" xfId="1" applyNumberFormat="1" applyFont="1" applyBorder="1" applyAlignment="1">
      <alignment vertical="top"/>
    </xf>
    <xf numFmtId="3" fontId="10" fillId="6" borderId="25" xfId="1" applyNumberFormat="1" applyFont="1" applyFill="1" applyBorder="1" applyAlignment="1">
      <alignment vertical="top"/>
    </xf>
    <xf numFmtId="3" fontId="7" fillId="0" borderId="20" xfId="1" applyNumberFormat="1" applyFont="1" applyBorder="1" applyAlignment="1">
      <alignment vertical="top"/>
    </xf>
    <xf numFmtId="3" fontId="7" fillId="0" borderId="3" xfId="1" applyNumberFormat="1" applyFont="1" applyBorder="1" applyAlignment="1">
      <alignment vertical="top"/>
    </xf>
    <xf numFmtId="3" fontId="7" fillId="0" borderId="42" xfId="1" applyNumberFormat="1" applyFont="1" applyBorder="1" applyAlignment="1">
      <alignment vertical="top"/>
    </xf>
    <xf numFmtId="3" fontId="10" fillId="6" borderId="17" xfId="1" applyNumberFormat="1" applyFont="1" applyFill="1" applyBorder="1" applyAlignment="1">
      <alignment vertical="top"/>
    </xf>
    <xf numFmtId="3" fontId="10" fillId="6" borderId="3" xfId="1" applyNumberFormat="1" applyFont="1" applyFill="1" applyBorder="1" applyAlignment="1">
      <alignment vertical="top"/>
    </xf>
    <xf numFmtId="3" fontId="7" fillId="0" borderId="3" xfId="1" applyNumberFormat="1" applyFont="1" applyBorder="1" applyAlignment="1">
      <alignment vertical="top" wrapText="1"/>
    </xf>
    <xf numFmtId="3" fontId="10" fillId="6" borderId="10" xfId="1" applyNumberFormat="1" applyFont="1" applyFill="1" applyBorder="1" applyAlignment="1">
      <alignment vertical="top"/>
    </xf>
    <xf numFmtId="164" fontId="23" fillId="0" borderId="3" xfId="1" applyNumberFormat="1" applyFont="1" applyBorder="1" applyAlignment="1">
      <alignment horizontal="right" vertical="top"/>
    </xf>
    <xf numFmtId="4" fontId="25" fillId="25" borderId="49" xfId="0" applyNumberFormat="1" applyFont="1" applyFill="1" applyBorder="1" applyAlignment="1">
      <alignment horizontal="center" vertical="center" wrapText="1" readingOrder="1"/>
    </xf>
    <xf numFmtId="4" fontId="25" fillId="0" borderId="49" xfId="0" applyNumberFormat="1" applyFont="1" applyFill="1" applyBorder="1" applyAlignment="1">
      <alignment horizontal="center" vertical="center" wrapText="1" readingOrder="1"/>
    </xf>
    <xf numFmtId="4" fontId="4" fillId="3" borderId="2" xfId="10" applyNumberFormat="1" applyFont="1" applyFill="1" applyBorder="1" applyAlignment="1">
      <alignment horizontal="right" vertical="top"/>
    </xf>
    <xf numFmtId="4" fontId="1" fillId="0" borderId="2" xfId="10" applyNumberFormat="1" applyFont="1" applyBorder="1" applyAlignment="1">
      <alignment horizontal="right" vertical="top"/>
    </xf>
    <xf numFmtId="4" fontId="4" fillId="3" borderId="2" xfId="11" applyNumberFormat="1" applyFont="1" applyFill="1" applyBorder="1" applyAlignment="1">
      <alignment horizontal="right" vertical="top"/>
    </xf>
    <xf numFmtId="4" fontId="1" fillId="0" borderId="2" xfId="11" applyNumberFormat="1" applyFont="1" applyBorder="1" applyAlignment="1">
      <alignment horizontal="right" vertical="top"/>
    </xf>
    <xf numFmtId="4" fontId="4" fillId="3" borderId="2" xfId="12" applyNumberFormat="1" applyFont="1" applyFill="1" applyBorder="1" applyAlignment="1">
      <alignment horizontal="right" vertical="top"/>
    </xf>
    <xf numFmtId="4" fontId="1" fillId="0" borderId="2" xfId="12" applyNumberFormat="1" applyFont="1" applyBorder="1" applyAlignment="1">
      <alignment horizontal="right" vertical="top"/>
    </xf>
    <xf numFmtId="4" fontId="4" fillId="3" borderId="2" xfId="13" applyNumberFormat="1" applyFont="1" applyFill="1" applyBorder="1" applyAlignment="1">
      <alignment horizontal="right" vertical="top"/>
    </xf>
    <xf numFmtId="4" fontId="1" fillId="0" borderId="2" xfId="13" applyNumberFormat="1" applyFont="1" applyBorder="1" applyAlignment="1">
      <alignment horizontal="right" vertical="top"/>
    </xf>
    <xf numFmtId="4" fontId="4" fillId="3" borderId="2" xfId="14" applyNumberFormat="1" applyFont="1" applyFill="1" applyBorder="1" applyAlignment="1">
      <alignment horizontal="right" vertical="top"/>
    </xf>
    <xf numFmtId="4" fontId="1" fillId="0" borderId="2" xfId="14" applyNumberFormat="1" applyFont="1" applyBorder="1" applyAlignment="1">
      <alignment horizontal="right" vertical="top"/>
    </xf>
    <xf numFmtId="4" fontId="4" fillId="3" borderId="2" xfId="15" applyNumberFormat="1" applyFont="1" applyFill="1" applyBorder="1" applyAlignment="1">
      <alignment horizontal="right" vertical="top"/>
    </xf>
    <xf numFmtId="4" fontId="1" fillId="0" borderId="2" xfId="15" applyNumberFormat="1" applyFont="1" applyBorder="1" applyAlignment="1">
      <alignment horizontal="right" vertical="top"/>
    </xf>
    <xf numFmtId="4" fontId="4" fillId="3" borderId="2" xfId="16" applyNumberFormat="1" applyFont="1" applyFill="1" applyBorder="1" applyAlignment="1">
      <alignment horizontal="right" vertical="top"/>
    </xf>
    <xf numFmtId="4" fontId="1" fillId="0" borderId="2" xfId="16" applyNumberFormat="1" applyFont="1" applyBorder="1" applyAlignment="1">
      <alignment horizontal="right" vertical="top"/>
    </xf>
    <xf numFmtId="4" fontId="1" fillId="0" borderId="2" xfId="6" applyNumberFormat="1" applyFont="1" applyBorder="1" applyAlignment="1">
      <alignment horizontal="right" vertical="top"/>
    </xf>
    <xf numFmtId="3" fontId="4" fillId="5" borderId="3" xfId="0" applyNumberFormat="1" applyFont="1" applyFill="1" applyBorder="1" applyAlignment="1">
      <alignment vertical="top"/>
    </xf>
    <xf numFmtId="4" fontId="4" fillId="3" borderId="2" xfId="17" applyNumberFormat="1" applyFont="1" applyFill="1" applyBorder="1" applyAlignment="1">
      <alignment horizontal="right" vertical="top"/>
    </xf>
    <xf numFmtId="4" fontId="1" fillId="0" borderId="2" xfId="17" applyNumberFormat="1" applyFont="1" applyBorder="1" applyAlignment="1">
      <alignment horizontal="right" vertical="top"/>
    </xf>
    <xf numFmtId="0" fontId="1" fillId="0" borderId="2" xfId="17" applyNumberFormat="1" applyFont="1" applyBorder="1" applyAlignment="1">
      <alignment vertical="top"/>
    </xf>
    <xf numFmtId="0" fontId="1" fillId="0" borderId="2" xfId="17" applyNumberFormat="1" applyFont="1" applyBorder="1" applyAlignment="1">
      <alignment horizontal="right" vertical="top"/>
    </xf>
    <xf numFmtId="2" fontId="1" fillId="0" borderId="2" xfId="17" applyNumberFormat="1" applyFont="1" applyBorder="1" applyAlignment="1">
      <alignment horizontal="right" vertical="top"/>
    </xf>
    <xf numFmtId="0" fontId="4" fillId="3" borderId="2" xfId="17" applyNumberFormat="1" applyFont="1" applyFill="1" applyBorder="1" applyAlignment="1">
      <alignment horizontal="right" vertical="top"/>
    </xf>
    <xf numFmtId="3" fontId="4" fillId="16" borderId="3" xfId="7" applyNumberFormat="1" applyFont="1" applyFill="1" applyBorder="1" applyAlignment="1">
      <alignment vertical="top"/>
    </xf>
    <xf numFmtId="3" fontId="4" fillId="16" borderId="3" xfId="7" applyNumberFormat="1" applyFill="1" applyBorder="1" applyAlignment="1">
      <alignment vertical="top"/>
    </xf>
    <xf numFmtId="3" fontId="34" fillId="16" borderId="3" xfId="7" applyNumberFormat="1" applyFont="1" applyFill="1" applyBorder="1" applyAlignment="1">
      <alignment vertical="top"/>
    </xf>
    <xf numFmtId="0" fontId="44" fillId="0" borderId="0" xfId="18" applyAlignment="1">
      <alignment horizontal="left"/>
    </xf>
    <xf numFmtId="0" fontId="45" fillId="0" borderId="0" xfId="18" applyFont="1" applyAlignment="1">
      <alignment horizontal="left" vertical="top"/>
    </xf>
    <xf numFmtId="0" fontId="44" fillId="0" borderId="0" xfId="18"/>
    <xf numFmtId="0" fontId="46" fillId="0" borderId="0" xfId="18" applyFont="1" applyAlignment="1">
      <alignment horizontal="left" vertical="top"/>
    </xf>
    <xf numFmtId="0" fontId="46" fillId="26" borderId="65" xfId="18" applyFont="1" applyFill="1" applyBorder="1" applyAlignment="1">
      <alignment horizontal="left" vertical="top" wrapText="1"/>
    </xf>
    <xf numFmtId="0" fontId="44" fillId="0" borderId="72" xfId="18" applyBorder="1" applyAlignment="1">
      <alignment horizontal="left" vertical="top" wrapText="1"/>
    </xf>
    <xf numFmtId="0" fontId="44" fillId="0" borderId="73" xfId="18" applyBorder="1" applyAlignment="1">
      <alignment horizontal="left" vertical="top" wrapText="1"/>
    </xf>
    <xf numFmtId="0" fontId="44" fillId="0" borderId="74" xfId="18" applyBorder="1" applyAlignment="1">
      <alignment horizontal="left" vertical="top" wrapText="1"/>
    </xf>
    <xf numFmtId="0" fontId="44" fillId="0" borderId="65" xfId="18" applyBorder="1" applyAlignment="1">
      <alignment horizontal="right" vertical="top"/>
    </xf>
    <xf numFmtId="0" fontId="44" fillId="0" borderId="65" xfId="18" applyBorder="1" applyAlignment="1">
      <alignment horizontal="left" vertical="top"/>
    </xf>
    <xf numFmtId="4" fontId="44" fillId="0" borderId="65" xfId="18" applyNumberFormat="1" applyBorder="1" applyAlignment="1">
      <alignment horizontal="right" vertical="top"/>
    </xf>
    <xf numFmtId="0" fontId="46" fillId="26" borderId="65" xfId="18" applyFont="1" applyFill="1" applyBorder="1" applyAlignment="1">
      <alignment horizontal="right" vertical="top"/>
    </xf>
    <xf numFmtId="4" fontId="46" fillId="26" borderId="65" xfId="18" applyNumberFormat="1" applyFont="1" applyFill="1" applyBorder="1" applyAlignment="1">
      <alignment horizontal="right" vertical="top"/>
    </xf>
    <xf numFmtId="4" fontId="1" fillId="0" borderId="2" xfId="19" applyNumberFormat="1" applyFont="1" applyBorder="1" applyAlignment="1">
      <alignment horizontal="right" vertical="top"/>
    </xf>
    <xf numFmtId="0" fontId="23" fillId="19" borderId="0" xfId="1" applyNumberFormat="1" applyFont="1" applyFill="1" applyBorder="1" applyAlignment="1">
      <alignment horizontal="center" vertical="center"/>
    </xf>
    <xf numFmtId="3" fontId="23" fillId="18" borderId="3" xfId="1" applyNumberFormat="1" applyFont="1" applyFill="1" applyBorder="1" applyAlignment="1">
      <alignment horizontal="right" vertical="top"/>
    </xf>
    <xf numFmtId="3" fontId="29" fillId="18" borderId="3" xfId="1" applyNumberFormat="1" applyFont="1" applyFill="1" applyBorder="1" applyAlignment="1">
      <alignment horizontal="right" vertical="top"/>
    </xf>
    <xf numFmtId="0" fontId="3" fillId="2" borderId="2" xfId="20" applyNumberFormat="1" applyFont="1" applyFill="1" applyBorder="1" applyAlignment="1">
      <alignment vertical="top" wrapText="1"/>
    </xf>
    <xf numFmtId="0" fontId="1" fillId="0" borderId="2" xfId="20" applyNumberFormat="1" applyFont="1" applyBorder="1" applyAlignment="1">
      <alignment vertical="top" wrapText="1"/>
    </xf>
    <xf numFmtId="4" fontId="1" fillId="0" borderId="2" xfId="20" applyNumberFormat="1" applyFont="1" applyBorder="1" applyAlignment="1">
      <alignment horizontal="right" vertical="top"/>
    </xf>
    <xf numFmtId="0" fontId="1" fillId="0" borderId="2" xfId="20" applyNumberFormat="1" applyFont="1" applyBorder="1" applyAlignment="1">
      <alignment vertical="top" wrapText="1" indent="2"/>
    </xf>
    <xf numFmtId="0" fontId="1" fillId="0" borderId="2" xfId="20" applyNumberFormat="1" applyFont="1" applyBorder="1" applyAlignment="1">
      <alignment vertical="top" wrapText="1" indent="4"/>
    </xf>
    <xf numFmtId="0" fontId="3" fillId="2" borderId="2" xfId="20" applyNumberFormat="1" applyFont="1" applyFill="1" applyBorder="1" applyAlignment="1">
      <alignment vertical="top"/>
    </xf>
    <xf numFmtId="0" fontId="3" fillId="2" borderId="2" xfId="21" applyNumberFormat="1" applyFont="1" applyFill="1" applyBorder="1" applyAlignment="1">
      <alignment vertical="top" wrapText="1"/>
    </xf>
    <xf numFmtId="0" fontId="1" fillId="0" borderId="2" xfId="21" applyNumberFormat="1" applyFont="1" applyBorder="1" applyAlignment="1">
      <alignment vertical="top" wrapText="1"/>
    </xf>
    <xf numFmtId="0" fontId="1" fillId="0" borderId="2" xfId="21" applyNumberFormat="1" applyFont="1" applyBorder="1" applyAlignment="1">
      <alignment vertical="top"/>
    </xf>
    <xf numFmtId="4" fontId="1" fillId="0" borderId="2" xfId="21" applyNumberFormat="1" applyFont="1" applyBorder="1" applyAlignment="1">
      <alignment horizontal="right" vertical="top"/>
    </xf>
    <xf numFmtId="0" fontId="1" fillId="0" borderId="2" xfId="21" applyNumberFormat="1" applyFont="1" applyBorder="1" applyAlignment="1">
      <alignment vertical="top" wrapText="1" indent="2"/>
    </xf>
    <xf numFmtId="0" fontId="1" fillId="0" borderId="2" xfId="21" applyNumberFormat="1" applyFont="1" applyBorder="1" applyAlignment="1">
      <alignment vertical="top" wrapText="1" indent="4"/>
    </xf>
    <xf numFmtId="0" fontId="3" fillId="2" borderId="2" xfId="21" applyNumberFormat="1" applyFont="1" applyFill="1" applyBorder="1" applyAlignment="1">
      <alignment vertical="top"/>
    </xf>
    <xf numFmtId="4" fontId="46" fillId="2" borderId="2" xfId="20" applyNumberFormat="1" applyFont="1" applyFill="1" applyBorder="1" applyAlignment="1">
      <alignment horizontal="right" vertical="top"/>
    </xf>
    <xf numFmtId="4" fontId="46" fillId="2" borderId="2" xfId="21" applyNumberFormat="1" applyFont="1" applyFill="1" applyBorder="1" applyAlignment="1">
      <alignment horizontal="right" vertical="top"/>
    </xf>
    <xf numFmtId="3" fontId="44" fillId="3" borderId="2" xfId="9" applyNumberFormat="1" applyFont="1" applyFill="1" applyBorder="1" applyAlignment="1">
      <alignment horizontal="right" vertical="top"/>
    </xf>
    <xf numFmtId="0" fontId="19" fillId="4" borderId="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3" fontId="19" fillId="4" borderId="4" xfId="0" applyNumberFormat="1" applyFont="1" applyFill="1" applyBorder="1" applyAlignment="1">
      <alignment horizontal="center"/>
    </xf>
    <xf numFmtId="3" fontId="19" fillId="4" borderId="5" xfId="0" applyNumberFormat="1" applyFont="1" applyFill="1" applyBorder="1" applyAlignment="1">
      <alignment horizontal="center"/>
    </xf>
    <xf numFmtId="3" fontId="19" fillId="4" borderId="6" xfId="0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vertical="top" wrapText="1"/>
    </xf>
    <xf numFmtId="0" fontId="6" fillId="2" borderId="15" xfId="2" applyNumberFormat="1" applyFont="1" applyFill="1" applyBorder="1" applyAlignment="1">
      <alignment vertical="top" wrapText="1"/>
    </xf>
    <xf numFmtId="0" fontId="7" fillId="8" borderId="4" xfId="1" applyNumberFormat="1" applyFont="1" applyFill="1" applyBorder="1" applyAlignment="1">
      <alignment horizontal="center" vertical="center"/>
    </xf>
    <xf numFmtId="0" fontId="7" fillId="8" borderId="48" xfId="1" applyNumberFormat="1" applyFont="1" applyFill="1" applyBorder="1" applyAlignment="1">
      <alignment horizontal="center" vertical="center"/>
    </xf>
    <xf numFmtId="0" fontId="7" fillId="7" borderId="4" xfId="1" applyNumberFormat="1" applyFont="1" applyFill="1" applyBorder="1" applyAlignment="1">
      <alignment horizontal="center" vertical="center" wrapText="1"/>
    </xf>
    <xf numFmtId="0" fontId="7" fillId="7" borderId="5" xfId="1" applyNumberFormat="1" applyFont="1" applyFill="1" applyBorder="1" applyAlignment="1">
      <alignment horizontal="center" vertical="center" wrapText="1"/>
    </xf>
    <xf numFmtId="0" fontId="7" fillId="8" borderId="5" xfId="1" applyNumberFormat="1" applyFont="1" applyFill="1" applyBorder="1" applyAlignment="1">
      <alignment horizontal="center" vertical="center"/>
    </xf>
    <xf numFmtId="0" fontId="7" fillId="7" borderId="27" xfId="1" applyNumberFormat="1" applyFont="1" applyFill="1" applyBorder="1" applyAlignment="1">
      <alignment horizontal="center" vertical="center" wrapText="1"/>
    </xf>
    <xf numFmtId="0" fontId="7" fillId="8" borderId="6" xfId="1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7" fillId="9" borderId="4" xfId="1" applyNumberFormat="1" applyFont="1" applyFill="1" applyBorder="1" applyAlignment="1">
      <alignment horizontal="center" vertical="center"/>
    </xf>
    <xf numFmtId="0" fontId="7" fillId="9" borderId="5" xfId="1" applyNumberFormat="1" applyFont="1" applyFill="1" applyBorder="1" applyAlignment="1">
      <alignment horizontal="center" vertical="center"/>
    </xf>
    <xf numFmtId="0" fontId="7" fillId="9" borderId="6" xfId="1" applyNumberFormat="1" applyFont="1" applyFill="1" applyBorder="1" applyAlignment="1">
      <alignment horizontal="center" vertical="center"/>
    </xf>
    <xf numFmtId="0" fontId="7" fillId="7" borderId="6" xfId="1" applyNumberFormat="1" applyFont="1" applyFill="1" applyBorder="1" applyAlignment="1">
      <alignment horizontal="center" vertical="center" wrapText="1"/>
    </xf>
    <xf numFmtId="0" fontId="23" fillId="4" borderId="3" xfId="1" applyNumberFormat="1" applyFont="1" applyFill="1" applyBorder="1" applyAlignment="1">
      <alignment horizontal="center" vertical="center"/>
    </xf>
    <xf numFmtId="0" fontId="23" fillId="2" borderId="3" xfId="1" applyNumberFormat="1" applyFont="1" applyFill="1" applyBorder="1" applyAlignment="1">
      <alignment vertical="top" wrapText="1"/>
    </xf>
    <xf numFmtId="0" fontId="23" fillId="19" borderId="12" xfId="1" applyNumberFormat="1" applyFont="1" applyFill="1" applyBorder="1" applyAlignment="1">
      <alignment horizontal="center" vertical="center"/>
    </xf>
    <xf numFmtId="0" fontId="23" fillId="19" borderId="13" xfId="1" applyNumberFormat="1" applyFont="1" applyFill="1" applyBorder="1" applyAlignment="1">
      <alignment horizontal="center" vertical="center"/>
    </xf>
    <xf numFmtId="0" fontId="23" fillId="19" borderId="14" xfId="1" applyNumberFormat="1" applyFont="1" applyFill="1" applyBorder="1" applyAlignment="1">
      <alignment horizontal="center" vertical="center"/>
    </xf>
    <xf numFmtId="0" fontId="23" fillId="4" borderId="3" xfId="1" applyNumberFormat="1" applyFont="1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39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2" fontId="12" fillId="0" borderId="45" xfId="3" applyNumberFormat="1" applyFont="1" applyBorder="1" applyAlignment="1">
      <alignment horizontal="right" vertical="top" wrapText="1"/>
    </xf>
    <xf numFmtId="0" fontId="12" fillId="0" borderId="47" xfId="3" applyNumberFormat="1" applyFont="1" applyBorder="1" applyAlignment="1">
      <alignment horizontal="right" vertical="top" wrapText="1"/>
    </xf>
    <xf numFmtId="0" fontId="16" fillId="17" borderId="45" xfId="3" applyNumberFormat="1" applyFont="1" applyFill="1" applyBorder="1" applyAlignment="1">
      <alignment vertical="top"/>
    </xf>
    <xf numFmtId="4" fontId="16" fillId="17" borderId="45" xfId="3" applyNumberFormat="1" applyFont="1" applyFill="1" applyBorder="1" applyAlignment="1">
      <alignment horizontal="right" vertical="top" wrapText="1"/>
    </xf>
    <xf numFmtId="2" fontId="16" fillId="17" borderId="45" xfId="3" applyNumberFormat="1" applyFont="1" applyFill="1" applyBorder="1" applyAlignment="1">
      <alignment horizontal="right" vertical="top" wrapText="1"/>
    </xf>
    <xf numFmtId="4" fontId="12" fillId="0" borderId="45" xfId="3" applyNumberFormat="1" applyFont="1" applyBorder="1" applyAlignment="1">
      <alignment horizontal="right" vertical="top" wrapText="1"/>
    </xf>
    <xf numFmtId="2" fontId="15" fillId="0" borderId="45" xfId="3" applyNumberFormat="1" applyFont="1" applyBorder="1" applyAlignment="1">
      <alignment horizontal="right" vertical="top" wrapText="1"/>
    </xf>
    <xf numFmtId="0" fontId="14" fillId="17" borderId="1" xfId="3" applyNumberFormat="1" applyFont="1" applyFill="1" applyBorder="1" applyAlignment="1">
      <alignment vertical="top"/>
    </xf>
    <xf numFmtId="0" fontId="14" fillId="17" borderId="1" xfId="3" applyNumberFormat="1" applyFont="1" applyFill="1" applyBorder="1" applyAlignment="1">
      <alignment horizontal="center" vertical="top"/>
    </xf>
    <xf numFmtId="0" fontId="14" fillId="17" borderId="2" xfId="3" applyNumberFormat="1" applyFont="1" applyFill="1" applyBorder="1" applyAlignment="1">
      <alignment horizontal="center" vertical="top"/>
    </xf>
    <xf numFmtId="0" fontId="28" fillId="6" borderId="12" xfId="1" applyNumberFormat="1" applyFont="1" applyFill="1" applyBorder="1" applyAlignment="1">
      <alignment horizontal="center" vertical="top" wrapText="1"/>
    </xf>
    <xf numFmtId="0" fontId="28" fillId="6" borderId="14" xfId="1" applyNumberFormat="1" applyFont="1" applyFill="1" applyBorder="1" applyAlignment="1">
      <alignment horizontal="center" vertical="top" wrapText="1"/>
    </xf>
    <xf numFmtId="0" fontId="23" fillId="4" borderId="12" xfId="1" applyNumberFormat="1" applyFont="1" applyFill="1" applyBorder="1" applyAlignment="1">
      <alignment horizontal="center" vertical="center"/>
    </xf>
    <xf numFmtId="0" fontId="23" fillId="4" borderId="13" xfId="1" applyNumberFormat="1" applyFont="1" applyFill="1" applyBorder="1" applyAlignment="1">
      <alignment horizontal="center" vertical="center"/>
    </xf>
    <xf numFmtId="0" fontId="23" fillId="4" borderId="14" xfId="1" applyNumberFormat="1" applyFont="1" applyFill="1" applyBorder="1" applyAlignment="1">
      <alignment horizontal="center" vertical="center"/>
    </xf>
    <xf numFmtId="0" fontId="46" fillId="26" borderId="65" xfId="18" applyFont="1" applyFill="1" applyBorder="1" applyAlignment="1">
      <alignment horizontal="left" vertical="top"/>
    </xf>
    <xf numFmtId="0" fontId="3" fillId="2" borderId="1" xfId="20" applyNumberFormat="1" applyFont="1" applyFill="1" applyBorder="1" applyAlignment="1">
      <alignment vertical="top" wrapText="1"/>
    </xf>
    <xf numFmtId="0" fontId="3" fillId="2" borderId="75" xfId="20" applyNumberFormat="1" applyFont="1" applyFill="1" applyBorder="1" applyAlignment="1">
      <alignment vertical="top" wrapText="1"/>
    </xf>
    <xf numFmtId="0" fontId="44" fillId="0" borderId="65" xfId="18" applyBorder="1" applyAlignment="1">
      <alignment horizontal="left" vertical="top" wrapText="1" indent="4"/>
    </xf>
    <xf numFmtId="0" fontId="44" fillId="0" borderId="65" xfId="18" applyBorder="1" applyAlignment="1">
      <alignment horizontal="left" vertical="top" wrapText="1" indent="2"/>
    </xf>
    <xf numFmtId="0" fontId="46" fillId="26" borderId="64" xfId="18" applyFont="1" applyFill="1" applyBorder="1" applyAlignment="1">
      <alignment horizontal="left" vertical="top" wrapText="1"/>
    </xf>
    <xf numFmtId="0" fontId="46" fillId="26" borderId="66" xfId="18" applyFont="1" applyFill="1" applyBorder="1" applyAlignment="1">
      <alignment horizontal="left" vertical="top" wrapText="1"/>
    </xf>
    <xf numFmtId="0" fontId="46" fillId="26" borderId="0" xfId="18" applyFont="1" applyFill="1" applyAlignment="1">
      <alignment horizontal="left" vertical="top" wrapText="1"/>
    </xf>
    <xf numFmtId="0" fontId="46" fillId="26" borderId="67" xfId="18" applyFont="1" applyFill="1" applyBorder="1" applyAlignment="1">
      <alignment horizontal="left" vertical="top" wrapText="1"/>
    </xf>
    <xf numFmtId="0" fontId="46" fillId="26" borderId="69" xfId="18" applyFont="1" applyFill="1" applyBorder="1" applyAlignment="1">
      <alignment horizontal="left" vertical="top" wrapText="1"/>
    </xf>
    <xf numFmtId="0" fontId="46" fillId="26" borderId="70" xfId="18" applyFont="1" applyFill="1" applyBorder="1" applyAlignment="1">
      <alignment horizontal="left" vertical="top" wrapText="1"/>
    </xf>
    <xf numFmtId="0" fontId="46" fillId="26" borderId="71" xfId="18" applyFont="1" applyFill="1" applyBorder="1" applyAlignment="1">
      <alignment horizontal="left" vertical="top" wrapText="1"/>
    </xf>
    <xf numFmtId="0" fontId="44" fillId="0" borderId="65" xfId="18" applyBorder="1" applyAlignment="1">
      <alignment horizontal="left" vertical="top" wrapText="1"/>
    </xf>
    <xf numFmtId="0" fontId="46" fillId="26" borderId="64" xfId="18" applyFont="1" applyFill="1" applyBorder="1" applyAlignment="1">
      <alignment horizontal="left" vertical="top"/>
    </xf>
    <xf numFmtId="0" fontId="46" fillId="26" borderId="68" xfId="18" applyFont="1" applyFill="1" applyBorder="1" applyAlignment="1">
      <alignment horizontal="left" vertical="top"/>
    </xf>
    <xf numFmtId="0" fontId="46" fillId="26" borderId="68" xfId="18" applyFont="1" applyFill="1" applyBorder="1" applyAlignment="1">
      <alignment horizontal="left" vertical="top" wrapText="1"/>
    </xf>
    <xf numFmtId="0" fontId="3" fillId="2" borderId="1" xfId="21" applyNumberFormat="1" applyFont="1" applyFill="1" applyBorder="1" applyAlignment="1">
      <alignment vertical="top" wrapText="1"/>
    </xf>
    <xf numFmtId="0" fontId="3" fillId="2" borderId="75" xfId="21" applyNumberFormat="1" applyFont="1" applyFill="1" applyBorder="1" applyAlignment="1">
      <alignment vertical="top" wrapText="1"/>
    </xf>
    <xf numFmtId="0" fontId="41" fillId="22" borderId="49" xfId="0" applyFont="1" applyFill="1" applyBorder="1" applyAlignment="1">
      <alignment horizontal="center" vertical="center" wrapText="1" readingOrder="1"/>
    </xf>
    <xf numFmtId="0" fontId="34" fillId="6" borderId="12" xfId="7" applyFont="1" applyFill="1" applyBorder="1" applyAlignment="1">
      <alignment horizontal="center" vertical="center" wrapText="1"/>
    </xf>
    <xf numFmtId="0" fontId="34" fillId="6" borderId="13" xfId="7" applyFont="1" applyFill="1" applyBorder="1" applyAlignment="1">
      <alignment horizontal="center" vertical="center" wrapText="1"/>
    </xf>
    <xf numFmtId="0" fontId="34" fillId="6" borderId="14" xfId="7" applyFont="1" applyFill="1" applyBorder="1" applyAlignment="1">
      <alignment horizontal="center" vertical="center" wrapText="1"/>
    </xf>
    <xf numFmtId="0" fontId="9" fillId="10" borderId="3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11" fillId="6" borderId="3" xfId="0" applyFont="1" applyFill="1" applyBorder="1" applyAlignment="1"/>
    <xf numFmtId="0" fontId="0" fillId="0" borderId="3" xfId="0" applyBorder="1" applyAlignment="1"/>
  </cellXfs>
  <cellStyles count="22">
    <cellStyle name="Обычный" xfId="0" builtinId="0"/>
    <cellStyle name="Обычный 2" xfId="7"/>
    <cellStyle name="Обычный 3" xfId="18"/>
    <cellStyle name="Обычный_TDSheet (2)" xfId="19"/>
    <cellStyle name="Обычный_выручка" xfId="20"/>
    <cellStyle name="Обычный_Лист1" xfId="1"/>
    <cellStyle name="Обычный_Лист2" xfId="2"/>
    <cellStyle name="Обычный_Лист4" xfId="3"/>
    <cellStyle name="Обычный_Слайд 10 СР" xfId="15"/>
    <cellStyle name="Обычный_Слайд 10 УР" xfId="14"/>
    <cellStyle name="Обычный_Слайд 11 ДВР" xfId="16"/>
    <cellStyle name="Обычный_Слайд 11 МИМО" xfId="6"/>
    <cellStyle name="Обычный_Слайд 12 (4)" xfId="17"/>
    <cellStyle name="Обычный_Слайд 12 МИМО" xfId="8"/>
    <cellStyle name="Обычный_слайд 2" xfId="5"/>
    <cellStyle name="Обычный_Слайд 2 (2)" xfId="9"/>
    <cellStyle name="Обычный_Слайд 8 СЗР" xfId="11"/>
    <cellStyle name="Обычный_Слайд 8 ЦР" xfId="10"/>
    <cellStyle name="Обычный_Слайд 9 ПР" xfId="13"/>
    <cellStyle name="Обычный_Слайд 9 ЮР" xfId="12"/>
    <cellStyle name="Обычный_ЧП" xfId="21"/>
    <cellStyle name="Процентный" xfId="4" builtinId="5"/>
  </cellStyles>
  <dxfs count="1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B05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/>
              <a:t>Выручка от основных услуг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707871738576113"/>
          <c:y val="0.14881990673698717"/>
          <c:w val="0.81041793808706675"/>
          <c:h val="0.67866969195962668"/>
        </c:manualLayout>
      </c:layout>
      <c:lineChart>
        <c:grouping val="standard"/>
        <c:varyColors val="0"/>
        <c:ser>
          <c:idx val="1"/>
          <c:order val="1"/>
          <c:tx>
            <c:strRef>
              <c:f>'слайд 2 старый'!$A$7</c:f>
              <c:strCache>
                <c:ptCount val="1"/>
                <c:pt idx="0">
                  <c:v>План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5">
                    <a:lumMod val="60000"/>
                    <a:lumOff val="4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1-4D1C-97F2-ADDEE3C8B7A1}"/>
              </c:ext>
            </c:extLst>
          </c:dPt>
          <c:dLbls>
            <c:dLbl>
              <c:idx val="0"/>
              <c:layout>
                <c:manualLayout>
                  <c:x val="-9.0034975857615329E-2"/>
                  <c:y val="-8.5118039067679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24799602299879"/>
                      <c:h val="6.06988807427254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E31-4D1C-97F2-ADDEE3C8B7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31-4D1C-97F2-ADDEE3C8B7A1}"/>
                </c:ext>
              </c:extLst>
            </c:dLbl>
            <c:dLbl>
              <c:idx val="2"/>
              <c:layout>
                <c:manualLayout>
                  <c:x val="-1.440048696950672E-2"/>
                  <c:y val="3.95280757120308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6797510989021"/>
                      <c:h val="6.06988807427254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E31-4D1C-97F2-ADDEE3C8B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'слайд 2 старый'!$B$6:$D$6</c:f>
              <c:strCache>
                <c:ptCount val="3"/>
                <c:pt idx="0">
                  <c:v>янв-апр 2020 год</c:v>
                </c:pt>
                <c:pt idx="1">
                  <c:v>янв-апр 2021 год</c:v>
                </c:pt>
                <c:pt idx="2">
                  <c:v>янв-апр 2022 год</c:v>
                </c:pt>
              </c:strCache>
            </c:strRef>
          </c:cat>
          <c:val>
            <c:numRef>
              <c:f>'слайд 2 старый'!$B$7:$D$7</c:f>
              <c:numCache>
                <c:formatCode>#,##0</c:formatCode>
                <c:ptCount val="3"/>
                <c:pt idx="0">
                  <c:v>3151031091.75</c:v>
                </c:pt>
                <c:pt idx="1">
                  <c:v>3267365183.5299997</c:v>
                </c:pt>
                <c:pt idx="2">
                  <c:v>3290340507.1500001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1-4D1C-97F2-ADDEE3C8B7A1}"/>
            </c:ext>
          </c:extLst>
        </c:ser>
        <c:ser>
          <c:idx val="2"/>
          <c:order val="2"/>
          <c:tx>
            <c:strRef>
              <c:f>'слайд 2 старый'!$A$8</c:f>
              <c:strCache>
                <c:ptCount val="1"/>
                <c:pt idx="0">
                  <c:v>Факт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987441320973745E-2"/>
                  <c:y val="5.6657324899868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21913988258628"/>
                      <c:h val="6.4476035736050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E31-4D1C-97F2-ADDEE3C8B7A1}"/>
                </c:ext>
              </c:extLst>
            </c:dLbl>
            <c:dLbl>
              <c:idx val="1"/>
              <c:layout>
                <c:manualLayout>
                  <c:x val="-4.1343702898291234E-3"/>
                  <c:y val="4.5325859919894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31-4D1C-97F2-ADDEE3C8B7A1}"/>
                </c:ext>
              </c:extLst>
            </c:dLbl>
            <c:dLbl>
              <c:idx val="2"/>
              <c:layout>
                <c:manualLayout>
                  <c:x val="-7.961525146116857E-3"/>
                  <c:y val="-4.1548704926570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75-43A1-8C11-C414ED162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'слайд 2 старый'!$B$6:$D$6</c:f>
              <c:strCache>
                <c:ptCount val="3"/>
                <c:pt idx="0">
                  <c:v>янв-апр 2020 год</c:v>
                </c:pt>
                <c:pt idx="1">
                  <c:v>янв-апр 2021 год</c:v>
                </c:pt>
                <c:pt idx="2">
                  <c:v>янв-апр 2022 год</c:v>
                </c:pt>
              </c:strCache>
            </c:strRef>
          </c:cat>
          <c:val>
            <c:numRef>
              <c:f>'слайд 2 старый'!$B$8:$D$8</c:f>
              <c:numCache>
                <c:formatCode>#,##0</c:formatCode>
                <c:ptCount val="3"/>
                <c:pt idx="0">
                  <c:v>2935529745.6600003</c:v>
                </c:pt>
                <c:pt idx="1">
                  <c:v>3049363775.9200001</c:v>
                </c:pt>
                <c:pt idx="2">
                  <c:v>3439721723.9900002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1-4D1C-97F2-ADDEE3C8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05760"/>
        <c:axId val="342405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'слайд 2 старый'!$A$6</c15:sqref>
                        </c15:formulaRef>
                      </c:ext>
                    </c:extLst>
                    <c:strCache>
                      <c:ptCount val="1"/>
                      <c:pt idx="0">
                        <c:v>Статья бюджета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'слайд 2 старый'!$B$6:$D$6</c15:sqref>
                        </c15:formulaRef>
                      </c:ext>
                    </c:extLst>
                    <c:strCache>
                      <c:ptCount val="3"/>
                      <c:pt idx="0">
                        <c:v>янв-апр 2020 год</c:v>
                      </c:pt>
                      <c:pt idx="1">
                        <c:v>янв-апр 2021 год</c:v>
                      </c:pt>
                      <c:pt idx="2">
                        <c:v>янв-апр 2022 год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'слайд 2 старый'!$B$6:$D$6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31-4D1C-97F2-ADDEE3C8B7A1}"/>
                  </c:ext>
                </c:extLst>
              </c15:ser>
            </c15:filteredLineSeries>
          </c:ext>
        </c:extLst>
      </c:lineChart>
      <c:catAx>
        <c:axId val="3424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42405344"/>
        <c:crosses val="autoZero"/>
        <c:auto val="1"/>
        <c:lblAlgn val="ctr"/>
        <c:lblOffset val="100"/>
        <c:noMultiLvlLbl val="0"/>
      </c:catAx>
      <c:valAx>
        <c:axId val="342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424057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'слайд 6'!$B$6</c:f>
              <c:strCache>
                <c:ptCount val="1"/>
                <c:pt idx="0">
                  <c:v>РУСС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4.8221817322087988E-3"/>
                  <c:y val="0.15099425427797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2-4201-9FAD-3A4F7F2C7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6'!$A$7:$A$14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Приволжскому региону</c:v>
                </c:pt>
                <c:pt idx="5">
                  <c:v>РУСС по Дальневосточному региону</c:v>
                </c:pt>
                <c:pt idx="6">
                  <c:v>РУСС по Южному региону</c:v>
                </c:pt>
                <c:pt idx="7">
                  <c:v>РУСС по Сибирскому  региону</c:v>
                </c:pt>
              </c:strCache>
            </c:strRef>
          </c:cat>
          <c:val>
            <c:numRef>
              <c:f>'слайд 6'!$B$7:$B$14</c:f>
              <c:numCache>
                <c:formatCode>#,##0.00</c:formatCode>
                <c:ptCount val="8"/>
                <c:pt idx="0">
                  <c:v>182.84819055</c:v>
                </c:pt>
                <c:pt idx="1">
                  <c:v>150.11096733000002</c:v>
                </c:pt>
                <c:pt idx="2">
                  <c:v>113.63744145</c:v>
                </c:pt>
                <c:pt idx="3">
                  <c:v>104.68727681</c:v>
                </c:pt>
                <c:pt idx="4">
                  <c:v>43.29720082</c:v>
                </c:pt>
                <c:pt idx="5">
                  <c:v>38.023199329999997</c:v>
                </c:pt>
                <c:pt idx="6">
                  <c:v>27.332272199999998</c:v>
                </c:pt>
                <c:pt idx="7">
                  <c:v>-1.3380232699999999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2-4201-9FAD-3A4F7F2C7AC5}"/>
            </c:ext>
          </c:extLst>
        </c:ser>
        <c:ser>
          <c:idx val="1"/>
          <c:order val="1"/>
          <c:tx>
            <c:strRef>
              <c:f>'слайд 6'!$C$6</c:f>
              <c:strCache>
                <c:ptCount val="1"/>
                <c:pt idx="0">
                  <c:v>ТУСС (max)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2-4201-9FAD-3A4F7F2C7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6'!$A$7:$A$14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Приволжскому региону</c:v>
                </c:pt>
                <c:pt idx="5">
                  <c:v>РУСС по Дальневосточному региону</c:v>
                </c:pt>
                <c:pt idx="6">
                  <c:v>РУСС по Южному региону</c:v>
                </c:pt>
                <c:pt idx="7">
                  <c:v>РУСС по Сибирскому  региону</c:v>
                </c:pt>
              </c:strCache>
            </c:strRef>
          </c:cat>
          <c:val>
            <c:numRef>
              <c:f>'слайд 6'!$C$7:$C$14</c:f>
              <c:numCache>
                <c:formatCode>#,##0.00</c:formatCode>
                <c:ptCount val="8"/>
                <c:pt idx="0">
                  <c:v>0</c:v>
                </c:pt>
                <c:pt idx="1">
                  <c:v>106.19023989</c:v>
                </c:pt>
                <c:pt idx="2">
                  <c:v>48.989005720000002</c:v>
                </c:pt>
                <c:pt idx="3">
                  <c:v>41.580020159999997</c:v>
                </c:pt>
                <c:pt idx="4">
                  <c:v>16.872471619999999</c:v>
                </c:pt>
                <c:pt idx="5">
                  <c:v>14.31318055</c:v>
                </c:pt>
                <c:pt idx="6">
                  <c:v>13.46591531</c:v>
                </c:pt>
                <c:pt idx="7">
                  <c:v>16.337885369999999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2-4201-9FAD-3A4F7F2C7AC5}"/>
            </c:ext>
          </c:extLst>
        </c:ser>
        <c:ser>
          <c:idx val="2"/>
          <c:order val="2"/>
          <c:tx>
            <c:strRef>
              <c:f>'слайд 6'!$D$6</c:f>
              <c:strCache>
                <c:ptCount val="1"/>
                <c:pt idx="0">
                  <c:v>ТУСС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2-4201-9FAD-3A4F7F2C7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6'!$A$7:$A$14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Приволжскому региону</c:v>
                </c:pt>
                <c:pt idx="5">
                  <c:v>РУСС по Дальневосточному региону</c:v>
                </c:pt>
                <c:pt idx="6">
                  <c:v>РУСС по Южному региону</c:v>
                </c:pt>
                <c:pt idx="7">
                  <c:v>РУСС по Сибирскому  региону</c:v>
                </c:pt>
              </c:strCache>
            </c:strRef>
          </c:cat>
          <c:val>
            <c:numRef>
              <c:f>'слайд 6'!$D$7:$D$14</c:f>
              <c:numCache>
                <c:formatCode>#,##0.00</c:formatCode>
                <c:ptCount val="8"/>
                <c:pt idx="0">
                  <c:v>0</c:v>
                </c:pt>
                <c:pt idx="1">
                  <c:v>0.75675482999999999</c:v>
                </c:pt>
                <c:pt idx="2">
                  <c:v>0.18021482999999996</c:v>
                </c:pt>
                <c:pt idx="3">
                  <c:v>-5.7425290000000004E-2</c:v>
                </c:pt>
                <c:pt idx="4">
                  <c:v>0.72195155</c:v>
                </c:pt>
                <c:pt idx="5">
                  <c:v>0.17812469</c:v>
                </c:pt>
                <c:pt idx="6">
                  <c:v>1.5696433200000002</c:v>
                </c:pt>
                <c:pt idx="7">
                  <c:v>5.9245595700000004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C2-4201-9FAD-3A4F7F2C7A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155760"/>
        <c:axId val="368153264"/>
      </c:barChart>
      <c:catAx>
        <c:axId val="3681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68153264"/>
        <c:crosses val="autoZero"/>
        <c:auto val="1"/>
        <c:lblAlgn val="ctr"/>
        <c:lblOffset val="100"/>
        <c:noMultiLvlLbl val="0"/>
      </c:catAx>
      <c:valAx>
        <c:axId val="368153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3681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Центральный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8 ЦР'!$A$10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8 ЦР'!$B$9:$F$9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8 ЦР'!$B$10:$F$10</c:f>
              <c:numCache>
                <c:formatCode>#,##0</c:formatCode>
                <c:ptCount val="5"/>
                <c:pt idx="0">
                  <c:v>578821.94764999999</c:v>
                </c:pt>
                <c:pt idx="1">
                  <c:v>600827.23752999993</c:v>
                </c:pt>
                <c:pt idx="2">
                  <c:v>567630.63514000003</c:v>
                </c:pt>
                <c:pt idx="3">
                  <c:v>595444.43117</c:v>
                </c:pt>
                <c:pt idx="4">
                  <c:v>646412.64230999991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159-B640-96496014C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8 ЦР'!$A$11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8 ЦР'!$B$9:$F$9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8 ЦР'!$B$11:$F$11</c:f>
              <c:numCache>
                <c:formatCode>#,##0</c:formatCode>
                <c:ptCount val="5"/>
                <c:pt idx="0">
                  <c:v>149339.49952000001</c:v>
                </c:pt>
                <c:pt idx="1">
                  <c:v>134405.30574000001</c:v>
                </c:pt>
                <c:pt idx="2">
                  <c:v>106357.87027</c:v>
                </c:pt>
                <c:pt idx="3">
                  <c:v>106534.62324</c:v>
                </c:pt>
                <c:pt idx="4">
                  <c:v>104687.27681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E-4159-B640-96496014C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in val="200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30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Северо-Западный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8 СЗР'!$A$10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8 СЗР'!$B$9:$F$9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8 СЗР'!$B$10:$F$10</c:f>
              <c:numCache>
                <c:formatCode>#,##0</c:formatCode>
                <c:ptCount val="5"/>
                <c:pt idx="0">
                  <c:v>950668.49884000001</c:v>
                </c:pt>
                <c:pt idx="1">
                  <c:v>960120.85863999999</c:v>
                </c:pt>
                <c:pt idx="2">
                  <c:v>929788.29986000003</c:v>
                </c:pt>
                <c:pt idx="3">
                  <c:v>841962.11164999998</c:v>
                </c:pt>
                <c:pt idx="4">
                  <c:v>875510.91902999999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55D-AF43-C248424D5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8 СЗР'!$A$11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8 СЗР'!$B$9:$F$9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8 СЗР'!$B$11:$F$11</c:f>
              <c:numCache>
                <c:formatCode>#,##0</c:formatCode>
                <c:ptCount val="5"/>
                <c:pt idx="0">
                  <c:v>178400.97955000002</c:v>
                </c:pt>
                <c:pt idx="1">
                  <c:v>115606.62037999999</c:v>
                </c:pt>
                <c:pt idx="2">
                  <c:v>133867.80204000001</c:v>
                </c:pt>
                <c:pt idx="3">
                  <c:v>132808.96226999999</c:v>
                </c:pt>
                <c:pt idx="4">
                  <c:v>150110.96733000001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B-455D-AF43-C248424D5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40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Южный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9 ЮР'!$A$10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9 ЮР'!$B$9:$F$9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9 ЮР'!$B$10:$F$10</c:f>
              <c:numCache>
                <c:formatCode>#,##0</c:formatCode>
                <c:ptCount val="5"/>
                <c:pt idx="0">
                  <c:v>432210.65495999996</c:v>
                </c:pt>
                <c:pt idx="1">
                  <c:v>426434.23668000003</c:v>
                </c:pt>
                <c:pt idx="2">
                  <c:v>376439.79366000002</c:v>
                </c:pt>
                <c:pt idx="3">
                  <c:v>434007.12507000001</c:v>
                </c:pt>
                <c:pt idx="4">
                  <c:v>454012.51432999998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4A70-B22F-CE1131F0C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9 ЮР'!$A$11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dLbl>
              <c:idx val="1"/>
              <c:layout>
                <c:manualLayout>
                  <c:x val="-2.2191767093868702E-2"/>
                  <c:y val="-4.166867348868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68-4A70-B22F-CE1131F0CB3A}"/>
                </c:ext>
              </c:extLst>
            </c:dLbl>
            <c:dLbl>
              <c:idx val="2"/>
              <c:layout>
                <c:manualLayout>
                  <c:x val="-1.1940236840879264E-2"/>
                  <c:y val="-7.1506690646721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8-4A70-B22F-CE1131F0C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9 ЮР'!$B$9:$F$9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9 ЮР'!$B$11:$F$11</c:f>
              <c:numCache>
                <c:formatCode>#,##0</c:formatCode>
                <c:ptCount val="5"/>
                <c:pt idx="0">
                  <c:v>38025.241719999998</c:v>
                </c:pt>
                <c:pt idx="1">
                  <c:v>55701.338590000007</c:v>
                </c:pt>
                <c:pt idx="2">
                  <c:v>19377.397949999999</c:v>
                </c:pt>
                <c:pt idx="3">
                  <c:v>21659.861649999999</c:v>
                </c:pt>
                <c:pt idx="4">
                  <c:v>27332.272199999999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8-4A70-B22F-CE1131F0CB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in val="200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15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Приволжский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9 ПР'!$A$10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9 ПР'!$B$9:$F$9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9 ПР'!$B$10:$F$10</c:f>
              <c:numCache>
                <c:formatCode>#,##0</c:formatCode>
                <c:ptCount val="5"/>
                <c:pt idx="0">
                  <c:v>550277.93745000008</c:v>
                </c:pt>
                <c:pt idx="1">
                  <c:v>440162.25458999997</c:v>
                </c:pt>
                <c:pt idx="2">
                  <c:v>410987.25979000004</c:v>
                </c:pt>
                <c:pt idx="3">
                  <c:v>432139.52408</c:v>
                </c:pt>
                <c:pt idx="4">
                  <c:v>450783.46025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4-4897-8DD1-A495632917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9 ПР'!$A$11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9 ПР'!$B$9:$F$9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9 ПР'!$B$11:$F$11</c:f>
              <c:numCache>
                <c:formatCode>#,##0</c:formatCode>
                <c:ptCount val="5"/>
                <c:pt idx="0">
                  <c:v>57594.798170000002</c:v>
                </c:pt>
                <c:pt idx="1">
                  <c:v>35496.391029999999</c:v>
                </c:pt>
                <c:pt idx="2">
                  <c:v>12317.67109</c:v>
                </c:pt>
                <c:pt idx="3">
                  <c:v>22295.513640000001</c:v>
                </c:pt>
                <c:pt idx="4">
                  <c:v>43297.200819999998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4-4897-8DD1-A495632917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Уральский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10 УР'!$A$10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4"/>
              <c:layout>
                <c:manualLayout>
                  <c:x val="4.3987246353369546E-3"/>
                  <c:y val="-1.1830656330652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E0-47A8-9250-6A00421D5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10 УР'!$B$9:$F$9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10 УР'!$B$10:$F$10</c:f>
              <c:numCache>
                <c:formatCode>#,##0</c:formatCode>
                <c:ptCount val="5"/>
                <c:pt idx="0">
                  <c:v>694401.34186000004</c:v>
                </c:pt>
                <c:pt idx="1">
                  <c:v>671843.84404</c:v>
                </c:pt>
                <c:pt idx="2">
                  <c:v>679898.46149999998</c:v>
                </c:pt>
                <c:pt idx="3">
                  <c:v>679355.63962000003</c:v>
                </c:pt>
                <c:pt idx="4">
                  <c:v>755534.86236000003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0-47A8-9250-6A00421D50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10 УР'!$A$11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10 УР'!$B$9:$F$9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10 УР'!$B$11:$F$11</c:f>
              <c:numCache>
                <c:formatCode>#,##0</c:formatCode>
                <c:ptCount val="5"/>
                <c:pt idx="0">
                  <c:v>102164.83526000001</c:v>
                </c:pt>
                <c:pt idx="1">
                  <c:v>96194.787019999989</c:v>
                </c:pt>
                <c:pt idx="2">
                  <c:v>96295.118659999993</c:v>
                </c:pt>
                <c:pt idx="3">
                  <c:v>102763.19241</c:v>
                </c:pt>
                <c:pt idx="4">
                  <c:v>113637.44145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0-47A8-9250-6A00421D50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in val="200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20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Сибирский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10 СР'!$A$10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10 СР'!$B$9:$F$9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10 СР'!$B$10:$F$10</c:f>
              <c:numCache>
                <c:formatCode>#,##0</c:formatCode>
                <c:ptCount val="5"/>
                <c:pt idx="0">
                  <c:v>515141.80195999995</c:v>
                </c:pt>
                <c:pt idx="1">
                  <c:v>515714.01748000004</c:v>
                </c:pt>
                <c:pt idx="2">
                  <c:v>510439.59669999999</c:v>
                </c:pt>
                <c:pt idx="3">
                  <c:v>563751.70570000005</c:v>
                </c:pt>
                <c:pt idx="4">
                  <c:v>570520.16610999999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447E-B0B5-A5FB147DE2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10 СР'!$A$11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10 СР'!$B$9:$F$9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10 СР'!$B$11:$F$11</c:f>
              <c:numCache>
                <c:formatCode>#,##0</c:formatCode>
                <c:ptCount val="5"/>
                <c:pt idx="0">
                  <c:v>34404.619129999999</c:v>
                </c:pt>
                <c:pt idx="1">
                  <c:v>36936.495479999998</c:v>
                </c:pt>
                <c:pt idx="2">
                  <c:v>16527.04927</c:v>
                </c:pt>
                <c:pt idx="3">
                  <c:v>12306.831749999999</c:v>
                </c:pt>
                <c:pt idx="4">
                  <c:v>-1338.0232699999999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2-447E-B0B5-A5FB147DE2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in val="200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80000"/>
          <c:min val="-2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Дальневосточный регион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11 ДВР'!$A$10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4"/>
              <c:layout>
                <c:manualLayout>
                  <c:x val="-1.1231261378550701E-2"/>
                  <c:y val="-3.889373789298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92-44FD-873B-C82EC983A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11 ДВР'!$B$9:$F$9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11 ДВР'!$B$10:$F$10</c:f>
              <c:numCache>
                <c:formatCode>#,##0</c:formatCode>
                <c:ptCount val="5"/>
                <c:pt idx="0">
                  <c:v>354154.52918000001</c:v>
                </c:pt>
                <c:pt idx="1">
                  <c:v>372142.90343000001</c:v>
                </c:pt>
                <c:pt idx="2">
                  <c:v>401473.89564</c:v>
                </c:pt>
                <c:pt idx="3">
                  <c:v>407989.49579000002</c:v>
                </c:pt>
                <c:pt idx="4">
                  <c:v>453099.64322000003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2-44FD-873B-C82EC983A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11 ДВР'!$A$11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dLbl>
              <c:idx val="0"/>
              <c:layout>
                <c:manualLayout>
                  <c:x val="-3.1123187673233077E-2"/>
                  <c:y val="-4.4652475204490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5B-4CEB-8EE6-6B0E859046FF}"/>
                </c:ext>
              </c:extLst>
            </c:dLbl>
            <c:dLbl>
              <c:idx val="4"/>
              <c:layout>
                <c:manualLayout>
                  <c:x val="-6.561781079981047E-3"/>
                  <c:y val="5.9780584848630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92-44FD-873B-C82EC983A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11 ДВР'!$B$9:$F$9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11 ДВР'!$B$11:$F$11</c:f>
              <c:numCache>
                <c:formatCode>#,##0</c:formatCode>
                <c:ptCount val="5"/>
                <c:pt idx="0">
                  <c:v>37174.413260000001</c:v>
                </c:pt>
                <c:pt idx="1">
                  <c:v>28321.727309999998</c:v>
                </c:pt>
                <c:pt idx="2">
                  <c:v>24081.732050000002</c:v>
                </c:pt>
                <c:pt idx="3">
                  <c:v>9848.1376799999998</c:v>
                </c:pt>
                <c:pt idx="4">
                  <c:v>38023.199329999996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2-44FD-873B-C82EC983A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80000"/>
          <c:min val="-2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УСС по МиМО+УПС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11 МИМО'!$A$15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11 МИМО'!$B$14:$F$14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11 МИМО'!$B$15:$F$15</c:f>
              <c:numCache>
                <c:formatCode>#,##0</c:formatCode>
                <c:ptCount val="5"/>
                <c:pt idx="0">
                  <c:v>1293597.1003299998</c:v>
                </c:pt>
                <c:pt idx="1">
                  <c:v>1413638.6686499999</c:v>
                </c:pt>
                <c:pt idx="2">
                  <c:v>1349671.8250300002</c:v>
                </c:pt>
                <c:pt idx="3">
                  <c:v>1460455.9402300001</c:v>
                </c:pt>
                <c:pt idx="4">
                  <c:v>1944103.9206899998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FF-ACF0-EDFF05D35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11 МИМО'!$A$16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11 МИМО'!$B$14:$F$14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11 МИМО'!$B$16:$F$16</c:f>
              <c:numCache>
                <c:formatCode>#,##0</c:formatCode>
                <c:ptCount val="5"/>
                <c:pt idx="0">
                  <c:v>-68837.805989999993</c:v>
                </c:pt>
                <c:pt idx="1">
                  <c:v>30268.994210000001</c:v>
                </c:pt>
                <c:pt idx="2">
                  <c:v>-40439.627390000001</c:v>
                </c:pt>
                <c:pt idx="3">
                  <c:v>35203.842479999999</c:v>
                </c:pt>
                <c:pt idx="4">
                  <c:v>182848.19055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FF-ACF0-EDFF05D352D7}"/>
            </c:ext>
          </c:extLst>
        </c:ser>
        <c:ser>
          <c:idx val="2"/>
          <c:order val="2"/>
          <c:tx>
            <c:strRef>
              <c:f>'Слайд 11 МИМО'!$A$17</c:f>
              <c:strCache>
                <c:ptCount val="1"/>
                <c:pt idx="0">
                  <c:v>Чистая прибыль без ЦА</c:v>
                </c:pt>
              </c:strCache>
            </c:strRef>
          </c:tx>
          <c:marker>
            <c:spPr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spPr>
              <a:ln w="25400">
                <a:solidFill>
                  <a:srgbClr val="92D05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7E3-4F0E-BFDA-8B86C6B63BA6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3-4F0E-BFDA-8B86C6B63BA6}"/>
                </c:ext>
              </c:extLst>
            </c:dLbl>
            <c:dLbl>
              <c:idx val="4"/>
              <c:layout>
                <c:manualLayout>
                  <c:x val="-1.6746413586308285E-2"/>
                  <c:y val="4.4757025737051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E3-4F0E-BFDA-8B86C6B63B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11 МИМО'!$B$14:$F$14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f>'Слайд 11 МИМО'!$B$17:$F$17</c:f>
              <c:numCache>
                <c:formatCode>#,##0</c:formatCode>
                <c:ptCount val="5"/>
                <c:pt idx="3">
                  <c:v>35203.842479999999</c:v>
                </c:pt>
                <c:pt idx="4">
                  <c:v>138625.73058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3-4F0E-BFDA-8B86C6B63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400000"/>
          <c:min val="-150000"/>
        </c:scaling>
        <c:delete val="0"/>
        <c:axPos val="r"/>
        <c:numFmt formatCode="#,##0" sourceLinked="1"/>
        <c:majorTickMark val="out"/>
        <c:minorTickMark val="none"/>
        <c:tickLblPos val="nextTo"/>
        <c:crossAx val="95697920"/>
        <c:crosses val="max"/>
        <c:crossBetween val="between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ФГУП!$J$10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ФГУП!$I$11:$I$24</c15:sqref>
                  </c15:fullRef>
                </c:ext>
              </c:extLst>
              <c:f>(ФГУП!$I$11:$I$16,ФГУП!$I$20,ФГУП!$I$24)</c:f>
              <c:strCache>
                <c:ptCount val="8"/>
                <c:pt idx="0">
                  <c:v>Гриф</c:v>
                </c:pt>
                <c:pt idx="1">
                  <c:v>Стандарт</c:v>
                </c:pt>
                <c:pt idx="2">
                  <c:v>Экспресс</c:v>
                </c:pt>
                <c:pt idx="3">
                  <c:v>Грузы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ФГУП!$J$11:$J$24</c15:sqref>
                  </c15:fullRef>
                </c:ext>
              </c:extLst>
              <c:f>(ФГУП!$J$11:$J$16,ФГУП!$J$20,ФГУП!$J$24)</c:f>
              <c:numCache>
                <c:formatCode>#,##0</c:formatCode>
                <c:ptCount val="8"/>
                <c:pt idx="0">
                  <c:v>1175260</c:v>
                </c:pt>
                <c:pt idx="1">
                  <c:v>924422</c:v>
                </c:pt>
                <c:pt idx="2">
                  <c:v>873614</c:v>
                </c:pt>
                <c:pt idx="3">
                  <c:v>993201</c:v>
                </c:pt>
                <c:pt idx="4">
                  <c:v>744548</c:v>
                </c:pt>
                <c:pt idx="5">
                  <c:v>276664</c:v>
                </c:pt>
                <c:pt idx="6">
                  <c:v>62251</c:v>
                </c:pt>
                <c:pt idx="7">
                  <c:v>20715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E0D-B72F-753DABB3565A}"/>
            </c:ext>
          </c:extLst>
        </c:ser>
        <c:ser>
          <c:idx val="1"/>
          <c:order val="1"/>
          <c:tx>
            <c:strRef>
              <c:f>ФГУП!$K$10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ФГУП!$I$11:$I$24</c15:sqref>
                  </c15:fullRef>
                </c:ext>
              </c:extLst>
              <c:f>(ФГУП!$I$11:$I$16,ФГУП!$I$20,ФГУП!$I$24)</c:f>
              <c:strCache>
                <c:ptCount val="8"/>
                <c:pt idx="0">
                  <c:v>Гриф</c:v>
                </c:pt>
                <c:pt idx="1">
                  <c:v>Стандарт</c:v>
                </c:pt>
                <c:pt idx="2">
                  <c:v>Экспресс</c:v>
                </c:pt>
                <c:pt idx="3">
                  <c:v>Грузы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ФГУП!$K$11:$K$24</c15:sqref>
                  </c15:fullRef>
                </c:ext>
              </c:extLst>
              <c:f>(ФГУП!$K$11:$K$16,ФГУП!$K$20,ФГУП!$K$24)</c:f>
              <c:numCache>
                <c:formatCode>#,##0</c:formatCode>
                <c:ptCount val="8"/>
                <c:pt idx="0">
                  <c:v>1245512</c:v>
                </c:pt>
                <c:pt idx="1">
                  <c:v>975326</c:v>
                </c:pt>
                <c:pt idx="2">
                  <c:v>758658</c:v>
                </c:pt>
                <c:pt idx="3">
                  <c:v>1301837</c:v>
                </c:pt>
                <c:pt idx="4">
                  <c:v>717529</c:v>
                </c:pt>
                <c:pt idx="5">
                  <c:v>246139</c:v>
                </c:pt>
                <c:pt idx="6">
                  <c:v>65229</c:v>
                </c:pt>
                <c:pt idx="7">
                  <c:v>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E0D-B72F-753DABB3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9532448"/>
        <c:axId val="679531464"/>
      </c:barChart>
      <c:catAx>
        <c:axId val="67953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9531464"/>
        <c:crosses val="autoZero"/>
        <c:auto val="1"/>
        <c:lblAlgn val="ctr"/>
        <c:lblOffset val="100"/>
        <c:noMultiLvlLbl val="0"/>
      </c:catAx>
      <c:valAx>
        <c:axId val="679531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9532448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/>
              <a:t>Чистая прибыль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'слайд 2 старый'!$A$10</c:f>
              <c:strCache>
                <c:ptCount val="1"/>
                <c:pt idx="0">
                  <c:v>План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94989585099901"/>
                  <c:y val="-7.1765944873166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75-446A-964B-26DB395997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75-446A-964B-26DB39599789}"/>
                </c:ext>
              </c:extLst>
            </c:dLbl>
            <c:dLbl>
              <c:idx val="2"/>
              <c:layout>
                <c:manualLayout>
                  <c:x val="-2.2606611940433761E-2"/>
                  <c:y val="2.6440084953271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60-4B7A-B459-80F4AD9B8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'слайд 2 старый'!$B$6:$D$6</c:f>
              <c:strCache>
                <c:ptCount val="3"/>
                <c:pt idx="0">
                  <c:v>янв-апр 2020 год</c:v>
                </c:pt>
                <c:pt idx="1">
                  <c:v>янв-апр 2021 год</c:v>
                </c:pt>
                <c:pt idx="2">
                  <c:v>янв-апр 2022 год</c:v>
                </c:pt>
              </c:strCache>
            </c:strRef>
          </c:cat>
          <c:val>
            <c:numRef>
              <c:f>'слайд 2 старый'!$B$10:$D$10</c:f>
              <c:numCache>
                <c:formatCode>#,##0</c:formatCode>
                <c:ptCount val="3"/>
                <c:pt idx="0">
                  <c:v>-265405080.78</c:v>
                </c:pt>
                <c:pt idx="1">
                  <c:v>-146010549.06</c:v>
                </c:pt>
                <c:pt idx="2">
                  <c:v>-105565235.36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5-446A-964B-26DB39599789}"/>
            </c:ext>
          </c:extLst>
        </c:ser>
        <c:ser>
          <c:idx val="1"/>
          <c:order val="1"/>
          <c:tx>
            <c:strRef>
              <c:f>'слайд 2 старый'!$A$11</c:f>
              <c:strCache>
                <c:ptCount val="1"/>
                <c:pt idx="0">
                  <c:v>Факт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75-446A-964B-26DB39599789}"/>
                </c:ext>
              </c:extLst>
            </c:dLbl>
            <c:dLbl>
              <c:idx val="2"/>
              <c:layout>
                <c:manualLayout>
                  <c:x val="-6.6787084229291069E-2"/>
                  <c:y val="-6.3833621973405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1331579608286"/>
                      <c:h val="7.85648238611505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60-4B7A-B459-80F4AD9B8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'слайд 2 старый'!$B$6:$D$6</c:f>
              <c:strCache>
                <c:ptCount val="3"/>
                <c:pt idx="0">
                  <c:v>янв-апр 2020 год</c:v>
                </c:pt>
                <c:pt idx="1">
                  <c:v>янв-апр 2021 год</c:v>
                </c:pt>
                <c:pt idx="2">
                  <c:v>янв-апр 2022 год</c:v>
                </c:pt>
              </c:strCache>
            </c:strRef>
          </c:cat>
          <c:val>
            <c:numRef>
              <c:f>'слайд 2 старый'!$B$11:$D$11</c:f>
              <c:numCache>
                <c:formatCode>#,##0</c:formatCode>
                <c:ptCount val="3"/>
                <c:pt idx="0">
                  <c:v>-197734141.96000001</c:v>
                </c:pt>
                <c:pt idx="1">
                  <c:v>-135902443.86000001</c:v>
                </c:pt>
                <c:pt idx="2">
                  <c:v>-30640705.010000002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5-446A-964B-26DB3959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05760"/>
        <c:axId val="342405344"/>
        <c:extLst/>
      </c:lineChart>
      <c:catAx>
        <c:axId val="3424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42405344"/>
        <c:crosses val="autoZero"/>
        <c:auto val="1"/>
        <c:lblAlgn val="ctr"/>
        <c:lblOffset val="100"/>
        <c:noMultiLvlLbl val="0"/>
      </c:catAx>
      <c:valAx>
        <c:axId val="342405344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424057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2"/>
          <c:tx>
            <c:strRef>
              <c:f>ФГУП!$J$130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ФГУП!$I$131:$I$139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ФГУП!$J$131:$J$139</c:f>
              <c:numCache>
                <c:formatCode>#,##0</c:formatCode>
                <c:ptCount val="9"/>
                <c:pt idx="0">
                  <c:v>320986</c:v>
                </c:pt>
                <c:pt idx="1">
                  <c:v>160366</c:v>
                </c:pt>
                <c:pt idx="2" formatCode="General">
                  <c:v>44271</c:v>
                </c:pt>
                <c:pt idx="3" formatCode="General">
                  <c:v>116947</c:v>
                </c:pt>
                <c:pt idx="4" formatCode="General">
                  <c:v>63763</c:v>
                </c:pt>
                <c:pt idx="5" formatCode="General">
                  <c:v>22714</c:v>
                </c:pt>
                <c:pt idx="6" formatCode="General">
                  <c:v>26011</c:v>
                </c:pt>
                <c:pt idx="7" formatCode="General">
                  <c:v>1583</c:v>
                </c:pt>
                <c:pt idx="8" formatCode="General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5-483A-B5FC-2F8D6C8A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2"/>
          <c:order val="0"/>
          <c:tx>
            <c:strRef>
              <c:f>ФГУП!$L$130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ФГУП!$I$131:$I$139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ФГУП!$L$131:$L$139</c:f>
              <c:numCache>
                <c:formatCode>#,##0</c:formatCode>
                <c:ptCount val="9"/>
                <c:pt idx="0">
                  <c:v>334413</c:v>
                </c:pt>
                <c:pt idx="1">
                  <c:v>341353</c:v>
                </c:pt>
                <c:pt idx="2" formatCode="General">
                  <c:v>230446</c:v>
                </c:pt>
                <c:pt idx="3" formatCode="General">
                  <c:v>173212</c:v>
                </c:pt>
                <c:pt idx="4" formatCode="General">
                  <c:v>76853</c:v>
                </c:pt>
                <c:pt idx="5" formatCode="General">
                  <c:v>36547</c:v>
                </c:pt>
                <c:pt idx="6" formatCode="General">
                  <c:v>26166</c:v>
                </c:pt>
                <c:pt idx="7" formatCode="General">
                  <c:v>10231</c:v>
                </c:pt>
                <c:pt idx="8" formatCode="General">
                  <c:v>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5-483A-B5FC-2F8D6C8A9717}"/>
            </c:ext>
          </c:extLst>
        </c:ser>
        <c:ser>
          <c:idx val="1"/>
          <c:order val="1"/>
          <c:tx>
            <c:strRef>
              <c:f>ФГУП!$K$130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ФГУП!$I$131:$I$139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ФГУП!$K$131:$K$139</c:f>
              <c:numCache>
                <c:formatCode>#,##0</c:formatCode>
                <c:ptCount val="9"/>
                <c:pt idx="0">
                  <c:v>325567</c:v>
                </c:pt>
                <c:pt idx="1">
                  <c:v>118083</c:v>
                </c:pt>
                <c:pt idx="2" formatCode="General">
                  <c:v>194169</c:v>
                </c:pt>
                <c:pt idx="3" formatCode="General">
                  <c:v>139887</c:v>
                </c:pt>
                <c:pt idx="4" formatCode="General">
                  <c:v>68971</c:v>
                </c:pt>
                <c:pt idx="5" formatCode="General">
                  <c:v>19545</c:v>
                </c:pt>
                <c:pt idx="6" formatCode="General">
                  <c:v>170</c:v>
                </c:pt>
                <c:pt idx="7" formatCode="General">
                  <c:v>2508</c:v>
                </c:pt>
                <c:pt idx="8" formatCode="General">
                  <c:v>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5-483A-B5FC-2F8D6C8A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672024008"/>
        <c:axId val="58230596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82319416"/>
        <c:crosses val="autoZero"/>
        <c:crossBetween val="between"/>
      </c:valAx>
      <c:valAx>
        <c:axId val="582305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Динамика выручки по направлениям деятельности </a:t>
            </a:r>
          </a:p>
          <a:p>
            <a:pPr>
              <a:defRPr sz="1000" b="1"/>
            </a:pPr>
            <a:r>
              <a:rPr lang="ru-RU" sz="1000" b="1"/>
              <a:t>за 1 полугодие 2022 г.</a:t>
            </a:r>
          </a:p>
        </c:rich>
      </c:tx>
      <c:layout>
        <c:manualLayout>
          <c:xMode val="edge"/>
          <c:yMode val="edge"/>
          <c:x val="0.13002883622424868"/>
          <c:y val="2.278274825720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43818136669843"/>
          <c:y val="0.115423665080857"/>
          <c:w val="0.78401150263134711"/>
          <c:h val="0.764909370027383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'Слайд 12'!$J$10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12'!$I$11:$I$24</c15:sqref>
                  </c15:fullRef>
                </c:ext>
              </c:extLst>
              <c:f>('Слайд 12'!$I$11:$I$16,'Слайд 12'!$I$20,'Слайд 12'!$I$24)</c:f>
              <c:strCache>
                <c:ptCount val="8"/>
                <c:pt idx="0">
                  <c:v>Гриф</c:v>
                </c:pt>
                <c:pt idx="1">
                  <c:v>Стандарт</c:v>
                </c:pt>
                <c:pt idx="2">
                  <c:v>Экспресс</c:v>
                </c:pt>
                <c:pt idx="3">
                  <c:v>Грузы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12'!$J$11:$J$24</c15:sqref>
                  </c15:fullRef>
                </c:ext>
              </c:extLst>
              <c:f>('Слайд 12'!$J$11:$J$16,'Слайд 12'!$J$20,'Слайд 12'!$J$24)</c:f>
              <c:numCache>
                <c:formatCode>#,##0</c:formatCode>
                <c:ptCount val="8"/>
                <c:pt idx="0">
                  <c:v>1126991</c:v>
                </c:pt>
                <c:pt idx="1">
                  <c:v>881007</c:v>
                </c:pt>
                <c:pt idx="2">
                  <c:v>837150</c:v>
                </c:pt>
                <c:pt idx="3">
                  <c:v>728666</c:v>
                </c:pt>
                <c:pt idx="4">
                  <c:v>685235</c:v>
                </c:pt>
                <c:pt idx="5">
                  <c:v>218503</c:v>
                </c:pt>
                <c:pt idx="6">
                  <c:v>55765</c:v>
                </c:pt>
                <c:pt idx="7">
                  <c:v>11928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FE6-AA73-3C78EFBEF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679532448"/>
        <c:axId val="679531464"/>
      </c:barChart>
      <c:barChart>
        <c:barDir val="bar"/>
        <c:grouping val="clustered"/>
        <c:varyColors val="0"/>
        <c:ser>
          <c:idx val="2"/>
          <c:order val="1"/>
          <c:tx>
            <c:strRef>
              <c:f>'Слайд 12'!$L$10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A2-4FE6-AA73-3C78EFBEF70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A2-4FE6-AA73-3C78EFBEF70C}"/>
                </c:ext>
              </c:extLst>
            </c:dLbl>
            <c:dLbl>
              <c:idx val="2"/>
              <c:layout>
                <c:manualLayout>
                  <c:x val="0.13224821973550355"/>
                  <c:y val="7.0208230968510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A2-4FE6-AA73-3C78EFBEF7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A2-4FE6-AA73-3C78EFBEF70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A2-4FE6-AA73-3C78EFBEF70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A2-4FE6-AA73-3C78EFBEF7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A2-4FE6-AA73-3C78EFBEF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12'!$I$11:$I$24</c15:sqref>
                  </c15:fullRef>
                </c:ext>
              </c:extLst>
              <c:f>('Слайд 12'!$I$11:$I$16,'Слайд 12'!$I$20,'Слайд 12'!$I$24)</c:f>
              <c:strCache>
                <c:ptCount val="8"/>
                <c:pt idx="0">
                  <c:v>Гриф</c:v>
                </c:pt>
                <c:pt idx="1">
                  <c:v>Стандарт</c:v>
                </c:pt>
                <c:pt idx="2">
                  <c:v>Экспресс</c:v>
                </c:pt>
                <c:pt idx="3">
                  <c:v>Грузы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12'!$L$11:$L$24</c15:sqref>
                  </c15:fullRef>
                </c:ext>
              </c:extLst>
              <c:f>('Слайд 12'!$L$11:$L$16,'Слайд 12'!$L$20,'Слайд 12'!$L$24)</c:f>
              <c:numCache>
                <c:formatCode>#,##0</c:formatCode>
                <c:ptCount val="8"/>
                <c:pt idx="0">
                  <c:v>1245512</c:v>
                </c:pt>
                <c:pt idx="1">
                  <c:v>975326</c:v>
                </c:pt>
                <c:pt idx="2">
                  <c:v>758658</c:v>
                </c:pt>
                <c:pt idx="3">
                  <c:v>1301837</c:v>
                </c:pt>
                <c:pt idx="4">
                  <c:v>717529</c:v>
                </c:pt>
                <c:pt idx="5">
                  <c:v>246139</c:v>
                </c:pt>
                <c:pt idx="6">
                  <c:v>65229</c:v>
                </c:pt>
                <c:pt idx="7">
                  <c:v>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2-4FE6-AA73-3C78EFBEF70C}"/>
            </c:ext>
          </c:extLst>
        </c:ser>
        <c:ser>
          <c:idx val="1"/>
          <c:order val="2"/>
          <c:tx>
            <c:strRef>
              <c:f>'Слайд 12'!$K$10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A2-4FE6-AA73-3C78EFBEF70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A2-4FE6-AA73-3C78EFBEF7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A2-4FE6-AA73-3C78EFBEF70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2A2-4FE6-AA73-3C78EFBEF70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2A2-4FE6-AA73-3C78EFBEF70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A2-4FE6-AA73-3C78EFBEF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12'!$I$11:$I$24</c15:sqref>
                  </c15:fullRef>
                </c:ext>
              </c:extLst>
              <c:f>('Слайд 12'!$I$11:$I$16,'Слайд 12'!$I$20,'Слайд 12'!$I$24)</c:f>
              <c:strCache>
                <c:ptCount val="8"/>
                <c:pt idx="0">
                  <c:v>Гриф</c:v>
                </c:pt>
                <c:pt idx="1">
                  <c:v>Стандарт</c:v>
                </c:pt>
                <c:pt idx="2">
                  <c:v>Экспресс</c:v>
                </c:pt>
                <c:pt idx="3">
                  <c:v>Грузы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12'!$K$11:$K$24</c15:sqref>
                  </c15:fullRef>
                </c:ext>
              </c:extLst>
              <c:f>('Слайд 12'!$K$11:$K$16,'Слайд 12'!$K$20,'Слайд 12'!$K$24)</c:f>
              <c:numCache>
                <c:formatCode>#,##0</c:formatCode>
                <c:ptCount val="8"/>
                <c:pt idx="0">
                  <c:v>1175260</c:v>
                </c:pt>
                <c:pt idx="1">
                  <c:v>924422</c:v>
                </c:pt>
                <c:pt idx="2">
                  <c:v>873614</c:v>
                </c:pt>
                <c:pt idx="3">
                  <c:v>993201</c:v>
                </c:pt>
                <c:pt idx="4">
                  <c:v>744548</c:v>
                </c:pt>
                <c:pt idx="5">
                  <c:v>276664</c:v>
                </c:pt>
                <c:pt idx="6">
                  <c:v>62251</c:v>
                </c:pt>
                <c:pt idx="7">
                  <c:v>20715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2-4FE6-AA73-3C78EFBEF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100"/>
        <c:axId val="662939720"/>
        <c:axId val="662939392"/>
      </c:barChart>
      <c:catAx>
        <c:axId val="67953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9531464"/>
        <c:crosses val="autoZero"/>
        <c:auto val="1"/>
        <c:lblAlgn val="ctr"/>
        <c:lblOffset val="100"/>
        <c:noMultiLvlLbl val="0"/>
      </c:catAx>
      <c:valAx>
        <c:axId val="67953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9532448"/>
        <c:crosses val="autoZero"/>
        <c:crossBetween val="between"/>
        <c:majorUnit val="200000"/>
      </c:valAx>
      <c:valAx>
        <c:axId val="662939392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662939720"/>
        <c:crosses val="max"/>
        <c:crossBetween val="between"/>
      </c:valAx>
      <c:catAx>
        <c:axId val="662939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293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07465496111058"/>
          <c:y val="0.92817117456963161"/>
          <c:w val="0.38357398611033233"/>
          <c:h val="6.416965721000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Перерасход по статьям за 1 полугодие 2022 г </a:t>
            </a:r>
          </a:p>
        </c:rich>
      </c:tx>
      <c:layout>
        <c:manualLayout>
          <c:xMode val="edge"/>
          <c:yMode val="edge"/>
          <c:x val="0.46706464944750081"/>
          <c:y val="3.3462616723930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721906885066632"/>
          <c:y val="3.6808878396323852E-2"/>
          <c:w val="0.68673411492232428"/>
          <c:h val="0.80901751649417175"/>
        </c:manualLayout>
      </c:layout>
      <c:barChart>
        <c:barDir val="bar"/>
        <c:grouping val="clustered"/>
        <c:varyColors val="0"/>
        <c:ser>
          <c:idx val="0"/>
          <c:order val="2"/>
          <c:tx>
            <c:strRef>
              <c:f>'Слайд 12'!$K$130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12'!$I$131:$I$139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12'!$K$131:$K$139</c:f>
              <c:numCache>
                <c:formatCode>#,##0</c:formatCode>
                <c:ptCount val="9"/>
                <c:pt idx="0">
                  <c:v>320986</c:v>
                </c:pt>
                <c:pt idx="1">
                  <c:v>160366</c:v>
                </c:pt>
                <c:pt idx="2" formatCode="General">
                  <c:v>44271</c:v>
                </c:pt>
                <c:pt idx="3" formatCode="General">
                  <c:v>116947</c:v>
                </c:pt>
                <c:pt idx="4" formatCode="General">
                  <c:v>63763</c:v>
                </c:pt>
                <c:pt idx="5" formatCode="General">
                  <c:v>22714</c:v>
                </c:pt>
                <c:pt idx="6" formatCode="General">
                  <c:v>26011</c:v>
                </c:pt>
                <c:pt idx="7" formatCode="General">
                  <c:v>1583</c:v>
                </c:pt>
                <c:pt idx="8" formatCode="General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8-4524-ABDD-D132DD4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12'!$M$130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'Слайд 12'!$I$131:$I$139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12'!$M$131:$M$139</c:f>
              <c:numCache>
                <c:formatCode>#,##0</c:formatCode>
                <c:ptCount val="9"/>
                <c:pt idx="0">
                  <c:v>334413</c:v>
                </c:pt>
                <c:pt idx="1">
                  <c:v>341353</c:v>
                </c:pt>
                <c:pt idx="2" formatCode="General">
                  <c:v>230446</c:v>
                </c:pt>
                <c:pt idx="3" formatCode="General">
                  <c:v>173212</c:v>
                </c:pt>
                <c:pt idx="4" formatCode="General">
                  <c:v>76853</c:v>
                </c:pt>
                <c:pt idx="5" formatCode="General">
                  <c:v>36547</c:v>
                </c:pt>
                <c:pt idx="6" formatCode="General">
                  <c:v>26166</c:v>
                </c:pt>
                <c:pt idx="7" formatCode="General">
                  <c:v>10231</c:v>
                </c:pt>
                <c:pt idx="8" formatCode="General">
                  <c:v>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8-4524-ABDD-D132DD469AF8}"/>
            </c:ext>
          </c:extLst>
        </c:ser>
        <c:ser>
          <c:idx val="1"/>
          <c:order val="1"/>
          <c:tx>
            <c:strRef>
              <c:f>'Слайд 12'!$L$130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'Слайд 12'!$I$131:$I$139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12'!$L$131:$L$139</c:f>
              <c:numCache>
                <c:formatCode>#,##0</c:formatCode>
                <c:ptCount val="9"/>
                <c:pt idx="0">
                  <c:v>325567</c:v>
                </c:pt>
                <c:pt idx="1">
                  <c:v>118083</c:v>
                </c:pt>
                <c:pt idx="2" formatCode="General">
                  <c:v>194169</c:v>
                </c:pt>
                <c:pt idx="3" formatCode="General">
                  <c:v>139887</c:v>
                </c:pt>
                <c:pt idx="4" formatCode="General">
                  <c:v>68971</c:v>
                </c:pt>
                <c:pt idx="5" formatCode="General">
                  <c:v>19545</c:v>
                </c:pt>
                <c:pt idx="6" formatCode="General">
                  <c:v>170</c:v>
                </c:pt>
                <c:pt idx="7" formatCode="General">
                  <c:v>2508</c:v>
                </c:pt>
                <c:pt idx="8" formatCode="General">
                  <c:v>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8-4524-ABDD-D132DD4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672024008"/>
        <c:axId val="58230596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82319416"/>
        <c:crosses val="autoZero"/>
        <c:crossBetween val="between"/>
      </c:valAx>
      <c:valAx>
        <c:axId val="582305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Экономия</a:t>
            </a:r>
            <a:r>
              <a:rPr lang="ru-RU" sz="1000" b="1" baseline="0"/>
              <a:t> по статьям за 1 полугодие 2022 г.</a:t>
            </a:r>
            <a:endParaRPr lang="ru-RU" sz="1000" b="1"/>
          </a:p>
        </c:rich>
      </c:tx>
      <c:layout>
        <c:manualLayout>
          <c:xMode val="edge"/>
          <c:yMode val="edge"/>
          <c:x val="0.3479422854707685"/>
          <c:y val="2.731858416597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933103095505906"/>
          <c:y val="3.6808878396323852E-2"/>
          <c:w val="0.68914400969606748"/>
          <c:h val="0.8090175164941717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'Слайд 12'!$K$130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12'!$I$140:$I$148</c15:sqref>
                  </c15:fullRef>
                </c:ext>
              </c:extLst>
              <c:f>'Слайд 12'!$I$141:$I$147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12'!$K$140:$K$148</c15:sqref>
                  </c15:fullRef>
                </c:ext>
              </c:extLst>
              <c:f>'Слайд 12'!$K$141:$K$147</c:f>
              <c:numCache>
                <c:formatCode>General</c:formatCode>
                <c:ptCount val="7"/>
                <c:pt idx="0">
                  <c:v>220370</c:v>
                </c:pt>
                <c:pt idx="1">
                  <c:v>118630</c:v>
                </c:pt>
                <c:pt idx="2">
                  <c:v>56959</c:v>
                </c:pt>
                <c:pt idx="3">
                  <c:v>58724</c:v>
                </c:pt>
                <c:pt idx="4">
                  <c:v>28533</c:v>
                </c:pt>
                <c:pt idx="5">
                  <c:v>21101</c:v>
                </c:pt>
                <c:pt idx="6">
                  <c:v>13321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0-46CE-998F-0868049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1"/>
          <c:order val="1"/>
          <c:tx>
            <c:strRef>
              <c:f>'Слайд 12'!$L$130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12'!$I$140:$I$148</c15:sqref>
                  </c15:fullRef>
                </c:ext>
              </c:extLst>
              <c:f>'Слайд 12'!$I$141:$I$147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12'!$L$140:$L$148</c15:sqref>
                  </c15:fullRef>
                </c:ext>
              </c:extLst>
              <c:f>'Слайд 12'!$L$141:$L$147</c:f>
              <c:numCache>
                <c:formatCode>General</c:formatCode>
                <c:ptCount val="7"/>
                <c:pt idx="0">
                  <c:v>202922</c:v>
                </c:pt>
                <c:pt idx="1">
                  <c:v>127774</c:v>
                </c:pt>
                <c:pt idx="2">
                  <c:v>56828</c:v>
                </c:pt>
                <c:pt idx="3">
                  <c:v>45366</c:v>
                </c:pt>
                <c:pt idx="4">
                  <c:v>35278</c:v>
                </c:pt>
                <c:pt idx="5">
                  <c:v>27542</c:v>
                </c:pt>
                <c:pt idx="6">
                  <c:v>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0-46CE-998F-086804980A77}"/>
            </c:ext>
          </c:extLst>
        </c:ser>
        <c:ser>
          <c:idx val="0"/>
          <c:order val="2"/>
          <c:tx>
            <c:strRef>
              <c:f>'Слайд 12'!$M$130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12'!$I$140:$I$148</c15:sqref>
                  </c15:fullRef>
                </c:ext>
              </c:extLst>
              <c:f>'Слайд 12'!$I$141:$I$147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12'!$M$140:$M$148</c15:sqref>
                  </c15:fullRef>
                </c:ext>
              </c:extLst>
              <c:f>'Слайд 12'!$M$141:$M$147</c:f>
              <c:numCache>
                <c:formatCode>General</c:formatCode>
                <c:ptCount val="7"/>
                <c:pt idx="0">
                  <c:v>191228</c:v>
                </c:pt>
                <c:pt idx="1">
                  <c:v>106409</c:v>
                </c:pt>
                <c:pt idx="2">
                  <c:v>51941</c:v>
                </c:pt>
                <c:pt idx="3">
                  <c:v>36280</c:v>
                </c:pt>
                <c:pt idx="4">
                  <c:v>29803</c:v>
                </c:pt>
                <c:pt idx="5">
                  <c:v>19554</c:v>
                </c:pt>
                <c:pt idx="6">
                  <c:v>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6CE-998F-0868049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672024008"/>
        <c:axId val="58230596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2319416"/>
        <c:crosses val="autoZero"/>
        <c:crossBetween val="between"/>
      </c:valAx>
      <c:valAx>
        <c:axId val="5823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Динамика выручки по направлениям деятельности </a:t>
            </a:r>
          </a:p>
          <a:p>
            <a:pPr>
              <a:defRPr sz="1000" b="1"/>
            </a:pPr>
            <a:r>
              <a:rPr lang="ru-RU" sz="1000" b="1"/>
              <a:t>за 1 полугодие 2022 г.</a:t>
            </a:r>
          </a:p>
        </c:rich>
      </c:tx>
      <c:layout>
        <c:manualLayout>
          <c:xMode val="edge"/>
          <c:yMode val="edge"/>
          <c:x val="0.13002883622424868"/>
          <c:y val="2.278274825720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43822302196089"/>
          <c:y val="0.1345715450527819"/>
          <c:w val="0.78401150263134711"/>
          <c:h val="0.76490937002738302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'Слайд 12 (3)'!$K$10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12 (3)'!$I$20:$I$27</c:f>
              <c:strCache>
                <c:ptCount val="8"/>
                <c:pt idx="0">
                  <c:v>Грузы</c:v>
                </c:pt>
                <c:pt idx="1">
                  <c:v>Гриф</c:v>
                </c:pt>
                <c:pt idx="2">
                  <c:v>Стандарт</c:v>
                </c:pt>
                <c:pt idx="3">
                  <c:v>Экспресс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f>'Слайд 12 (3)'!$K$20:$K$27</c:f>
              <c:numCache>
                <c:formatCode>#,##0</c:formatCode>
                <c:ptCount val="8"/>
                <c:pt idx="0">
                  <c:v>728666</c:v>
                </c:pt>
                <c:pt idx="1">
                  <c:v>1126991</c:v>
                </c:pt>
                <c:pt idx="2">
                  <c:v>881007</c:v>
                </c:pt>
                <c:pt idx="3">
                  <c:v>837150</c:v>
                </c:pt>
                <c:pt idx="4">
                  <c:v>685235</c:v>
                </c:pt>
                <c:pt idx="5">
                  <c:v>218503</c:v>
                </c:pt>
                <c:pt idx="6">
                  <c:v>55765</c:v>
                </c:pt>
                <c:pt idx="7">
                  <c:v>11928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95-4622-9168-B71C0EE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62939720"/>
        <c:axId val="662939392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 (3)'!$J$10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95-4622-9168-B71C0EE72BD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95-4622-9168-B71C0EE72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12 (3)'!$I$20:$I$27</c:f>
              <c:strCache>
                <c:ptCount val="8"/>
                <c:pt idx="0">
                  <c:v>Грузы</c:v>
                </c:pt>
                <c:pt idx="1">
                  <c:v>Гриф</c:v>
                </c:pt>
                <c:pt idx="2">
                  <c:v>Стандарт</c:v>
                </c:pt>
                <c:pt idx="3">
                  <c:v>Экспресс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f>'Слайд 12 (3)'!$J$20:$J$27</c:f>
              <c:numCache>
                <c:formatCode>#,##0</c:formatCode>
                <c:ptCount val="8"/>
                <c:pt idx="0">
                  <c:v>1301837</c:v>
                </c:pt>
                <c:pt idx="1">
                  <c:v>1245512</c:v>
                </c:pt>
                <c:pt idx="2">
                  <c:v>975326</c:v>
                </c:pt>
                <c:pt idx="3">
                  <c:v>758658</c:v>
                </c:pt>
                <c:pt idx="4">
                  <c:v>717529</c:v>
                </c:pt>
                <c:pt idx="5">
                  <c:v>246139</c:v>
                </c:pt>
                <c:pt idx="6">
                  <c:v>65229</c:v>
                </c:pt>
                <c:pt idx="7">
                  <c:v>13182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622-9168-B71C0EE72BDC}"/>
            </c:ext>
          </c:extLst>
        </c:ser>
        <c:ser>
          <c:idx val="1"/>
          <c:order val="2"/>
          <c:tx>
            <c:strRef>
              <c:f>'Слайд 12 (3)'!$L$10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95-4622-9168-B71C0EE72BD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95-4622-9168-B71C0EE72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12 (3)'!$I$20:$I$27</c:f>
              <c:strCache>
                <c:ptCount val="8"/>
                <c:pt idx="0">
                  <c:v>Грузы</c:v>
                </c:pt>
                <c:pt idx="1">
                  <c:v>Гриф</c:v>
                </c:pt>
                <c:pt idx="2">
                  <c:v>Стандарт</c:v>
                </c:pt>
                <c:pt idx="3">
                  <c:v>Экспресс</c:v>
                </c:pt>
                <c:pt idx="4">
                  <c:v>Ден. наличность</c:v>
                </c:pt>
                <c:pt idx="5">
                  <c:v>Драг.металлы</c:v>
                </c:pt>
                <c:pt idx="6">
                  <c:v>Наркотич.вещ-ва</c:v>
                </c:pt>
                <c:pt idx="7">
                  <c:v>Таможня</c:v>
                </c:pt>
              </c:strCache>
            </c:strRef>
          </c:cat>
          <c:val>
            <c:numRef>
              <c:f>'Слайд 12 (3)'!$L$20:$L$27</c:f>
              <c:numCache>
                <c:formatCode>#,##0</c:formatCode>
                <c:ptCount val="8"/>
                <c:pt idx="0">
                  <c:v>993201</c:v>
                </c:pt>
                <c:pt idx="1">
                  <c:v>1175260</c:v>
                </c:pt>
                <c:pt idx="2">
                  <c:v>924422</c:v>
                </c:pt>
                <c:pt idx="3">
                  <c:v>873614</c:v>
                </c:pt>
                <c:pt idx="4">
                  <c:v>744548</c:v>
                </c:pt>
                <c:pt idx="5">
                  <c:v>276664</c:v>
                </c:pt>
                <c:pt idx="6">
                  <c:v>62251</c:v>
                </c:pt>
                <c:pt idx="7">
                  <c:v>20715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95-4622-9168-B71C0EE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787111368"/>
        <c:axId val="787113336"/>
      </c:barChart>
      <c:valAx>
        <c:axId val="662939392"/>
        <c:scaling>
          <c:orientation val="minMax"/>
        </c:scaling>
        <c:delete val="0"/>
        <c:axPos val="t"/>
        <c:numFmt formatCode="#,##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62939720"/>
        <c:crosses val="max"/>
        <c:crossBetween val="between"/>
      </c:valAx>
      <c:catAx>
        <c:axId val="662939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62939392"/>
        <c:crosses val="autoZero"/>
        <c:auto val="1"/>
        <c:lblAlgn val="ctr"/>
        <c:lblOffset val="100"/>
        <c:noMultiLvlLbl val="0"/>
      </c:catAx>
      <c:valAx>
        <c:axId val="78711333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787111368"/>
        <c:crosses val="max"/>
        <c:crossBetween val="between"/>
      </c:valAx>
      <c:catAx>
        <c:axId val="787111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7113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02473603887697"/>
          <c:y val="0.9522701594301487"/>
          <c:w val="0.38018976396294912"/>
          <c:h val="3.624098856075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Перерасход по статьям за 1 полугодие 2022 г </a:t>
            </a:r>
          </a:p>
        </c:rich>
      </c:tx>
      <c:layout>
        <c:manualLayout>
          <c:xMode val="edge"/>
          <c:yMode val="edge"/>
          <c:x val="0.46706464944750081"/>
          <c:y val="3.3462616723930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721906885066632"/>
          <c:y val="3.6808878396323852E-2"/>
          <c:w val="0.68673411492232428"/>
          <c:h val="0.80901751649417175"/>
        </c:manualLayout>
      </c:layout>
      <c:barChart>
        <c:barDir val="bar"/>
        <c:grouping val="clustered"/>
        <c:varyColors val="0"/>
        <c:ser>
          <c:idx val="0"/>
          <c:order val="2"/>
          <c:tx>
            <c:strRef>
              <c:f>'Слайд 12 (3)'!$L$131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12 (3)'!$I$132:$I$140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 (3)'!$L$132:$L$140</c:f>
              <c:numCache>
                <c:formatCode>#,##0</c:formatCode>
                <c:ptCount val="9"/>
                <c:pt idx="0">
                  <c:v>320986</c:v>
                </c:pt>
                <c:pt idx="1">
                  <c:v>160366</c:v>
                </c:pt>
                <c:pt idx="2" formatCode="General">
                  <c:v>44271</c:v>
                </c:pt>
                <c:pt idx="3" formatCode="General">
                  <c:v>116947</c:v>
                </c:pt>
                <c:pt idx="4" formatCode="General">
                  <c:v>63763</c:v>
                </c:pt>
                <c:pt idx="5" formatCode="General">
                  <c:v>22714</c:v>
                </c:pt>
                <c:pt idx="6" formatCode="General">
                  <c:v>26011</c:v>
                </c:pt>
                <c:pt idx="7" formatCode="General">
                  <c:v>1583</c:v>
                </c:pt>
                <c:pt idx="8" formatCode="General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39E-B662-AEDAA593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 (3)'!$N$131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'Слайд 12 (3)'!$I$132:$I$140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 (3)'!$N$132:$N$140</c:f>
              <c:numCache>
                <c:formatCode>#,##0</c:formatCode>
                <c:ptCount val="9"/>
                <c:pt idx="0">
                  <c:v>334413</c:v>
                </c:pt>
                <c:pt idx="1">
                  <c:v>341353</c:v>
                </c:pt>
                <c:pt idx="2" formatCode="General">
                  <c:v>230446</c:v>
                </c:pt>
                <c:pt idx="3" formatCode="General">
                  <c:v>173212</c:v>
                </c:pt>
                <c:pt idx="4" formatCode="General">
                  <c:v>76853</c:v>
                </c:pt>
                <c:pt idx="5" formatCode="General">
                  <c:v>36547</c:v>
                </c:pt>
                <c:pt idx="6" formatCode="General">
                  <c:v>26166</c:v>
                </c:pt>
                <c:pt idx="7" formatCode="General">
                  <c:v>10231</c:v>
                </c:pt>
                <c:pt idx="8" formatCode="General">
                  <c:v>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2-439E-B662-AEDAA593356B}"/>
            </c:ext>
          </c:extLst>
        </c:ser>
        <c:ser>
          <c:idx val="1"/>
          <c:order val="1"/>
          <c:tx>
            <c:strRef>
              <c:f>'Слайд 12 (3)'!$M$131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'Слайд 12 (3)'!$I$132:$I$140</c:f>
              <c:strCache>
                <c:ptCount val="9"/>
                <c:pt idx="0">
                  <c:v>ГСМ</c:v>
                </c:pt>
                <c:pt idx="1">
                  <c:v>Автоперевозки</c:v>
                </c:pt>
                <c:pt idx="2">
                  <c:v>Ж/д перевозки</c:v>
                </c:pt>
                <c:pt idx="3">
                  <c:v>Ремонт, ТО и запчасти, масла</c:v>
                </c:pt>
                <c:pt idx="4">
                  <c:v>Амортизация ТС</c:v>
                </c:pt>
                <c:pt idx="5">
                  <c:v>Амортизация прочее</c:v>
                </c:pt>
                <c:pt idx="6">
                  <c:v>Убытки прошлых лет</c:v>
                </c:pt>
                <c:pt idx="7">
                  <c:v>ОС (Техника связи)</c:v>
                </c:pt>
                <c:pt idx="8">
                  <c:v>Амортизация зданий</c:v>
                </c:pt>
              </c:strCache>
            </c:strRef>
          </c:cat>
          <c:val>
            <c:numRef>
              <c:f>'Слайд 12 (3)'!$M$132:$M$140</c:f>
              <c:numCache>
                <c:formatCode>#,##0</c:formatCode>
                <c:ptCount val="9"/>
                <c:pt idx="0">
                  <c:v>325567</c:v>
                </c:pt>
                <c:pt idx="1">
                  <c:v>118083</c:v>
                </c:pt>
                <c:pt idx="2" formatCode="General">
                  <c:v>194169</c:v>
                </c:pt>
                <c:pt idx="3" formatCode="General">
                  <c:v>139887</c:v>
                </c:pt>
                <c:pt idx="4" formatCode="General">
                  <c:v>68971</c:v>
                </c:pt>
                <c:pt idx="5" formatCode="General">
                  <c:v>19545</c:v>
                </c:pt>
                <c:pt idx="6" formatCode="General">
                  <c:v>170</c:v>
                </c:pt>
                <c:pt idx="7" formatCode="General">
                  <c:v>2508</c:v>
                </c:pt>
                <c:pt idx="8" formatCode="General">
                  <c:v>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2-439E-B662-AEDAA593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672024008"/>
        <c:axId val="58230596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82319416"/>
        <c:crosses val="autoZero"/>
        <c:crossBetween val="between"/>
      </c:valAx>
      <c:valAx>
        <c:axId val="582305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Экономия</a:t>
            </a:r>
            <a:r>
              <a:rPr lang="ru-RU" sz="1000" b="1" baseline="0"/>
              <a:t> по статьям за 1 полугодие 2022 г.</a:t>
            </a:r>
            <a:endParaRPr lang="ru-RU" sz="1000" b="1"/>
          </a:p>
        </c:rich>
      </c:tx>
      <c:layout>
        <c:manualLayout>
          <c:xMode val="edge"/>
          <c:yMode val="edge"/>
          <c:x val="0.3479422854707685"/>
          <c:y val="2.731858416597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933103095505906"/>
          <c:y val="3.6808878396323852E-2"/>
          <c:w val="0.68914400969606748"/>
          <c:h val="0.8090175164941717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'Слайд 12 (3)'!$L$131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(3)'!$I$141:$I$149</c15:sqref>
                  </c15:fullRef>
                </c:ext>
              </c:extLst>
              <c:f>'Слайд 12 (3)'!$I$142:$I$148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(3)'!$L$141:$L$149</c15:sqref>
                  </c15:fullRef>
                </c:ext>
              </c:extLst>
              <c:f>'Слайд 12 (3)'!$L$142:$L$148</c:f>
              <c:numCache>
                <c:formatCode>General</c:formatCode>
                <c:ptCount val="7"/>
                <c:pt idx="0">
                  <c:v>220370</c:v>
                </c:pt>
                <c:pt idx="1">
                  <c:v>118630</c:v>
                </c:pt>
                <c:pt idx="2">
                  <c:v>56959</c:v>
                </c:pt>
                <c:pt idx="3">
                  <c:v>58724</c:v>
                </c:pt>
                <c:pt idx="4">
                  <c:v>28533</c:v>
                </c:pt>
                <c:pt idx="5">
                  <c:v>21101</c:v>
                </c:pt>
                <c:pt idx="6">
                  <c:v>13321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3-4FBC-81DA-9973995E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1"/>
          <c:order val="1"/>
          <c:tx>
            <c:strRef>
              <c:f>'Слайд 12 (3)'!$M$131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(3)'!$I$141:$I$149</c15:sqref>
                  </c15:fullRef>
                </c:ext>
              </c:extLst>
              <c:f>'Слайд 12 (3)'!$I$142:$I$148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(3)'!$M$141:$M$149</c15:sqref>
                  </c15:fullRef>
                </c:ext>
              </c:extLst>
              <c:f>'Слайд 12 (3)'!$M$142:$M$148</c:f>
              <c:numCache>
                <c:formatCode>General</c:formatCode>
                <c:ptCount val="7"/>
                <c:pt idx="0">
                  <c:v>202922</c:v>
                </c:pt>
                <c:pt idx="1">
                  <c:v>127774</c:v>
                </c:pt>
                <c:pt idx="2">
                  <c:v>56828</c:v>
                </c:pt>
                <c:pt idx="3">
                  <c:v>45366</c:v>
                </c:pt>
                <c:pt idx="4">
                  <c:v>35278</c:v>
                </c:pt>
                <c:pt idx="5">
                  <c:v>27542</c:v>
                </c:pt>
                <c:pt idx="6">
                  <c:v>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3-4FBC-81DA-9973995E638A}"/>
            </c:ext>
          </c:extLst>
        </c:ser>
        <c:ser>
          <c:idx val="0"/>
          <c:order val="2"/>
          <c:tx>
            <c:strRef>
              <c:f>'Слайд 12 (3)'!$N$131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(3)'!$I$141:$I$149</c15:sqref>
                  </c15:fullRef>
                </c:ext>
              </c:extLst>
              <c:f>'Слайд 12 (3)'!$I$142:$I$148</c:f>
              <c:strCache>
                <c:ptCount val="7"/>
                <c:pt idx="0">
                  <c:v>Авиапревозки</c:v>
                </c:pt>
                <c:pt idx="1">
                  <c:v>Содержание имущества</c:v>
                </c:pt>
                <c:pt idx="2">
                  <c:v>Пассажирские перевозки</c:v>
                </c:pt>
                <c:pt idx="3">
                  <c:v>Упаковка</c:v>
                </c:pt>
                <c:pt idx="4">
                  <c:v>Безопасность</c:v>
                </c:pt>
                <c:pt idx="5">
                  <c:v>Расходы на персонал</c:v>
                </c:pt>
                <c:pt idx="6">
                  <c:v>Налог на имущество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(3)'!$N$141:$N$149</c15:sqref>
                  </c15:fullRef>
                </c:ext>
              </c:extLst>
              <c:f>'Слайд 12 (3)'!$N$142:$N$148</c:f>
              <c:numCache>
                <c:formatCode>General</c:formatCode>
                <c:ptCount val="7"/>
                <c:pt idx="0">
                  <c:v>191228</c:v>
                </c:pt>
                <c:pt idx="1">
                  <c:v>106409</c:v>
                </c:pt>
                <c:pt idx="2">
                  <c:v>51941</c:v>
                </c:pt>
                <c:pt idx="3">
                  <c:v>36280</c:v>
                </c:pt>
                <c:pt idx="4">
                  <c:v>29803</c:v>
                </c:pt>
                <c:pt idx="5">
                  <c:v>19554</c:v>
                </c:pt>
                <c:pt idx="6">
                  <c:v>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3-4FBC-81DA-9973995E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672024008"/>
        <c:axId val="58230596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2319416"/>
        <c:crosses val="autoZero"/>
        <c:crossBetween val="between"/>
      </c:valAx>
      <c:valAx>
        <c:axId val="5823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Динамика выручки по направлениям деятельности </a:t>
            </a:r>
          </a:p>
          <a:p>
            <a:pPr>
              <a:defRPr sz="1000" b="1"/>
            </a:pPr>
            <a:r>
              <a:rPr lang="ru-RU" sz="1000" b="1"/>
              <a:t>за 7 месяцев 2022 г.</a:t>
            </a:r>
          </a:p>
        </c:rich>
      </c:tx>
      <c:layout>
        <c:manualLayout>
          <c:xMode val="edge"/>
          <c:yMode val="edge"/>
          <c:x val="0.13002883622424868"/>
          <c:y val="2.278274825720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43822302196089"/>
          <c:y val="0.1345715450527819"/>
          <c:w val="0.78401150263134711"/>
          <c:h val="0.76490937002738302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'Слайд 12 (4)'!$K$10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12 (4)'!$I$20:$I$27</c:f>
              <c:strCache>
                <c:ptCount val="8"/>
                <c:pt idx="0">
                  <c:v>Таможня</c:v>
                </c:pt>
                <c:pt idx="1">
                  <c:v>Наркотич.вещ-ва</c:v>
                </c:pt>
                <c:pt idx="2">
                  <c:v>Драг.металлы</c:v>
                </c:pt>
                <c:pt idx="3">
                  <c:v>Ден. наличность</c:v>
                </c:pt>
                <c:pt idx="4">
                  <c:v>Экспресс</c:v>
                </c:pt>
                <c:pt idx="5">
                  <c:v>Стандарт</c:v>
                </c:pt>
                <c:pt idx="6">
                  <c:v>Грузы</c:v>
                </c:pt>
                <c:pt idx="7">
                  <c:v>Гриф</c:v>
                </c:pt>
              </c:strCache>
            </c:strRef>
          </c:cat>
          <c:val>
            <c:numRef>
              <c:f>'Слайд 12 (4)'!$K$20:$K$27</c:f>
              <c:numCache>
                <c:formatCode>#,##0</c:formatCode>
                <c:ptCount val="8"/>
                <c:pt idx="0">
                  <c:v>14563.19543</c:v>
                </c:pt>
                <c:pt idx="1">
                  <c:v>66846.049159999995</c:v>
                </c:pt>
                <c:pt idx="2">
                  <c:v>274106.52849</c:v>
                </c:pt>
                <c:pt idx="3">
                  <c:v>806043.57007000002</c:v>
                </c:pt>
                <c:pt idx="4">
                  <c:v>989766.35855</c:v>
                </c:pt>
                <c:pt idx="5">
                  <c:v>1060846.97994</c:v>
                </c:pt>
                <c:pt idx="6">
                  <c:v>886994.55494000006</c:v>
                </c:pt>
                <c:pt idx="7">
                  <c:v>1338407.55544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DCE-935E-6E5EF399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62939720"/>
        <c:axId val="662939392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 (4)'!$J$10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'Слайд 12 (4)'!$I$20:$I$27</c:f>
              <c:strCache>
                <c:ptCount val="8"/>
                <c:pt idx="0">
                  <c:v>Таможня</c:v>
                </c:pt>
                <c:pt idx="1">
                  <c:v>Наркотич.вещ-ва</c:v>
                </c:pt>
                <c:pt idx="2">
                  <c:v>Драг.металлы</c:v>
                </c:pt>
                <c:pt idx="3">
                  <c:v>Ден. наличность</c:v>
                </c:pt>
                <c:pt idx="4">
                  <c:v>Экспресс</c:v>
                </c:pt>
                <c:pt idx="5">
                  <c:v>Стандарт</c:v>
                </c:pt>
                <c:pt idx="6">
                  <c:v>Грузы</c:v>
                </c:pt>
                <c:pt idx="7">
                  <c:v>Гриф</c:v>
                </c:pt>
              </c:strCache>
            </c:strRef>
          </c:cat>
          <c:val>
            <c:numRef>
              <c:f>'Слайд 12 (4)'!$J$20:$J$27</c:f>
              <c:numCache>
                <c:formatCode>#,##0</c:formatCode>
                <c:ptCount val="8"/>
                <c:pt idx="0">
                  <c:v>47343.63</c:v>
                </c:pt>
                <c:pt idx="1">
                  <c:v>75452.13109000001</c:v>
                </c:pt>
                <c:pt idx="2">
                  <c:v>302083.59267000004</c:v>
                </c:pt>
                <c:pt idx="3">
                  <c:v>832424.64196000004</c:v>
                </c:pt>
                <c:pt idx="4">
                  <c:v>895190.52509000001</c:v>
                </c:pt>
                <c:pt idx="5">
                  <c:v>1152305.9886700001</c:v>
                </c:pt>
                <c:pt idx="6">
                  <c:v>1481992.77795</c:v>
                </c:pt>
                <c:pt idx="7">
                  <c:v>1458924.0552600001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3-4DCE-935E-6E5EF399177D}"/>
            </c:ext>
          </c:extLst>
        </c:ser>
        <c:ser>
          <c:idx val="1"/>
          <c:order val="2"/>
          <c:tx>
            <c:strRef>
              <c:f>'Слайд 12 (4)'!$L$10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'Слайд 12 (4)'!$I$20:$I$27</c:f>
              <c:strCache>
                <c:ptCount val="8"/>
                <c:pt idx="0">
                  <c:v>Таможня</c:v>
                </c:pt>
                <c:pt idx="1">
                  <c:v>Наркотич.вещ-ва</c:v>
                </c:pt>
                <c:pt idx="2">
                  <c:v>Драг.металлы</c:v>
                </c:pt>
                <c:pt idx="3">
                  <c:v>Ден. наличность</c:v>
                </c:pt>
                <c:pt idx="4">
                  <c:v>Экспресс</c:v>
                </c:pt>
                <c:pt idx="5">
                  <c:v>Стандарт</c:v>
                </c:pt>
                <c:pt idx="6">
                  <c:v>Грузы</c:v>
                </c:pt>
                <c:pt idx="7">
                  <c:v>Гриф</c:v>
                </c:pt>
              </c:strCache>
            </c:strRef>
          </c:cat>
          <c:val>
            <c:numRef>
              <c:f>'Слайд 12 (4)'!$L$20:$L$27</c:f>
              <c:numCache>
                <c:formatCode>#,##0</c:formatCode>
                <c:ptCount val="8"/>
                <c:pt idx="0">
                  <c:v>25269.340899999999</c:v>
                </c:pt>
                <c:pt idx="1">
                  <c:v>74767.159879999992</c:v>
                </c:pt>
                <c:pt idx="2">
                  <c:v>349193.65194000001</c:v>
                </c:pt>
                <c:pt idx="3">
                  <c:v>877425.98372999998</c:v>
                </c:pt>
                <c:pt idx="4">
                  <c:v>1006960.16284</c:v>
                </c:pt>
                <c:pt idx="5">
                  <c:v>1108323.6122399999</c:v>
                </c:pt>
                <c:pt idx="6">
                  <c:v>1184003.7815</c:v>
                </c:pt>
                <c:pt idx="7">
                  <c:v>1393079.2487900001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3-4DCE-935E-6E5EF399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787111368"/>
        <c:axId val="787113336"/>
      </c:barChart>
      <c:valAx>
        <c:axId val="662939392"/>
        <c:scaling>
          <c:orientation val="minMax"/>
        </c:scaling>
        <c:delete val="0"/>
        <c:axPos val="t"/>
        <c:numFmt formatCode="#,##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62939720"/>
        <c:crosses val="max"/>
        <c:crossBetween val="between"/>
      </c:valAx>
      <c:catAx>
        <c:axId val="662939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62939392"/>
        <c:crosses val="autoZero"/>
        <c:auto val="1"/>
        <c:lblAlgn val="ctr"/>
        <c:lblOffset val="100"/>
        <c:noMultiLvlLbl val="0"/>
      </c:catAx>
      <c:valAx>
        <c:axId val="78711333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787111368"/>
        <c:crosses val="max"/>
        <c:crossBetween val="between"/>
      </c:valAx>
      <c:catAx>
        <c:axId val="787111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7113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02473603887697"/>
          <c:y val="0.9522701594301487"/>
          <c:w val="0.38018976396294912"/>
          <c:h val="3.624098856075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Перерасход по статьям за 7 месяцев 2022 г </a:t>
            </a:r>
          </a:p>
        </c:rich>
      </c:tx>
      <c:layout>
        <c:manualLayout>
          <c:xMode val="edge"/>
          <c:yMode val="edge"/>
          <c:x val="0.46372483854658725"/>
          <c:y val="1.9964767120230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721906885066632"/>
          <c:y val="8.0677183388999152E-2"/>
          <c:w val="0.68673411492232428"/>
          <c:h val="0.78877064883234627"/>
        </c:manualLayout>
      </c:layout>
      <c:barChart>
        <c:barDir val="bar"/>
        <c:grouping val="clustered"/>
        <c:varyColors val="0"/>
        <c:ser>
          <c:idx val="0"/>
          <c:order val="2"/>
          <c:tx>
            <c:strRef>
              <c:f>'Слайд 12 (4)'!$M$120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12 (4)'!$I$121:$I$129</c:f>
              <c:strCache>
                <c:ptCount val="9"/>
                <c:pt idx="0">
                  <c:v>Амортизация зданий</c:v>
                </c:pt>
                <c:pt idx="1">
                  <c:v>ОС (Техника связи)</c:v>
                </c:pt>
                <c:pt idx="2">
                  <c:v>Убытки прошлых лет</c:v>
                </c:pt>
                <c:pt idx="3">
                  <c:v>Амортизация прочее</c:v>
                </c:pt>
                <c:pt idx="4">
                  <c:v>Амортизация ТС</c:v>
                </c:pt>
                <c:pt idx="5">
                  <c:v>Ж/д перевозки</c:v>
                </c:pt>
                <c:pt idx="6">
                  <c:v>Ремонт, ТО и запчасти, масла</c:v>
                </c:pt>
                <c:pt idx="7">
                  <c:v>Автоперевозки</c:v>
                </c:pt>
                <c:pt idx="8">
                  <c:v>ГСМ</c:v>
                </c:pt>
              </c:strCache>
            </c:strRef>
          </c:cat>
          <c:val>
            <c:numRef>
              <c:f>'Слайд 12 (4)'!$M$121:$M$129</c:f>
              <c:numCache>
                <c:formatCode>#,##0</c:formatCode>
                <c:ptCount val="9"/>
                <c:pt idx="0">
                  <c:v>4660.5120299999999</c:v>
                </c:pt>
                <c:pt idx="1">
                  <c:v>1735.2400500000001</c:v>
                </c:pt>
                <c:pt idx="2">
                  <c:v>26214.384109999999</c:v>
                </c:pt>
                <c:pt idx="3">
                  <c:v>26587.879830000002</c:v>
                </c:pt>
                <c:pt idx="4">
                  <c:v>74365.005509999988</c:v>
                </c:pt>
                <c:pt idx="5">
                  <c:v>56023.876630000006</c:v>
                </c:pt>
                <c:pt idx="6">
                  <c:v>157451.57590999996</c:v>
                </c:pt>
                <c:pt idx="7">
                  <c:v>194096.5477</c:v>
                </c:pt>
                <c:pt idx="8">
                  <c:v>375884.86481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2-4E2A-9EA2-CAF2367A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72024008"/>
        <c:axId val="582305968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 (4)'!$L$120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'Слайд 12 (4)'!$I$121:$I$129</c:f>
              <c:strCache>
                <c:ptCount val="9"/>
                <c:pt idx="0">
                  <c:v>Амортизация зданий</c:v>
                </c:pt>
                <c:pt idx="1">
                  <c:v>ОС (Техника связи)</c:v>
                </c:pt>
                <c:pt idx="2">
                  <c:v>Убытки прошлых лет</c:v>
                </c:pt>
                <c:pt idx="3">
                  <c:v>Амортизация прочее</c:v>
                </c:pt>
                <c:pt idx="4">
                  <c:v>Амортизация ТС</c:v>
                </c:pt>
                <c:pt idx="5">
                  <c:v>Ж/д перевозки</c:v>
                </c:pt>
                <c:pt idx="6">
                  <c:v>Ремонт, ТО и запчасти, масла</c:v>
                </c:pt>
                <c:pt idx="7">
                  <c:v>Автоперевозки</c:v>
                </c:pt>
                <c:pt idx="8">
                  <c:v>ГСМ</c:v>
                </c:pt>
              </c:strCache>
            </c:strRef>
          </c:cat>
          <c:val>
            <c:numRef>
              <c:f>'Слайд 12 (4)'!$L$121:$L$129</c:f>
              <c:numCache>
                <c:formatCode>#,##0</c:formatCode>
                <c:ptCount val="9"/>
                <c:pt idx="0">
                  <c:v>11390.220439999999</c:v>
                </c:pt>
                <c:pt idx="1">
                  <c:v>11439.37795</c:v>
                </c:pt>
                <c:pt idx="2">
                  <c:v>26729.776670000003</c:v>
                </c:pt>
                <c:pt idx="3">
                  <c:v>42242.046450000002</c:v>
                </c:pt>
                <c:pt idx="4">
                  <c:v>89003.629259999987</c:v>
                </c:pt>
                <c:pt idx="5">
                  <c:v>241858.58937</c:v>
                </c:pt>
                <c:pt idx="6">
                  <c:v>243223.03472</c:v>
                </c:pt>
                <c:pt idx="7">
                  <c:v>384076.99177999998</c:v>
                </c:pt>
                <c:pt idx="8">
                  <c:v>397479.74598000001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4E2A-9EA2-CAF2367A181D}"/>
            </c:ext>
          </c:extLst>
        </c:ser>
        <c:ser>
          <c:idx val="1"/>
          <c:order val="1"/>
          <c:tx>
            <c:strRef>
              <c:f>'Слайд 12 (4)'!$N$120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'Слайд 12 (4)'!$I$121:$I$129</c:f>
              <c:strCache>
                <c:ptCount val="9"/>
                <c:pt idx="0">
                  <c:v>Амортизация зданий</c:v>
                </c:pt>
                <c:pt idx="1">
                  <c:v>ОС (Техника связи)</c:v>
                </c:pt>
                <c:pt idx="2">
                  <c:v>Убытки прошлых лет</c:v>
                </c:pt>
                <c:pt idx="3">
                  <c:v>Амортизация прочее</c:v>
                </c:pt>
                <c:pt idx="4">
                  <c:v>Амортизация ТС</c:v>
                </c:pt>
                <c:pt idx="5">
                  <c:v>Ж/д перевозки</c:v>
                </c:pt>
                <c:pt idx="6">
                  <c:v>Ремонт, ТО и запчасти, масла</c:v>
                </c:pt>
                <c:pt idx="7">
                  <c:v>Автоперевозки</c:v>
                </c:pt>
                <c:pt idx="8">
                  <c:v>ГСМ</c:v>
                </c:pt>
              </c:strCache>
            </c:strRef>
          </c:cat>
          <c:val>
            <c:numRef>
              <c:f>'Слайд 12 (4)'!$N$121:$N$129</c:f>
              <c:numCache>
                <c:formatCode>#,##0</c:formatCode>
                <c:ptCount val="9"/>
                <c:pt idx="0">
                  <c:v>4367.6902800000007</c:v>
                </c:pt>
                <c:pt idx="1">
                  <c:v>2564.1697899999999</c:v>
                </c:pt>
                <c:pt idx="2">
                  <c:v>170</c:v>
                </c:pt>
                <c:pt idx="3">
                  <c:v>23005.55904</c:v>
                </c:pt>
                <c:pt idx="4">
                  <c:v>81443.382960000003</c:v>
                </c:pt>
                <c:pt idx="5">
                  <c:v>212268.70736</c:v>
                </c:pt>
                <c:pt idx="6">
                  <c:v>206049.92968999999</c:v>
                </c:pt>
                <c:pt idx="7">
                  <c:v>149974.74659</c:v>
                </c:pt>
                <c:pt idx="8">
                  <c:v>382907.11131999997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E2-4E2A-9EA2-CAF2367A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453333112"/>
        <c:axId val="442869344"/>
      </c:barChart>
      <c:valAx>
        <c:axId val="582305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672024008"/>
        <c:crosses val="autoZero"/>
        <c:crossBetween val="between"/>
      </c:valAx>
      <c:catAx>
        <c:axId val="672024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05968"/>
        <c:crosses val="autoZero"/>
        <c:auto val="1"/>
        <c:lblAlgn val="ctr"/>
        <c:lblOffset val="100"/>
        <c:noMultiLvlLbl val="0"/>
      </c:catAx>
      <c:valAx>
        <c:axId val="442869344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453333112"/>
        <c:crosses val="max"/>
        <c:crossBetween val="between"/>
      </c:valAx>
      <c:catAx>
        <c:axId val="453333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286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91741961188066"/>
          <c:y val="0.92995804470802668"/>
          <c:w val="0.37418730713660026"/>
          <c:h val="5.6543989286653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000" b="1"/>
              <a:t>Экономия</a:t>
            </a:r>
            <a:r>
              <a:rPr lang="ru-RU" sz="1000" b="1" baseline="0"/>
              <a:t> по статьям за 7 месяцев 2022 г.</a:t>
            </a:r>
            <a:endParaRPr lang="ru-RU" sz="1000" b="1"/>
          </a:p>
        </c:rich>
      </c:tx>
      <c:layout>
        <c:manualLayout>
          <c:xMode val="edge"/>
          <c:yMode val="edge"/>
          <c:x val="0.3479422854707685"/>
          <c:y val="2.731858416597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933103095505906"/>
          <c:y val="8.9017321372844113E-2"/>
          <c:w val="0.68914400969606748"/>
          <c:h val="0.78201019579780873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'Слайд 12 (4)'!$M$131</c:f>
              <c:strCache>
                <c:ptCount val="1"/>
                <c:pt idx="0">
                  <c:v>факт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(4)'!$I$132:$I$138</c15:sqref>
                  </c15:fullRef>
                </c:ext>
              </c:extLst>
              <c:f>'Слайд 12 (4)'!$I$132:$I$137</c:f>
              <c:strCache>
                <c:ptCount val="6"/>
                <c:pt idx="0">
                  <c:v>Налог на имущество</c:v>
                </c:pt>
                <c:pt idx="1">
                  <c:v>Расходы на персонал</c:v>
                </c:pt>
                <c:pt idx="2">
                  <c:v>Безопасность</c:v>
                </c:pt>
                <c:pt idx="3">
                  <c:v>Упаковка</c:v>
                </c:pt>
                <c:pt idx="4">
                  <c:v>Пассажирские перевозки</c:v>
                </c:pt>
                <c:pt idx="5">
                  <c:v>Содержание имущества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(4)'!$M$132:$M$138</c15:sqref>
                  </c15:fullRef>
                </c:ext>
              </c:extLst>
              <c:f>'Слайд 12 (4)'!$M$132:$M$137</c:f>
              <c:numCache>
                <c:formatCode>#,##0</c:formatCode>
                <c:ptCount val="6"/>
                <c:pt idx="0">
                  <c:v>13324.51058</c:v>
                </c:pt>
                <c:pt idx="1">
                  <c:v>25936.30733</c:v>
                </c:pt>
                <c:pt idx="2">
                  <c:v>34062.149159999994</c:v>
                </c:pt>
                <c:pt idx="3">
                  <c:v>66379.07991</c:v>
                </c:pt>
                <c:pt idx="4">
                  <c:v>66864.28916</c:v>
                </c:pt>
                <c:pt idx="5">
                  <c:v>134282.76983999999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1-455B-BD6E-2C17227B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2319416"/>
        <c:axId val="582319088"/>
      </c:barChart>
      <c:barChart>
        <c:barDir val="bar"/>
        <c:grouping val="clustered"/>
        <c:varyColors val="0"/>
        <c:ser>
          <c:idx val="2"/>
          <c:order val="0"/>
          <c:tx>
            <c:strRef>
              <c:f>'Слайд 12 (4)'!$L$131</c:f>
              <c:strCache>
                <c:ptCount val="1"/>
                <c:pt idx="0">
                  <c:v>факт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(4)'!$I$132:$I$138</c15:sqref>
                  </c15:fullRef>
                </c:ext>
              </c:extLst>
              <c:f>'Слайд 12 (4)'!$I$132:$I$137</c:f>
              <c:strCache>
                <c:ptCount val="6"/>
                <c:pt idx="0">
                  <c:v>Налог на имущество</c:v>
                </c:pt>
                <c:pt idx="1">
                  <c:v>Расходы на персонал</c:v>
                </c:pt>
                <c:pt idx="2">
                  <c:v>Безопасность</c:v>
                </c:pt>
                <c:pt idx="3">
                  <c:v>Упаковка</c:v>
                </c:pt>
                <c:pt idx="4">
                  <c:v>Пассажирские перевозки</c:v>
                </c:pt>
                <c:pt idx="5">
                  <c:v>Содержание имущества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(4)'!$L$132:$L$138</c15:sqref>
                  </c15:fullRef>
                </c:ext>
              </c:extLst>
              <c:f>'Слайд 12 (4)'!$L$132:$L$137</c:f>
              <c:numCache>
                <c:formatCode>#,##0</c:formatCode>
                <c:ptCount val="6"/>
                <c:pt idx="0">
                  <c:v>4670.1355300000005</c:v>
                </c:pt>
                <c:pt idx="1">
                  <c:v>23558.849109999999</c:v>
                </c:pt>
                <c:pt idx="2">
                  <c:v>34988.346460000001</c:v>
                </c:pt>
                <c:pt idx="3">
                  <c:v>41441.556909999999</c:v>
                </c:pt>
                <c:pt idx="4">
                  <c:v>61711.838880000003</c:v>
                </c:pt>
                <c:pt idx="5">
                  <c:v>120392.22718999999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1-455B-BD6E-2C17227B1278}"/>
            </c:ext>
          </c:extLst>
        </c:ser>
        <c:ser>
          <c:idx val="1"/>
          <c:order val="2"/>
          <c:tx>
            <c:strRef>
              <c:f>'Слайд 12 (4)'!$N$131</c:f>
              <c:strCache>
                <c:ptCount val="1"/>
                <c:pt idx="0">
                  <c:v>план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'Слайд 12 (4)'!$I$132:$I$138</c15:sqref>
                  </c15:fullRef>
                </c:ext>
              </c:extLst>
              <c:f>'Слайд 12 (4)'!$I$132:$I$137</c:f>
              <c:strCache>
                <c:ptCount val="6"/>
                <c:pt idx="0">
                  <c:v>Налог на имущество</c:v>
                </c:pt>
                <c:pt idx="1">
                  <c:v>Расходы на персонал</c:v>
                </c:pt>
                <c:pt idx="2">
                  <c:v>Безопасность</c:v>
                </c:pt>
                <c:pt idx="3">
                  <c:v>Упаковка</c:v>
                </c:pt>
                <c:pt idx="4">
                  <c:v>Пассажирские перевозки</c:v>
                </c:pt>
                <c:pt idx="5">
                  <c:v>Содержание имущества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12 (4)'!$N$132:$N$138</c15:sqref>
                  </c15:fullRef>
                </c:ext>
              </c:extLst>
              <c:f>'Слайд 12 (4)'!$N$132:$N$137</c:f>
              <c:numCache>
                <c:formatCode>#,##0</c:formatCode>
                <c:ptCount val="6"/>
                <c:pt idx="0">
                  <c:v>8811.6523500000003</c:v>
                </c:pt>
                <c:pt idx="1">
                  <c:v>32776.993600000002</c:v>
                </c:pt>
                <c:pt idx="2">
                  <c:v>41274.080020000001</c:v>
                </c:pt>
                <c:pt idx="3">
                  <c:v>52823.489590000005</c:v>
                </c:pt>
                <c:pt idx="4">
                  <c:v>67767.42154000001</c:v>
                </c:pt>
                <c:pt idx="5">
                  <c:v>144970.48046999998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1-455B-BD6E-2C17227B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338977576"/>
        <c:axId val="338978888"/>
      </c:barChart>
      <c:catAx>
        <c:axId val="582319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088"/>
        <c:crosses val="autoZero"/>
        <c:auto val="1"/>
        <c:lblAlgn val="ctr"/>
        <c:lblOffset val="100"/>
        <c:noMultiLvlLbl val="0"/>
      </c:catAx>
      <c:valAx>
        <c:axId val="5823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582319416"/>
        <c:crosses val="autoZero"/>
        <c:crossBetween val="between"/>
      </c:valAx>
      <c:valAx>
        <c:axId val="338978888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338977576"/>
        <c:crosses val="max"/>
        <c:crossBetween val="between"/>
      </c:valAx>
      <c:catAx>
        <c:axId val="338977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389788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18261334344786E-2"/>
          <c:y val="4.7845377985416972E-2"/>
          <c:w val="0.85617200101419288"/>
          <c:h val="0.8203025386983811"/>
        </c:manualLayout>
      </c:layout>
      <c:lineChart>
        <c:grouping val="standard"/>
        <c:varyColors val="0"/>
        <c:ser>
          <c:idx val="0"/>
          <c:order val="0"/>
          <c:tx>
            <c:strRef>
              <c:f>'Слайд 2'!$A$4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2"/>
              <c:layout>
                <c:manualLayout>
                  <c:x val="-6.4433101717870062E-2"/>
                  <c:y val="-5.0828944756203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22-4541-B736-4E65494A9965}"/>
                </c:ext>
              </c:extLst>
            </c:dLbl>
            <c:dLbl>
              <c:idx val="3"/>
              <c:layout>
                <c:manualLayout>
                  <c:x val="-4.6862387113056431E-2"/>
                  <c:y val="7.1506925591738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22-4541-B736-4E65494A9965}"/>
                </c:ext>
              </c:extLst>
            </c:dLbl>
            <c:dLbl>
              <c:idx val="7"/>
              <c:layout>
                <c:manualLayout>
                  <c:x val="-3.5677299154523001E-2"/>
                  <c:y val="3.86851067179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22-4541-B736-4E65494A9965}"/>
                </c:ext>
              </c:extLst>
            </c:dLbl>
            <c:dLbl>
              <c:idx val="8"/>
              <c:layout>
                <c:manualLayout>
                  <c:x val="-6.1775837724434284E-2"/>
                  <c:y val="-6.57479533352207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22-4541-B736-4E65494A9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2'!$B$3:$J$3</c:f>
              <c:strCache>
                <c:ptCount val="9"/>
                <c:pt idx="0">
                  <c:v>6 мес. 2014 г.</c:v>
                </c:pt>
                <c:pt idx="1">
                  <c:v>6 мес. 2015 г.</c:v>
                </c:pt>
                <c:pt idx="2">
                  <c:v>6 мес. 2016 г.</c:v>
                </c:pt>
                <c:pt idx="3">
                  <c:v>6 мес. 2017г.</c:v>
                </c:pt>
                <c:pt idx="4">
                  <c:v>6 мес. 2018 г.</c:v>
                </c:pt>
                <c:pt idx="5">
                  <c:v>6 мес. 2019 г.</c:v>
                </c:pt>
                <c:pt idx="6">
                  <c:v>6 мес. 2020 г.</c:v>
                </c:pt>
                <c:pt idx="7">
                  <c:v>6 мес. 2021 г.</c:v>
                </c:pt>
                <c:pt idx="8">
                  <c:v>6 мес. 2022 г.</c:v>
                </c:pt>
              </c:strCache>
            </c:strRef>
          </c:cat>
          <c:val>
            <c:numRef>
              <c:f>'Слайд 2'!$B$4:$J$4</c:f>
              <c:numCache>
                <c:formatCode>#,##0</c:formatCode>
                <c:ptCount val="9"/>
                <c:pt idx="0">
                  <c:v>3580360.1109698145</c:v>
                </c:pt>
                <c:pt idx="1">
                  <c:v>3937462.1388452034</c:v>
                </c:pt>
                <c:pt idx="2">
                  <c:v>4328870.82</c:v>
                </c:pt>
                <c:pt idx="3">
                  <c:v>4839285.5999999996</c:v>
                </c:pt>
                <c:pt idx="4">
                  <c:v>4502530.7611600002</c:v>
                </c:pt>
                <c:pt idx="5">
                  <c:v>4600953.3065200001</c:v>
                </c:pt>
                <c:pt idx="6">
                  <c:v>4387013.7352399994</c:v>
                </c:pt>
                <c:pt idx="7">
                  <c:v>4556519.1601400003</c:v>
                </c:pt>
                <c:pt idx="8">
                  <c:v>5172599.6897099996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F-4C63-BE2A-4984ADF24D68}"/>
            </c:ext>
          </c:extLst>
        </c:ser>
        <c:ser>
          <c:idx val="2"/>
          <c:order val="2"/>
          <c:tx>
            <c:strRef>
              <c:f>'Слайд 2'!$A$6</c:f>
              <c:strCache>
                <c:ptCount val="1"/>
                <c:pt idx="0">
                  <c:v>Выручка от ОУ (ПД)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lgDash"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6"/>
              <c:layout>
                <c:manualLayout>
                  <c:x val="-6.3382165098356938E-2"/>
                  <c:y val="5.370843088446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22-4541-B736-4E65494A9965}"/>
                </c:ext>
              </c:extLst>
            </c:dLbl>
            <c:dLbl>
              <c:idx val="7"/>
              <c:layout>
                <c:manualLayout>
                  <c:x val="-4.4740351834134336E-2"/>
                  <c:y val="-5.9676034316069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22-4541-B736-4E65494A9965}"/>
                </c:ext>
              </c:extLst>
            </c:dLbl>
            <c:dLbl>
              <c:idx val="8"/>
              <c:layout>
                <c:manualLayout>
                  <c:x val="0"/>
                  <c:y val="9.18940444962367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22-4541-B736-4E65494A996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2'!$B$3:$J$3</c:f>
              <c:strCache>
                <c:ptCount val="9"/>
                <c:pt idx="0">
                  <c:v>6 мес. 2014 г.</c:v>
                </c:pt>
                <c:pt idx="1">
                  <c:v>6 мес. 2015 г.</c:v>
                </c:pt>
                <c:pt idx="2">
                  <c:v>6 мес. 2016 г.</c:v>
                </c:pt>
                <c:pt idx="3">
                  <c:v>6 мес. 2017г.</c:v>
                </c:pt>
                <c:pt idx="4">
                  <c:v>6 мес. 2018 г.</c:v>
                </c:pt>
                <c:pt idx="5">
                  <c:v>6 мес. 2019 г.</c:v>
                </c:pt>
                <c:pt idx="6">
                  <c:v>6 мес. 2020 г.</c:v>
                </c:pt>
                <c:pt idx="7">
                  <c:v>6 мес. 2021 г.</c:v>
                </c:pt>
                <c:pt idx="8">
                  <c:v>6 мес. 2022 г.</c:v>
                </c:pt>
              </c:strCache>
            </c:strRef>
          </c:cat>
          <c:val>
            <c:numRef>
              <c:f>'Слайд 2'!$B$6:$J$6</c:f>
              <c:numCache>
                <c:formatCode>General</c:formatCode>
                <c:ptCount val="9"/>
                <c:pt idx="6" formatCode="#,##0">
                  <c:v>4351983</c:v>
                </c:pt>
                <c:pt idx="7" formatCode="#,##0">
                  <c:v>4933990</c:v>
                </c:pt>
                <c:pt idx="8" formatCode="#,##0">
                  <c:v>4768649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2-4541-B736-4E65494A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</c:lineChart>
      <c:lineChart>
        <c:grouping val="standard"/>
        <c:varyColors val="0"/>
        <c:ser>
          <c:idx val="1"/>
          <c:order val="1"/>
          <c:tx>
            <c:strRef>
              <c:f>'Слайд 2'!$A$5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dLbl>
              <c:idx val="2"/>
              <c:layout>
                <c:manualLayout>
                  <c:x val="2.7300626718422942E-3"/>
                  <c:y val="2.0991162543185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2D-4BFC-86C5-1C0C2B240CA0}"/>
                </c:ext>
              </c:extLst>
            </c:dLbl>
            <c:dLbl>
              <c:idx val="3"/>
              <c:layout>
                <c:manualLayout>
                  <c:x val="-2.472718026693576E-2"/>
                  <c:y val="-4.1668673488686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2D-4BFC-86C5-1C0C2B240CA0}"/>
                </c:ext>
              </c:extLst>
            </c:dLbl>
            <c:dLbl>
              <c:idx val="5"/>
              <c:layout>
                <c:manualLayout>
                  <c:x val="-4.8476959155881884E-2"/>
                  <c:y val="6.276438656443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2D-4BFC-86C5-1C0C2B240CA0}"/>
                </c:ext>
              </c:extLst>
            </c:dLbl>
            <c:dLbl>
              <c:idx val="8"/>
              <c:layout>
                <c:manualLayout>
                  <c:x val="-1.9579873221969784E-2"/>
                  <c:y val="-4.7636276920293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2D-4BFC-86C5-1C0C2B240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2'!$B$3:$J$3</c:f>
              <c:strCache>
                <c:ptCount val="9"/>
                <c:pt idx="0">
                  <c:v>6 мес. 2014 г.</c:v>
                </c:pt>
                <c:pt idx="1">
                  <c:v>6 мес. 2015 г.</c:v>
                </c:pt>
                <c:pt idx="2">
                  <c:v>6 мес. 2016 г.</c:v>
                </c:pt>
                <c:pt idx="3">
                  <c:v>6 мес. 2017г.</c:v>
                </c:pt>
                <c:pt idx="4">
                  <c:v>6 мес. 2018 г.</c:v>
                </c:pt>
                <c:pt idx="5">
                  <c:v>6 мес. 2019 г.</c:v>
                </c:pt>
                <c:pt idx="6">
                  <c:v>6 мес. 2020 г.</c:v>
                </c:pt>
                <c:pt idx="7">
                  <c:v>6 мес. 2021 г.</c:v>
                </c:pt>
                <c:pt idx="8">
                  <c:v>6 мес. 2022 г.</c:v>
                </c:pt>
              </c:strCache>
            </c:strRef>
          </c:cat>
          <c:val>
            <c:numRef>
              <c:f>'Слайд 2'!$B$5:$J$5</c:f>
              <c:numCache>
                <c:formatCode>#,##0</c:formatCode>
                <c:ptCount val="9"/>
                <c:pt idx="0">
                  <c:v>-123440.26756200015</c:v>
                </c:pt>
                <c:pt idx="1">
                  <c:v>-245448.06266027116</c:v>
                </c:pt>
                <c:pt idx="2">
                  <c:v>-62287.199999999997</c:v>
                </c:pt>
                <c:pt idx="3">
                  <c:v>54804.88</c:v>
                </c:pt>
                <c:pt idx="4">
                  <c:v>-91854.880989999991</c:v>
                </c:pt>
                <c:pt idx="5">
                  <c:v>-56998.301789999998</c:v>
                </c:pt>
                <c:pt idx="6">
                  <c:v>-235789.17003000001</c:v>
                </c:pt>
                <c:pt idx="7">
                  <c:v>-272618.64195999998</c:v>
                </c:pt>
                <c:pt idx="8">
                  <c:v>-25785.070909999999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6F-4C63-BE2A-4984ADF24D68}"/>
            </c:ext>
          </c:extLst>
        </c:ser>
        <c:ser>
          <c:idx val="3"/>
          <c:order val="3"/>
          <c:tx>
            <c:strRef>
              <c:f>'Слайд 2'!$A$7</c:f>
              <c:strCache>
                <c:ptCount val="1"/>
                <c:pt idx="0">
                  <c:v>Чистая прибыль (ПД)</c:v>
                </c:pt>
              </c:strCache>
            </c:strRef>
          </c:tx>
          <c:spPr>
            <a:ln w="28575">
              <a:solidFill>
                <a:srgbClr val="92D050"/>
              </a:solidFill>
              <a:prstDash val="lgDash"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dLbl>
              <c:idx val="6"/>
              <c:layout>
                <c:manualLayout>
                  <c:x val="1.3670663060429817E-2"/>
                  <c:y val="-3.2821818873838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22-4541-B736-4E65494A9965}"/>
                </c:ext>
              </c:extLst>
            </c:dLbl>
            <c:dLbl>
              <c:idx val="7"/>
              <c:layout>
                <c:manualLayout>
                  <c:x val="-3.4798051426548855E-2"/>
                  <c:y val="-5.6692232600265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22-4541-B736-4E65494A9965}"/>
                </c:ext>
              </c:extLst>
            </c:dLbl>
            <c:dLbl>
              <c:idx val="8"/>
              <c:layout>
                <c:manualLayout>
                  <c:x val="-1.3670663060430091E-2"/>
                  <c:y val="6.5643637747676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22-4541-B736-4E65494A996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'Слайд 2'!$B$3:$J$3</c:f>
              <c:strCache>
                <c:ptCount val="9"/>
                <c:pt idx="0">
                  <c:v>6 мес. 2014 г.</c:v>
                </c:pt>
                <c:pt idx="1">
                  <c:v>6 мес. 2015 г.</c:v>
                </c:pt>
                <c:pt idx="2">
                  <c:v>6 мес. 2016 г.</c:v>
                </c:pt>
                <c:pt idx="3">
                  <c:v>6 мес. 2017г.</c:v>
                </c:pt>
                <c:pt idx="4">
                  <c:v>6 мес. 2018 г.</c:v>
                </c:pt>
                <c:pt idx="5">
                  <c:v>6 мес. 2019 г.</c:v>
                </c:pt>
                <c:pt idx="6">
                  <c:v>6 мес. 2020 г.</c:v>
                </c:pt>
                <c:pt idx="7">
                  <c:v>6 мес. 2021 г.</c:v>
                </c:pt>
                <c:pt idx="8">
                  <c:v>6 мес. 2022 г.</c:v>
                </c:pt>
              </c:strCache>
            </c:strRef>
          </c:cat>
          <c:val>
            <c:numRef>
              <c:f>'Слайд 2'!$B$7:$J$7</c:f>
              <c:numCache>
                <c:formatCode>General</c:formatCode>
                <c:ptCount val="9"/>
                <c:pt idx="6" formatCode="#,##0">
                  <c:v>-236853</c:v>
                </c:pt>
                <c:pt idx="7" formatCode="#,##0">
                  <c:v>-104132</c:v>
                </c:pt>
                <c:pt idx="8" formatCode="#,##0">
                  <c:v>-80163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2-4541-B736-4E65494A99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ax val="6000000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120000"/>
          <c:min val="-31000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  <c:crossAx val="95697920"/>
        <c:crosses val="max"/>
        <c:crossBetween val="between"/>
        <c:majorUnit val="100000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477264875518327"/>
          <c:y val="0.94166821051048877"/>
          <c:w val="0.68676449851124821"/>
          <c:h val="5.355736123853615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825916323158046E-2"/>
          <c:y val="6.9653596758169609E-2"/>
          <c:w val="0.94134029619402315"/>
          <c:h val="0.694237163837168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13'!$A$41:$A$52</c:f>
              <c:strCache>
                <c:ptCount val="12"/>
                <c:pt idx="0">
                  <c:v>Сторонние автоперевозки</c:v>
                </c:pt>
                <c:pt idx="1">
                  <c:v>      Железнодорожные перевозки грузов</c:v>
                </c:pt>
                <c:pt idx="2">
                  <c:v>  Амортизация</c:v>
                </c:pt>
                <c:pt idx="3">
                  <c:v>  Убытки прошлых лет</c:v>
                </c:pt>
                <c:pt idx="4">
                  <c:v>      Ремонт, ТО, Запчасти, Масла</c:v>
                </c:pt>
                <c:pt idx="5">
                  <c:v>      ГСМ</c:v>
                </c:pt>
                <c:pt idx="6">
                  <c:v>  Прочие расходы</c:v>
                </c:pt>
                <c:pt idx="7">
                  <c:v>  ОС до 40000 техника связи</c:v>
                </c:pt>
                <c:pt idx="8">
                  <c:v>  Штрафы, пени</c:v>
                </c:pt>
                <c:pt idx="9">
                  <c:v>  Программное обеспечение (включая лицензии на ПО)</c:v>
                </c:pt>
                <c:pt idx="10">
                  <c:v>  Хозтовары и стройматериалы</c:v>
                </c:pt>
                <c:pt idx="11">
                  <c:v>  Расходы на форменное обмундирование ОПП</c:v>
                </c:pt>
              </c:strCache>
            </c:strRef>
          </c:cat>
          <c:val>
            <c:numRef>
              <c:f>'Слайд 13'!$B$41:$B$52</c:f>
              <c:numCache>
                <c:formatCode>#,##0</c:formatCode>
                <c:ptCount val="12"/>
                <c:pt idx="0">
                  <c:v>223270.15846000001</c:v>
                </c:pt>
                <c:pt idx="1">
                  <c:v>36277.759199999971</c:v>
                </c:pt>
                <c:pt idx="2">
                  <c:v>30465.419770000022</c:v>
                </c:pt>
                <c:pt idx="3">
                  <c:v>25996.080969999999</c:v>
                </c:pt>
                <c:pt idx="4">
                  <c:v>23590.447479999973</c:v>
                </c:pt>
                <c:pt idx="5">
                  <c:v>12556.043399999966</c:v>
                </c:pt>
                <c:pt idx="6">
                  <c:v>7984.4192799999992</c:v>
                </c:pt>
                <c:pt idx="7">
                  <c:v>7723.151460000001</c:v>
                </c:pt>
                <c:pt idx="8">
                  <c:v>6230.6493599999994</c:v>
                </c:pt>
                <c:pt idx="9">
                  <c:v>2989.9323299999996</c:v>
                </c:pt>
                <c:pt idx="10">
                  <c:v>2560.5539400000007</c:v>
                </c:pt>
                <c:pt idx="11">
                  <c:v>2220.9269799999965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3-4F0D-869E-7C2A01742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676480"/>
        <c:axId val="140741632"/>
      </c:barChart>
      <c:catAx>
        <c:axId val="140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140741632"/>
        <c:crosses val="autoZero"/>
        <c:auto val="1"/>
        <c:lblAlgn val="ctr"/>
        <c:lblOffset val="100"/>
        <c:noMultiLvlLbl val="0"/>
      </c:catAx>
      <c:valAx>
        <c:axId val="140741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1406764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18261334344786E-2"/>
          <c:y val="4.7845377985416972E-2"/>
          <c:w val="0.85617200101419288"/>
          <c:h val="0.8203025386983811"/>
        </c:manualLayout>
      </c:layout>
      <c:lineChart>
        <c:grouping val="standard"/>
        <c:varyColors val="0"/>
        <c:ser>
          <c:idx val="0"/>
          <c:order val="0"/>
          <c:tx>
            <c:strRef>
              <c:f>'Слайд 2 (2)'!$A$4</c:f>
              <c:strCache>
                <c:ptCount val="1"/>
                <c:pt idx="0">
                  <c:v>Выручка от ОУ</c:v>
                </c:pt>
              </c:strCache>
            </c:strRef>
          </c:tx>
          <c:spPr>
            <a:ln w="31750"/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'Слайд 2 (2)'!$B$3:$J$3</c15:sqref>
                  </c15:fullRef>
                </c:ext>
              </c:extLst>
              <c:f>'Слайд 2 (2)'!$F$3:$J$3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2 (2)'!$B$4:$J$4</c15:sqref>
                  </c15:fullRef>
                </c:ext>
              </c:extLst>
              <c:f>'Слайд 2 (2)'!$F$4:$J$4</c:f>
              <c:numCache>
                <c:formatCode>#,##0</c:formatCode>
                <c:ptCount val="5"/>
                <c:pt idx="0">
                  <c:v>5356894.96141</c:v>
                </c:pt>
                <c:pt idx="1">
                  <c:v>5528000.6254500002</c:v>
                </c:pt>
                <c:pt idx="2">
                  <c:v>5420778.6653300002</c:v>
                </c:pt>
                <c:pt idx="3">
                  <c:v>5575160.08813</c:v>
                </c:pt>
                <c:pt idx="4">
                  <c:v>6097400.3772999989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4-4631-B042-FEFFCE61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4736"/>
        <c:axId val="95607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'Слайд 2 (2)'!$A$6</c15:sqref>
                        </c15:formulaRef>
                      </c:ext>
                    </c:extLst>
                    <c:strCache>
                      <c:ptCount val="1"/>
                      <c:pt idx="0">
                        <c:v>Выручка от ОУ (ПД)</c:v>
                      </c:pt>
                    </c:strCache>
                  </c:strRef>
                </c:tx>
                <c:spPr>
                  <a:ln w="28575">
                    <a:solidFill>
                      <a:schemeClr val="accent1"/>
                    </a:solidFill>
                    <a:prstDash val="lgDash"/>
                  </a:ln>
                </c:spPr>
                <c:marker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 b="1">
                          <a:solidFill>
                            <a:schemeClr val="accent1">
                              <a:lumMod val="50000"/>
                            </a:schemeClr>
                          </a:solidFill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'Слайд 2 (2)'!$B$3:$J$3</c15:sqref>
                        </c15:fullRef>
                        <c15:formulaRef>
                          <c15:sqref>'Слайд 2 (2)'!$F$3:$J$3</c15:sqref>
                        </c15:formulaRef>
                      </c:ext>
                    </c:extLst>
                    <c:strCache>
                      <c:ptCount val="5"/>
                      <c:pt idx="0">
                        <c:v>7 мес. 2018 г.</c:v>
                      </c:pt>
                      <c:pt idx="1">
                        <c:v>7 мес. 2019 г.</c:v>
                      </c:pt>
                      <c:pt idx="2">
                        <c:v>7 мес. 2020 г.</c:v>
                      </c:pt>
                      <c:pt idx="3">
                        <c:v>7 мес. 2021 г.</c:v>
                      </c:pt>
                      <c:pt idx="4">
                        <c:v>7 мес. 2022 г.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'Слайд 2 (2)'!$B$6:$J$6</c15:sqref>
                        </c15:fullRef>
                        <c15:formulaRef>
                          <c15:sqref>'Слайд 2 (2)'!$F$6:$J$6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 formatCode="#,##0">
                        <c:v>7090348</c:v>
                      </c:pt>
                      <c:pt idx="3" formatCode="#,##0">
                        <c:v>7878314</c:v>
                      </c:pt>
                      <c:pt idx="4" formatCode="#,##0">
                        <c:v>7486731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BF4-4631-B042-FEFFCE61B2D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'Слайд 2 (2)'!$A$5</c:f>
              <c:strCache>
                <c:ptCount val="1"/>
                <c:pt idx="0">
                  <c:v>Чистая прибыль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9050">
                <a:solidFill>
                  <a:srgbClr val="92D050"/>
                </a:solidFill>
              </a:ln>
            </c:spPr>
          </c:marker>
          <c:dLbls>
            <c:dLbl>
              <c:idx val="1"/>
              <c:layout>
                <c:manualLayout>
                  <c:x val="-4.8476959155881884E-2"/>
                  <c:y val="6.276438656443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F4-4631-B042-FEFFCE61B2D3}"/>
                </c:ext>
              </c:extLst>
            </c:dLbl>
            <c:dLbl>
              <c:idx val="4"/>
              <c:layout>
                <c:manualLayout>
                  <c:x val="3.0472759320099307E-4"/>
                  <c:y val="-8.84685461484875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F4-4631-B042-FEFFCE61B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'Слайд 2 (2)'!$B$3:$J$3</c15:sqref>
                  </c15:fullRef>
                </c:ext>
              </c:extLst>
              <c:f>'Слайд 2 (2)'!$F$3:$J$3</c:f>
              <c:strCache>
                <c:ptCount val="5"/>
                <c:pt idx="0">
                  <c:v>7 мес. 2018 г.</c:v>
                </c:pt>
                <c:pt idx="1">
                  <c:v>7 мес. 2019 г.</c:v>
                </c:pt>
                <c:pt idx="2">
                  <c:v>7 мес. 2020 г.</c:v>
                </c:pt>
                <c:pt idx="3">
                  <c:v>7 мес. 2021 г.</c:v>
                </c:pt>
                <c:pt idx="4">
                  <c:v>7 мес. 2022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'Слайд 2 (2)'!$B$5:$J$5</c15:sqref>
                  </c15:fullRef>
                </c:ext>
              </c:extLst>
              <c:f>'Слайд 2 (2)'!$F$5:$J$5</c:f>
              <c:numCache>
                <c:formatCode>#,##0</c:formatCode>
                <c:ptCount val="5"/>
                <c:pt idx="0">
                  <c:v>-48166.775540000002</c:v>
                </c:pt>
                <c:pt idx="1">
                  <c:v>-106295.73803000001</c:v>
                </c:pt>
                <c:pt idx="2">
                  <c:v>-180363.33500999998</c:v>
                </c:pt>
                <c:pt idx="3">
                  <c:v>-178554.59000000003</c:v>
                </c:pt>
                <c:pt idx="4">
                  <c:v>44671.652440000064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'Слайд 2 (2)'!$D$5</c15:sqref>
                  <c15:dLbl>
                    <c:idx val="-1"/>
                    <c:layout>
                      <c:manualLayout>
                        <c:x val="2.7300626718422942E-3"/>
                        <c:y val="2.099116254318577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D64-40D1-B6EE-8FD2B4FB0195}"/>
                      </c:ext>
                    </c:extLst>
                  </c15:dLbl>
                </c15:categoryFilterException>
                <c15:categoryFilterException>
                  <c15:sqref>'Слайд 2 (2)'!$E$5</c15:sqref>
                  <c15:dLbl>
                    <c:idx val="-1"/>
                    <c:layout>
                      <c:manualLayout>
                        <c:x val="-2.472718026693576E-2"/>
                        <c:y val="-4.16686734886868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D64-40D1-B6EE-8FD2B4FB019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8BF4-4631-B042-FEFFCE61B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697920"/>
        <c:axId val="956960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'Слайд 2 (2)'!$A$7</c15:sqref>
                        </c15:formulaRef>
                      </c:ext>
                    </c:extLst>
                    <c:strCache>
                      <c:ptCount val="1"/>
                      <c:pt idx="0">
                        <c:v>Чистая прибыль (ПД)</c:v>
                      </c:pt>
                    </c:strCache>
                  </c:strRef>
                </c:tx>
                <c:spPr>
                  <a:ln w="28575">
                    <a:solidFill>
                      <a:srgbClr val="92D050"/>
                    </a:solidFill>
                    <a:prstDash val="lgDash"/>
                  </a:ln>
                </c:spPr>
                <c:marker>
                  <c:spPr>
                    <a:solidFill>
                      <a:srgbClr val="92D050"/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dLbls>
                  <c:dLbl>
                    <c:idx val="2"/>
                    <c:layout>
                      <c:manualLayout>
                        <c:x val="-5.4949900493817323E-2"/>
                        <c:y val="-5.957148378350756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8BF4-4631-B042-FEFFCE61B2D3}"/>
                      </c:ext>
                    </c:extLst>
                  </c:dLbl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 b="1"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'Слайд 2 (2)'!$B$3:$J$3</c15:sqref>
                        </c15:fullRef>
                        <c15:formulaRef>
                          <c15:sqref>'Слайд 2 (2)'!$F$3:$J$3</c15:sqref>
                        </c15:formulaRef>
                      </c:ext>
                    </c:extLst>
                    <c:strCache>
                      <c:ptCount val="5"/>
                      <c:pt idx="0">
                        <c:v>7 мес. 2018 г.</c:v>
                      </c:pt>
                      <c:pt idx="1">
                        <c:v>7 мес. 2019 г.</c:v>
                      </c:pt>
                      <c:pt idx="2">
                        <c:v>7 мес. 2020 г.</c:v>
                      </c:pt>
                      <c:pt idx="3">
                        <c:v>7 мес. 2021 г.</c:v>
                      </c:pt>
                      <c:pt idx="4">
                        <c:v>7 мес. 2022 г.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'Слайд 2 (2)'!$B$7:$J$7</c15:sqref>
                        </c15:fullRef>
                        <c15:formulaRef>
                          <c15:sqref>'Слайд 2 (2)'!$F$7:$J$7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 formatCode="#,##0">
                        <c:v>-149504</c:v>
                      </c:pt>
                      <c:pt idx="3" formatCode="#,##0">
                        <c:v>-4655</c:v>
                      </c:pt>
                      <c:pt idx="4" formatCode="#,##0">
                        <c:v>1967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BF4-4631-B042-FEFFCE61B2D3}"/>
                  </c:ext>
                </c:extLst>
              </c15:ser>
            </c15:filteredLineSeries>
          </c:ext>
        </c:extLst>
      </c:lineChart>
      <c:catAx>
        <c:axId val="9560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ru-RU"/>
          </a:p>
        </c:txPr>
        <c:crossAx val="95607424"/>
        <c:crosses val="autoZero"/>
        <c:auto val="1"/>
        <c:lblAlgn val="ctr"/>
        <c:lblOffset val="100"/>
        <c:noMultiLvlLbl val="0"/>
      </c:catAx>
      <c:valAx>
        <c:axId val="95607424"/>
        <c:scaling>
          <c:orientation val="minMax"/>
          <c:max val="9000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5604736"/>
        <c:crosses val="autoZero"/>
        <c:crossBetween val="between"/>
      </c:valAx>
      <c:valAx>
        <c:axId val="95696000"/>
        <c:scaling>
          <c:orientation val="minMax"/>
          <c:max val="300000"/>
          <c:min val="-30000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  <c:crossAx val="95697920"/>
        <c:crosses val="max"/>
        <c:crossBetween val="between"/>
        <c:majorUnit val="100000"/>
      </c:valAx>
      <c:catAx>
        <c:axId val="956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477264875518327"/>
          <c:y val="0.94166821051048877"/>
          <c:w val="0.68676449851124821"/>
          <c:h val="5.355736123853615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Выполнение плана по выручке от ОУ в разрезе регионов,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252013841287356E-2"/>
          <c:y val="0.10752830122852938"/>
          <c:w val="0.81052228871101062"/>
          <c:h val="0.5713189236078957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'слайд 3 и 5'!$B$7</c:f>
              <c:strCache>
                <c:ptCount val="1"/>
                <c:pt idx="0">
                  <c:v>факт янв-июль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3 и 5'!$A$8:$A$15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5'!$B$8:$B$15</c:f>
              <c:numCache>
                <c:formatCode>#,##0</c:formatCode>
                <c:ptCount val="8"/>
                <c:pt idx="0">
                  <c:v>595444.43117</c:v>
                </c:pt>
                <c:pt idx="1">
                  <c:v>841962.11164999998</c:v>
                </c:pt>
                <c:pt idx="2">
                  <c:v>434007.12507000001</c:v>
                </c:pt>
                <c:pt idx="3">
                  <c:v>432139.52408</c:v>
                </c:pt>
                <c:pt idx="4">
                  <c:v>648522.52769000002</c:v>
                </c:pt>
                <c:pt idx="5">
                  <c:v>563751.70570000005</c:v>
                </c:pt>
                <c:pt idx="6">
                  <c:v>407989.49579000002</c:v>
                </c:pt>
                <c:pt idx="7">
                  <c:v>1460455.9402300001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7F-41D2-AB5B-98037B55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68448016"/>
        <c:axId val="368448432"/>
      </c:barChart>
      <c:barChart>
        <c:barDir val="col"/>
        <c:grouping val="clustered"/>
        <c:varyColors val="0"/>
        <c:ser>
          <c:idx val="3"/>
          <c:order val="1"/>
          <c:tx>
            <c:strRef>
              <c:f>'слайд 3 и 5'!$C$7</c:f>
              <c:strCache>
                <c:ptCount val="1"/>
                <c:pt idx="0">
                  <c:v>план янв-июль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5'!$C$8:$C$15</c:f>
              <c:numCache>
                <c:formatCode>#,##0</c:formatCode>
                <c:ptCount val="8"/>
                <c:pt idx="0">
                  <c:v>644121.31589999993</c:v>
                </c:pt>
                <c:pt idx="1">
                  <c:v>970277.20272000006</c:v>
                </c:pt>
                <c:pt idx="2">
                  <c:v>469585.80241</c:v>
                </c:pt>
                <c:pt idx="3">
                  <c:v>471724.38257000002</c:v>
                </c:pt>
                <c:pt idx="4">
                  <c:v>706782.84270000004</c:v>
                </c:pt>
                <c:pt idx="5">
                  <c:v>601620.10514999996</c:v>
                </c:pt>
                <c:pt idx="6">
                  <c:v>461149.35232000001</c:v>
                </c:pt>
                <c:pt idx="7">
                  <c:v>1624282.1954899998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7F-41D2-AB5B-98037B55B8D1}"/>
            </c:ext>
          </c:extLst>
        </c:ser>
        <c:ser>
          <c:idx val="0"/>
          <c:order val="2"/>
          <c:tx>
            <c:strRef>
              <c:f>'слайд 3 и 5'!$D$7</c:f>
              <c:strCache>
                <c:ptCount val="1"/>
                <c:pt idx="0">
                  <c:v>факт янв-июль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5'!$D$8:$D$15</c:f>
              <c:numCache>
                <c:formatCode>#,##0</c:formatCode>
                <c:ptCount val="8"/>
                <c:pt idx="0">
                  <c:v>646412.64230999991</c:v>
                </c:pt>
                <c:pt idx="1">
                  <c:v>875510.91902999999</c:v>
                </c:pt>
                <c:pt idx="2">
                  <c:v>454012.51432999998</c:v>
                </c:pt>
                <c:pt idx="3">
                  <c:v>450783.46025</c:v>
                </c:pt>
                <c:pt idx="4">
                  <c:v>744733.09148000006</c:v>
                </c:pt>
                <c:pt idx="5">
                  <c:v>570520.16610999999</c:v>
                </c:pt>
                <c:pt idx="6">
                  <c:v>453099.64322000003</c:v>
                </c:pt>
                <c:pt idx="7">
                  <c:v>1944103.9206899998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10D-98E2-D69566E5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89183072"/>
        <c:axId val="194681320"/>
      </c:barChart>
      <c:catAx>
        <c:axId val="3684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68448432"/>
        <c:crosses val="autoZero"/>
        <c:auto val="1"/>
        <c:lblAlgn val="ctr"/>
        <c:lblOffset val="100"/>
        <c:noMultiLvlLbl val="0"/>
      </c:catAx>
      <c:valAx>
        <c:axId val="368448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84480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valAx>
        <c:axId val="19468132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89183072"/>
        <c:crosses val="max"/>
        <c:crossBetween val="between"/>
      </c:valAx>
      <c:catAx>
        <c:axId val="189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8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Выполнение плана по</a:t>
            </a:r>
            <a:r>
              <a:rPr lang="ru-RU" sz="1600" b="1" baseline="0">
                <a:solidFill>
                  <a:sysClr val="windowText" lastClr="000000"/>
                </a:solidFill>
              </a:rPr>
              <a:t> чистой прибыли</a:t>
            </a:r>
            <a:r>
              <a:rPr lang="ru-RU" sz="1600" b="1">
                <a:solidFill>
                  <a:sysClr val="windowText" lastClr="000000"/>
                </a:solidFill>
              </a:rPr>
              <a:t> в разрезе регионов,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2047285310261233E-2"/>
          <c:y val="0.13248469053131376"/>
          <c:w val="0.82136484549024591"/>
          <c:h val="0.5388165206622280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'слайд 3 и 5'!$B$31</c:f>
              <c:strCache>
                <c:ptCount val="1"/>
                <c:pt idx="0">
                  <c:v>факт янв-июль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3 и 5'!$A$32:$A$39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5'!$B$32:$B$39</c:f>
              <c:numCache>
                <c:formatCode>#,##0</c:formatCode>
                <c:ptCount val="8"/>
                <c:pt idx="0">
                  <c:v>106534.62324</c:v>
                </c:pt>
                <c:pt idx="1">
                  <c:v>132808.96226999999</c:v>
                </c:pt>
                <c:pt idx="2">
                  <c:v>21659.861649999999</c:v>
                </c:pt>
                <c:pt idx="3">
                  <c:v>22295.513640000001</c:v>
                </c:pt>
                <c:pt idx="4">
                  <c:v>102763.19241</c:v>
                </c:pt>
                <c:pt idx="5">
                  <c:v>12306.831749999999</c:v>
                </c:pt>
                <c:pt idx="6">
                  <c:v>9848.1376799999998</c:v>
                </c:pt>
                <c:pt idx="7">
                  <c:v>35203.842479999999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AA6-8C78-4A679A0D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68448016"/>
        <c:axId val="368448432"/>
      </c:barChart>
      <c:barChart>
        <c:barDir val="col"/>
        <c:grouping val="clustered"/>
        <c:varyColors val="0"/>
        <c:ser>
          <c:idx val="3"/>
          <c:order val="1"/>
          <c:tx>
            <c:strRef>
              <c:f>'слайд 3 и 5'!$C$31</c:f>
              <c:strCache>
                <c:ptCount val="1"/>
                <c:pt idx="0">
                  <c:v>план янв-июль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5'!$C$32:$C$39</c:f>
              <c:numCache>
                <c:formatCode>#,##0</c:formatCode>
                <c:ptCount val="8"/>
                <c:pt idx="0">
                  <c:v>98623.616620000001</c:v>
                </c:pt>
                <c:pt idx="1">
                  <c:v>132999.95483999999</c:v>
                </c:pt>
                <c:pt idx="2">
                  <c:v>25654.24307</c:v>
                </c:pt>
                <c:pt idx="3">
                  <c:v>47390.513119999996</c:v>
                </c:pt>
                <c:pt idx="4">
                  <c:v>96280.146819999994</c:v>
                </c:pt>
                <c:pt idx="5">
                  <c:v>11421.419959999999</c:v>
                </c:pt>
                <c:pt idx="6">
                  <c:v>20453.0488</c:v>
                </c:pt>
                <c:pt idx="7">
                  <c:v>111209.58968999999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C-4AA6-8C78-4A679A0D01F8}"/>
            </c:ext>
          </c:extLst>
        </c:ser>
        <c:ser>
          <c:idx val="0"/>
          <c:order val="2"/>
          <c:tx>
            <c:strRef>
              <c:f>'слайд 3 и 5'!$D$31</c:f>
              <c:strCache>
                <c:ptCount val="1"/>
                <c:pt idx="0">
                  <c:v>факт янв-июль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5'!$D$32:$D$39</c:f>
              <c:numCache>
                <c:formatCode>#,##0</c:formatCode>
                <c:ptCount val="8"/>
                <c:pt idx="0">
                  <c:v>104687.27681</c:v>
                </c:pt>
                <c:pt idx="1">
                  <c:v>150110.96733000001</c:v>
                </c:pt>
                <c:pt idx="2">
                  <c:v>27332.272199999999</c:v>
                </c:pt>
                <c:pt idx="3">
                  <c:v>43297.200819999998</c:v>
                </c:pt>
                <c:pt idx="4">
                  <c:v>113637.44145</c:v>
                </c:pt>
                <c:pt idx="5">
                  <c:v>-1338.0232699999999</c:v>
                </c:pt>
                <c:pt idx="6">
                  <c:v>38023.199329999996</c:v>
                </c:pt>
                <c:pt idx="7">
                  <c:v>182848.19055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C-4AA6-8C78-4A679A0D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89183072"/>
        <c:axId val="194681320"/>
      </c:barChart>
      <c:catAx>
        <c:axId val="3684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68448432"/>
        <c:crosses val="autoZero"/>
        <c:auto val="1"/>
        <c:lblAlgn val="ctr"/>
        <c:lblOffset val="100"/>
        <c:noMultiLvlLbl val="0"/>
      </c:catAx>
      <c:valAx>
        <c:axId val="368448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84480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valAx>
        <c:axId val="19468132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89183072"/>
        <c:crosses val="max"/>
        <c:crossBetween val="between"/>
      </c:valAx>
      <c:catAx>
        <c:axId val="189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8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Выполнение плана по выручке от ОУ в разрезе регионов,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252013841287356E-2"/>
          <c:y val="0.10752830122852938"/>
          <c:w val="0.81052228871101062"/>
          <c:h val="0.5713189236078957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'слайд 3 и 5 (с лизингом и амор)'!$B$7</c:f>
              <c:strCache>
                <c:ptCount val="1"/>
                <c:pt idx="0">
                  <c:v>факт янв-июнь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3 и 5 (с лизингом и амор)'!$A$8:$A$15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амор)'!$B$8:$B$15</c:f>
              <c:numCache>
                <c:formatCode>#,##0</c:formatCode>
                <c:ptCount val="8"/>
                <c:pt idx="0">
                  <c:v>595444.43117</c:v>
                </c:pt>
                <c:pt idx="1">
                  <c:v>841962.11164999998</c:v>
                </c:pt>
                <c:pt idx="2">
                  <c:v>434007.12507000001</c:v>
                </c:pt>
                <c:pt idx="3">
                  <c:v>432139.52408</c:v>
                </c:pt>
                <c:pt idx="4">
                  <c:v>648522.52769000002</c:v>
                </c:pt>
                <c:pt idx="5">
                  <c:v>563751.70570000005</c:v>
                </c:pt>
                <c:pt idx="6">
                  <c:v>407989.49579000002</c:v>
                </c:pt>
                <c:pt idx="7">
                  <c:v>1460455.9402300001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2-488D-9F82-A81F6015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68448016"/>
        <c:axId val="368448432"/>
      </c:barChart>
      <c:barChart>
        <c:barDir val="col"/>
        <c:grouping val="clustered"/>
        <c:varyColors val="0"/>
        <c:ser>
          <c:idx val="3"/>
          <c:order val="1"/>
          <c:tx>
            <c:strRef>
              <c:f>'слайд 3 и 5 (с лизингом и амор)'!$C$7</c:f>
              <c:strCache>
                <c:ptCount val="1"/>
                <c:pt idx="0">
                  <c:v>план янв-июнь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 (с лизингом и амор)'!$A$8:$A$15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амор)'!$C$8:$C$15</c:f>
              <c:numCache>
                <c:formatCode>#,##0</c:formatCode>
                <c:ptCount val="8"/>
                <c:pt idx="0">
                  <c:v>644121.31589999993</c:v>
                </c:pt>
                <c:pt idx="1">
                  <c:v>970277.20272000006</c:v>
                </c:pt>
                <c:pt idx="2">
                  <c:v>469585.80241</c:v>
                </c:pt>
                <c:pt idx="3">
                  <c:v>471724.38257000002</c:v>
                </c:pt>
                <c:pt idx="4">
                  <c:v>706782.84270000004</c:v>
                </c:pt>
                <c:pt idx="5">
                  <c:v>601620.10514999996</c:v>
                </c:pt>
                <c:pt idx="6">
                  <c:v>461149.35232000001</c:v>
                </c:pt>
                <c:pt idx="7">
                  <c:v>1624282.1954899998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2-488D-9F82-A81F6015212B}"/>
            </c:ext>
          </c:extLst>
        </c:ser>
        <c:ser>
          <c:idx val="0"/>
          <c:order val="2"/>
          <c:tx>
            <c:strRef>
              <c:f>'слайд 3 и 5 (с лизингом и амор)'!$D$7</c:f>
              <c:strCache>
                <c:ptCount val="1"/>
                <c:pt idx="0">
                  <c:v>факт янв-июнь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 (с лизингом и амор)'!$A$8:$A$15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амор)'!$D$8:$D$15</c:f>
              <c:numCache>
                <c:formatCode>#,##0</c:formatCode>
                <c:ptCount val="8"/>
                <c:pt idx="0">
                  <c:v>646412.64230999991</c:v>
                </c:pt>
                <c:pt idx="1">
                  <c:v>875510.91902999999</c:v>
                </c:pt>
                <c:pt idx="2">
                  <c:v>454012.51432999998</c:v>
                </c:pt>
                <c:pt idx="3">
                  <c:v>450783.46025</c:v>
                </c:pt>
                <c:pt idx="4">
                  <c:v>744733.09148000006</c:v>
                </c:pt>
                <c:pt idx="5">
                  <c:v>570520.16610999999</c:v>
                </c:pt>
                <c:pt idx="6">
                  <c:v>453099.64322000003</c:v>
                </c:pt>
                <c:pt idx="7">
                  <c:v>1944103.9206899998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2-488D-9F82-A81F6015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89183072"/>
        <c:axId val="194681320"/>
      </c:barChart>
      <c:catAx>
        <c:axId val="3684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68448432"/>
        <c:crosses val="autoZero"/>
        <c:auto val="1"/>
        <c:lblAlgn val="ctr"/>
        <c:lblOffset val="100"/>
        <c:noMultiLvlLbl val="0"/>
      </c:catAx>
      <c:valAx>
        <c:axId val="368448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84480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valAx>
        <c:axId val="19468132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89183072"/>
        <c:crosses val="max"/>
        <c:crossBetween val="between"/>
      </c:valAx>
      <c:catAx>
        <c:axId val="189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8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Выполнение плана по</a:t>
            </a:r>
            <a:r>
              <a:rPr lang="ru-RU" sz="1600" b="1" baseline="0">
                <a:solidFill>
                  <a:sysClr val="windowText" lastClr="000000"/>
                </a:solidFill>
              </a:rPr>
              <a:t> чистой прибыли</a:t>
            </a:r>
            <a:r>
              <a:rPr lang="ru-RU" sz="1600" b="1">
                <a:solidFill>
                  <a:sysClr val="windowText" lastClr="000000"/>
                </a:solidFill>
              </a:rPr>
              <a:t> в разрезе регионов,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2047285310261233E-2"/>
          <c:y val="0.13248469053131376"/>
          <c:w val="0.82136484549024591"/>
          <c:h val="0.5388165206622280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'слайд 3 и 5 (с лизингом и амор)'!$B$31</c:f>
              <c:strCache>
                <c:ptCount val="1"/>
                <c:pt idx="0">
                  <c:v>факт янв-июнь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'слайд 3 и 5 (с лизингом и амор)'!$A$32:$A$39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амор)'!$B$32:$B$39</c:f>
              <c:numCache>
                <c:formatCode>#,##0</c:formatCode>
                <c:ptCount val="8"/>
                <c:pt idx="0">
                  <c:v>135967.06586999999</c:v>
                </c:pt>
                <c:pt idx="1">
                  <c:v>175982.45864999999</c:v>
                </c:pt>
                <c:pt idx="2">
                  <c:v>40432.614009999998</c:v>
                </c:pt>
                <c:pt idx="3">
                  <c:v>51791.725189999997</c:v>
                </c:pt>
                <c:pt idx="4">
                  <c:v>146572.38586000001</c:v>
                </c:pt>
                <c:pt idx="5">
                  <c:v>47312.598030000001</c:v>
                </c:pt>
                <c:pt idx="6">
                  <c:v>26332.702880000001</c:v>
                </c:pt>
                <c:pt idx="7">
                  <c:v>55411.769270000004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E-4E83-B513-389AB60A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68448016"/>
        <c:axId val="368448432"/>
      </c:barChart>
      <c:barChart>
        <c:barDir val="col"/>
        <c:grouping val="clustered"/>
        <c:varyColors val="0"/>
        <c:ser>
          <c:idx val="3"/>
          <c:order val="1"/>
          <c:tx>
            <c:strRef>
              <c:f>'слайд 3 и 5 (с лизингом и амор)'!$C$31</c:f>
              <c:strCache>
                <c:ptCount val="1"/>
                <c:pt idx="0">
                  <c:v>план янв-июнь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 (с лизингом и амор)'!$A$32:$A$39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амор)'!$C$32:$C$39</c:f>
              <c:numCache>
                <c:formatCode>#,##0</c:formatCode>
                <c:ptCount val="8"/>
                <c:pt idx="0">
                  <c:v>123496.08478999999</c:v>
                </c:pt>
                <c:pt idx="1">
                  <c:v>152313.36319</c:v>
                </c:pt>
                <c:pt idx="2">
                  <c:v>48197.866289999998</c:v>
                </c:pt>
                <c:pt idx="3">
                  <c:v>59316.640509999997</c:v>
                </c:pt>
                <c:pt idx="4">
                  <c:v>127046.85051999999</c:v>
                </c:pt>
                <c:pt idx="5">
                  <c:v>41387.9015</c:v>
                </c:pt>
                <c:pt idx="6">
                  <c:v>33269.595419999998</c:v>
                </c:pt>
                <c:pt idx="7">
                  <c:v>146734.53422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E-4E83-B513-389AB60A6AD2}"/>
            </c:ext>
          </c:extLst>
        </c:ser>
        <c:ser>
          <c:idx val="0"/>
          <c:order val="2"/>
          <c:tx>
            <c:strRef>
              <c:f>'слайд 3 и 5 (с лизингом и амор)'!$D$31</c:f>
              <c:strCache>
                <c:ptCount val="1"/>
                <c:pt idx="0">
                  <c:v>факт янв-июнь 2022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3 и 5 (с лизингом и амор)'!$A$32:$A$39</c:f>
              <c:strCache>
                <c:ptCount val="8"/>
                <c:pt idx="0">
                  <c:v>РУСС по Центральному региону</c:v>
                </c:pt>
                <c:pt idx="1">
                  <c:v>РУСС по Северо-Западному региону</c:v>
                </c:pt>
                <c:pt idx="2">
                  <c:v>РУСС по Южному региону</c:v>
                </c:pt>
                <c:pt idx="3">
                  <c:v>РУСС по Приволжскому региону</c:v>
                </c:pt>
                <c:pt idx="4">
                  <c:v>РУСС по Уральскому региону</c:v>
                </c:pt>
                <c:pt idx="5">
                  <c:v>РУСС по Сибирскому  региону</c:v>
                </c:pt>
                <c:pt idx="6">
                  <c:v>РУСС по Дальневосточному региону</c:v>
                </c:pt>
                <c:pt idx="7">
                  <c:v>УСС по г. Москве и Московской области</c:v>
                </c:pt>
              </c:strCache>
            </c:strRef>
          </c:cat>
          <c:val>
            <c:numRef>
              <c:f>'слайд 3 и 5 (с лизингом и амор)'!$D$32:$D$39</c:f>
              <c:numCache>
                <c:formatCode>#,##0</c:formatCode>
                <c:ptCount val="8"/>
                <c:pt idx="0">
                  <c:v>130124.20684</c:v>
                </c:pt>
                <c:pt idx="1">
                  <c:v>172120.59692000001</c:v>
                </c:pt>
                <c:pt idx="2">
                  <c:v>48124.316019999998</c:v>
                </c:pt>
                <c:pt idx="3">
                  <c:v>55495.961799999997</c:v>
                </c:pt>
                <c:pt idx="4">
                  <c:v>144628.73668</c:v>
                </c:pt>
                <c:pt idx="5">
                  <c:v>27677.171719999998</c:v>
                </c:pt>
                <c:pt idx="6">
                  <c:v>51743.355319999995</c:v>
                </c:pt>
                <c:pt idx="7">
                  <c:v>219111.34553999998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E-4E83-B513-389AB60A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89183072"/>
        <c:axId val="194681320"/>
      </c:barChart>
      <c:catAx>
        <c:axId val="3684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1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368448432"/>
        <c:crosses val="autoZero"/>
        <c:auto val="1"/>
        <c:lblAlgn val="ctr"/>
        <c:lblOffset val="100"/>
        <c:noMultiLvlLbl val="0"/>
      </c:catAx>
      <c:valAx>
        <c:axId val="368448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84480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</c:dispUnitsLbl>
        </c:dispUnits>
      </c:valAx>
      <c:valAx>
        <c:axId val="19468132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89183072"/>
        <c:crosses val="max"/>
        <c:crossBetween val="between"/>
      </c:valAx>
      <c:catAx>
        <c:axId val="1891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81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'слайд 4'!$B$6</c:f>
              <c:strCache>
                <c:ptCount val="1"/>
                <c:pt idx="0">
                  <c:v>РУСС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4'!$A$7:$A$14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Сибирскому  региону</c:v>
                </c:pt>
                <c:pt idx="5">
                  <c:v>РУСС по Приволжскому региону</c:v>
                </c:pt>
                <c:pt idx="6">
                  <c:v>РУСС по Южному региону</c:v>
                </c:pt>
                <c:pt idx="7">
                  <c:v>РУСС по Дальневосточному региону</c:v>
                </c:pt>
              </c:strCache>
            </c:strRef>
          </c:cat>
          <c:val>
            <c:numRef>
              <c:f>'слайд 4'!$B$7:$B$14</c:f>
              <c:numCache>
                <c:formatCode>#,##0.00</c:formatCode>
                <c:ptCount val="8"/>
                <c:pt idx="0">
                  <c:v>1944.1039206899998</c:v>
                </c:pt>
                <c:pt idx="1">
                  <c:v>875.51091902999997</c:v>
                </c:pt>
                <c:pt idx="2">
                  <c:v>744.7330914800001</c:v>
                </c:pt>
                <c:pt idx="3">
                  <c:v>646.41264230999991</c:v>
                </c:pt>
                <c:pt idx="4">
                  <c:v>570.52016610999999</c:v>
                </c:pt>
                <c:pt idx="5">
                  <c:v>450.78346025000002</c:v>
                </c:pt>
                <c:pt idx="6">
                  <c:v>454.01251432999999</c:v>
                </c:pt>
                <c:pt idx="7">
                  <c:v>453.09964322000002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2-4CEA-B2B4-60A50F19611B}"/>
            </c:ext>
          </c:extLst>
        </c:ser>
        <c:ser>
          <c:idx val="1"/>
          <c:order val="1"/>
          <c:tx>
            <c:strRef>
              <c:f>'слайд 4'!$C$6</c:f>
              <c:strCache>
                <c:ptCount val="1"/>
                <c:pt idx="0">
                  <c:v>ТУСС (max)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12-4CEA-B2B4-60A50F19611B}"/>
                </c:ext>
              </c:extLst>
            </c:dLbl>
            <c:dLbl>
              <c:idx val="1"/>
              <c:layout>
                <c:manualLayout>
                  <c:x val="1.0041240243393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12-4CEA-B2B4-60A50F19611B}"/>
                </c:ext>
              </c:extLst>
            </c:dLbl>
            <c:dLbl>
              <c:idx val="2"/>
              <c:layout>
                <c:manualLayout>
                  <c:x val="8.60677735148000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12-4CEA-B2B4-60A50F19611B}"/>
                </c:ext>
              </c:extLst>
            </c:dLbl>
            <c:dLbl>
              <c:idx val="3"/>
              <c:layout>
                <c:manualLayout>
                  <c:x val="1.0041240243393338E-2"/>
                  <c:y val="-1.6649321802330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12-4CEA-B2B4-60A50F19611B}"/>
                </c:ext>
              </c:extLst>
            </c:dLbl>
            <c:dLbl>
              <c:idx val="4"/>
              <c:layout>
                <c:manualLayout>
                  <c:x val="8.6067773514798985E-3"/>
                  <c:y val="-1.017446800954603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12-4CEA-B2B4-60A50F19611B}"/>
                </c:ext>
              </c:extLst>
            </c:dLbl>
            <c:dLbl>
              <c:idx val="5"/>
              <c:layout>
                <c:manualLayout>
                  <c:x val="8.6067773514800043E-3"/>
                  <c:y val="-2.7748869670550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12-4CEA-B2B4-60A50F19611B}"/>
                </c:ext>
              </c:extLst>
            </c:dLbl>
            <c:dLbl>
              <c:idx val="6"/>
              <c:layout>
                <c:manualLayout>
                  <c:x val="1.2910166027219901E-2"/>
                  <c:y val="-5.087234004773015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12-4CEA-B2B4-60A50F196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4'!$A$7:$A$14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Сибирскому  региону</c:v>
                </c:pt>
                <c:pt idx="5">
                  <c:v>РУСС по Приволжскому региону</c:v>
                </c:pt>
                <c:pt idx="6">
                  <c:v>РУСС по Южному региону</c:v>
                </c:pt>
                <c:pt idx="7">
                  <c:v>РУСС по Дальневосточному региону</c:v>
                </c:pt>
              </c:strCache>
            </c:strRef>
          </c:cat>
          <c:val>
            <c:numRef>
              <c:f>'слайд 4'!$C$7:$C$14</c:f>
              <c:numCache>
                <c:formatCode>#,##0.00</c:formatCode>
                <c:ptCount val="8"/>
                <c:pt idx="0">
                  <c:v>0</c:v>
                </c:pt>
                <c:pt idx="1">
                  <c:v>509.54732511999998</c:v>
                </c:pt>
                <c:pt idx="2">
                  <c:v>208.46791209</c:v>
                </c:pt>
                <c:pt idx="3">
                  <c:v>110.02046978</c:v>
                </c:pt>
                <c:pt idx="4">
                  <c:v>137.64667550000001</c:v>
                </c:pt>
                <c:pt idx="5">
                  <c:v>85.642448000000002</c:v>
                </c:pt>
                <c:pt idx="6">
                  <c:v>107.2190935</c:v>
                </c:pt>
                <c:pt idx="7">
                  <c:v>110.48755265000001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2-4CEA-B2B4-60A50F19611B}"/>
            </c:ext>
          </c:extLst>
        </c:ser>
        <c:ser>
          <c:idx val="2"/>
          <c:order val="2"/>
          <c:tx>
            <c:strRef>
              <c:f>'слайд 4'!$D$6</c:f>
              <c:strCache>
                <c:ptCount val="1"/>
                <c:pt idx="0">
                  <c:v>ТУСС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12-4CEA-B2B4-60A50F19611B}"/>
                </c:ext>
              </c:extLst>
            </c:dLbl>
            <c:dLbl>
              <c:idx val="1"/>
              <c:layout>
                <c:manualLayout>
                  <c:x val="5.73785156765333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12-4CEA-B2B4-60A50F19611B}"/>
                </c:ext>
              </c:extLst>
            </c:dLbl>
            <c:dLbl>
              <c:idx val="2"/>
              <c:layout>
                <c:manualLayout>
                  <c:x val="5.73785156765333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12-4CEA-B2B4-60A50F19611B}"/>
                </c:ext>
              </c:extLst>
            </c:dLbl>
            <c:dLbl>
              <c:idx val="3"/>
              <c:layout>
                <c:manualLayout>
                  <c:x val="8.6067773514799523E-3"/>
                  <c:y val="2.77488696705509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12-4CEA-B2B4-60A50F19611B}"/>
                </c:ext>
              </c:extLst>
            </c:dLbl>
            <c:dLbl>
              <c:idx val="4"/>
              <c:layout>
                <c:manualLayout>
                  <c:x val="8.60677735148000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12-4CEA-B2B4-60A50F19611B}"/>
                </c:ext>
              </c:extLst>
            </c:dLbl>
            <c:dLbl>
              <c:idx val="6"/>
              <c:layout>
                <c:manualLayout>
                  <c:x val="1.7213554702960009E-2"/>
                  <c:y val="5.5497739341100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E3-4B52-AA91-9D39E3CF7144}"/>
                </c:ext>
              </c:extLst>
            </c:dLbl>
            <c:dLbl>
              <c:idx val="7"/>
              <c:layout>
                <c:manualLayout>
                  <c:x val="4.3033886757400022E-3"/>
                  <c:y val="8.32466090116529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12-4CEA-B2B4-60A50F196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'слайд 4'!$A$7:$A$14</c:f>
              <c:strCache>
                <c:ptCount val="8"/>
                <c:pt idx="0">
                  <c:v>УСС по г. Москве и Московской области</c:v>
                </c:pt>
                <c:pt idx="1">
                  <c:v>РУСС по Северо-Западному региону</c:v>
                </c:pt>
                <c:pt idx="2">
                  <c:v>РУСС по Уральскому региону</c:v>
                </c:pt>
                <c:pt idx="3">
                  <c:v>РУСС по Центральному региону</c:v>
                </c:pt>
                <c:pt idx="4">
                  <c:v>РУСС по Сибирскому  региону</c:v>
                </c:pt>
                <c:pt idx="5">
                  <c:v>РУСС по Приволжскому региону</c:v>
                </c:pt>
                <c:pt idx="6">
                  <c:v>РУСС по Южному региону</c:v>
                </c:pt>
                <c:pt idx="7">
                  <c:v>РУСС по Дальневосточному региону</c:v>
                </c:pt>
              </c:strCache>
            </c:strRef>
          </c:cat>
          <c:val>
            <c:numRef>
              <c:f>'слайд 4'!$D$7:$D$14</c:f>
              <c:numCache>
                <c:formatCode>#,##0.00</c:formatCode>
                <c:ptCount val="8"/>
                <c:pt idx="0">
                  <c:v>0</c:v>
                </c:pt>
                <c:pt idx="1">
                  <c:v>24.953726019999998</c:v>
                </c:pt>
                <c:pt idx="2">
                  <c:v>18.423898579999996</c:v>
                </c:pt>
                <c:pt idx="3">
                  <c:v>11.677764210000001</c:v>
                </c:pt>
                <c:pt idx="4">
                  <c:v>15.86357361</c:v>
                </c:pt>
                <c:pt idx="5">
                  <c:v>9.4352036300000002</c:v>
                </c:pt>
                <c:pt idx="6">
                  <c:v>14.42990099</c:v>
                </c:pt>
                <c:pt idx="7">
                  <c:v>34.339569609999998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2-4CEA-B2B4-60A50F19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58624"/>
        <c:axId val="484820736"/>
      </c:barChart>
      <c:catAx>
        <c:axId val="4636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ru-RU"/>
          </a:p>
        </c:txPr>
        <c:crossAx val="484820736"/>
        <c:crosses val="autoZero"/>
        <c:auto val="1"/>
        <c:lblAlgn val="ctr"/>
        <c:lblOffset val="100"/>
        <c:noMultiLvlLbl val="0"/>
      </c:catAx>
      <c:valAx>
        <c:axId val="484820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4636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1733555</xdr:colOff>
      <xdr:row>12</xdr:row>
      <xdr:rowOff>114305</xdr:rowOff>
    </xdr:from>
    <xdr:to>
      <xdr:col>19</xdr:col>
      <xdr:colOff>600075</xdr:colOff>
      <xdr:row>30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762000</xdr:colOff>
      <xdr:row>12</xdr:row>
      <xdr:rowOff>142875</xdr:rowOff>
    </xdr:from>
    <xdr:to>
      <xdr:col>25</xdr:col>
      <xdr:colOff>390525</xdr:colOff>
      <xdr:row>30</xdr:row>
      <xdr:rowOff>76194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0.15233</cdr:x>
      <cdr:y>0.27846</cdr:y>
    </cdr:from>
    <cdr:to>
      <cdr:x>0.22533</cdr:x>
      <cdr:y>0.33333</cdr:y>
    </cdr:to>
    <cdr:sp macro="" textlink="">
      <cdr:nvSpPr>
        <cdr:cNvPr id="41" name="Прямоугольник 40"/>
        <cdr:cNvSpPr/>
      </cdr:nvSpPr>
      <cdr:spPr>
        <a:xfrm xmlns:a="http://schemas.openxmlformats.org/drawingml/2006/main">
          <a:off x="1374775" y="974725"/>
          <a:ext cx="658812" cy="1920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7%</a:t>
          </a:r>
        </a:p>
      </cdr:txBody>
    </cdr:sp>
  </cdr:relSizeAnchor>
  <cdr:relSizeAnchor xmlns:cdr="http://schemas.openxmlformats.org/drawingml/2006/chartDrawing">
    <cdr:from>
      <cdr:x>0.26509</cdr:x>
      <cdr:y>0.42054</cdr:y>
    </cdr:from>
    <cdr:to>
      <cdr:x>0.33809</cdr:x>
      <cdr:y>0.47541</cdr:y>
    </cdr:to>
    <cdr:sp macro="" textlink="">
      <cdr:nvSpPr>
        <cdr:cNvPr id="42" name="Прямоугольник 41"/>
        <cdr:cNvSpPr/>
      </cdr:nvSpPr>
      <cdr:spPr>
        <a:xfrm xmlns:a="http://schemas.openxmlformats.org/drawingml/2006/main">
          <a:off x="2794558" y="1952739"/>
          <a:ext cx="769551" cy="254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4%</a:t>
          </a:r>
        </a:p>
      </cdr:txBody>
    </cdr:sp>
  </cdr:relSizeAnchor>
  <cdr:relSizeAnchor xmlns:cdr="http://schemas.openxmlformats.org/drawingml/2006/chartDrawing">
    <cdr:from>
      <cdr:x>0.35985</cdr:x>
      <cdr:y>0.40562</cdr:y>
    </cdr:from>
    <cdr:to>
      <cdr:x>0.43285</cdr:x>
      <cdr:y>0.46049</cdr:y>
    </cdr:to>
    <cdr:sp macro="" textlink="">
      <cdr:nvSpPr>
        <cdr:cNvPr id="43" name="Прямоугольник 42"/>
        <cdr:cNvSpPr/>
      </cdr:nvSpPr>
      <cdr:spPr>
        <a:xfrm xmlns:a="http://schemas.openxmlformats.org/drawingml/2006/main">
          <a:off x="3793516" y="1883473"/>
          <a:ext cx="769551" cy="254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0.4431</cdr:x>
      <cdr:y>0.34487</cdr:y>
    </cdr:from>
    <cdr:to>
      <cdr:x>0.5161</cdr:x>
      <cdr:y>0.39974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4671111" y="1601387"/>
          <a:ext cx="769550" cy="2547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</a:t>
          </a:r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0.56257</cdr:x>
      <cdr:y>0.39356</cdr:y>
    </cdr:from>
    <cdr:to>
      <cdr:x>0.63557</cdr:x>
      <cdr:y>0.44844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5930470" y="1733749"/>
          <a:ext cx="769551" cy="24176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0.63897</cdr:x>
      <cdr:y>0.42141</cdr:y>
    </cdr:from>
    <cdr:to>
      <cdr:x>0.71197</cdr:x>
      <cdr:y>0.47629</cdr:y>
    </cdr:to>
    <cdr:sp macro="" textlink="">
      <cdr:nvSpPr>
        <cdr:cNvPr id="46" name="Прямоугольник 45"/>
        <cdr:cNvSpPr/>
      </cdr:nvSpPr>
      <cdr:spPr>
        <a:xfrm xmlns:a="http://schemas.openxmlformats.org/drawingml/2006/main">
          <a:off x="6735863" y="1956804"/>
          <a:ext cx="769551" cy="2548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2%</a:t>
          </a:r>
        </a:p>
      </cdr:txBody>
    </cdr:sp>
  </cdr:relSizeAnchor>
  <cdr:relSizeAnchor xmlns:cdr="http://schemas.openxmlformats.org/drawingml/2006/chartDrawing">
    <cdr:from>
      <cdr:x>0.69871</cdr:x>
      <cdr:y>0.1017</cdr:y>
    </cdr:from>
    <cdr:to>
      <cdr:x>0.77171</cdr:x>
      <cdr:y>0.15658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7365689" y="448027"/>
          <a:ext cx="769551" cy="2417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22%</a:t>
          </a:r>
        </a:p>
      </cdr:txBody>
    </cdr:sp>
  </cdr:relSizeAnchor>
  <cdr:relSizeAnchor xmlns:cdr="http://schemas.openxmlformats.org/drawingml/2006/chartDrawing">
    <cdr:from>
      <cdr:x>0.05236</cdr:x>
      <cdr:y>0.41097</cdr:y>
    </cdr:from>
    <cdr:to>
      <cdr:x>0.07241</cdr:x>
      <cdr:y>0.45427</cdr:y>
    </cdr:to>
    <cdr:cxnSp macro="">
      <cdr:nvCxnSpPr>
        <cdr:cNvPr id="16" name="Прямая со стрелкой 15"/>
        <cdr:cNvCxnSpPr/>
      </cdr:nvCxnSpPr>
      <cdr:spPr>
        <a:xfrm xmlns:a="http://schemas.openxmlformats.org/drawingml/2006/main" flipV="1">
          <a:off x="551997" y="1810455"/>
          <a:ext cx="211363" cy="190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0.15663</cdr:x>
      <cdr:y>0.33241</cdr:y>
    </cdr:from>
    <cdr:to>
      <cdr:x>0.17457</cdr:x>
      <cdr:y>0.37867</cdr:y>
    </cdr:to>
    <cdr:cxnSp macro="">
      <cdr:nvCxnSpPr>
        <cdr:cNvPr id="54" name="Прямая со стрелкой 53"/>
        <cdr:cNvCxnSpPr/>
      </cdr:nvCxnSpPr>
      <cdr:spPr>
        <a:xfrm xmlns:a="http://schemas.openxmlformats.org/drawingml/2006/main">
          <a:off x="1651155" y="1543521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0.35758</cdr:x>
      <cdr:y>0.4625</cdr:y>
    </cdr:from>
    <cdr:to>
      <cdr:x>0.37552</cdr:x>
      <cdr:y>0.50875</cdr:y>
    </cdr:to>
    <cdr:cxnSp macro="">
      <cdr:nvCxnSpPr>
        <cdr:cNvPr id="62" name="Прямая со стрелкой 61"/>
        <cdr:cNvCxnSpPr/>
      </cdr:nvCxnSpPr>
      <cdr:spPr>
        <a:xfrm xmlns:a="http://schemas.openxmlformats.org/drawingml/2006/main">
          <a:off x="3769515" y="2147567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0.46294</cdr:x>
      <cdr:y>0.37679</cdr:y>
    </cdr:from>
    <cdr:to>
      <cdr:x>0.48317</cdr:x>
      <cdr:y>0.43076</cdr:y>
    </cdr:to>
    <cdr:cxnSp macro="">
      <cdr:nvCxnSpPr>
        <cdr:cNvPr id="68" name="Прямая со стрелкой 67"/>
        <cdr:cNvCxnSpPr/>
      </cdr:nvCxnSpPr>
      <cdr:spPr>
        <a:xfrm xmlns:a="http://schemas.openxmlformats.org/drawingml/2006/main" flipV="1">
          <a:off x="4880173" y="1749593"/>
          <a:ext cx="213260" cy="2506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0.66128</cdr:x>
      <cdr:y>0.45769</cdr:y>
    </cdr:from>
    <cdr:to>
      <cdr:x>0.68151</cdr:x>
      <cdr:y>0.51166</cdr:y>
    </cdr:to>
    <cdr:cxnSp macro="">
      <cdr:nvCxnSpPr>
        <cdr:cNvPr id="74" name="Прямая со стрелкой 73"/>
        <cdr:cNvCxnSpPr/>
      </cdr:nvCxnSpPr>
      <cdr:spPr>
        <a:xfrm xmlns:a="http://schemas.openxmlformats.org/drawingml/2006/main" flipV="1">
          <a:off x="6971039" y="2125249"/>
          <a:ext cx="213260" cy="2506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0.73903</cdr:x>
      <cdr:y>0.12627</cdr:y>
    </cdr:from>
    <cdr:to>
      <cdr:x>0.75926</cdr:x>
      <cdr:y>0.18025</cdr:y>
    </cdr:to>
    <cdr:cxnSp macro="">
      <cdr:nvCxnSpPr>
        <cdr:cNvPr id="77" name="Прямая со стрелкой 76"/>
        <cdr:cNvCxnSpPr/>
      </cdr:nvCxnSpPr>
      <cdr:spPr>
        <a:xfrm xmlns:a="http://schemas.openxmlformats.org/drawingml/2006/main" flipV="1">
          <a:off x="7790711" y="556261"/>
          <a:ext cx="213260" cy="23779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0.84151</cdr:x>
      <cdr:y>0.05261</cdr:y>
    </cdr:from>
    <cdr:to>
      <cdr:x>0.99472</cdr:x>
      <cdr:y>0.18432</cdr:y>
    </cdr:to>
    <cdr:sp macro="" textlink="">
      <cdr:nvSpPr>
        <cdr:cNvPr id="78" name="Прямоугольник 77"/>
        <cdr:cNvSpPr/>
      </cdr:nvSpPr>
      <cdr:spPr>
        <a:xfrm xmlns:a="http://schemas.openxmlformats.org/drawingml/2006/main">
          <a:off x="8871025" y="231763"/>
          <a:ext cx="1615108" cy="58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ru-RU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темп прироста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снижения</a:t>
          </a:r>
          <a:r>
            <a:rPr lang="ru-RU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</a:p>
      </cdr:txBody>
    </cdr:sp>
  </cdr:relSizeAnchor>
  <cdr:relSizeAnchor xmlns:cdr="http://schemas.openxmlformats.org/drawingml/2006/chartDrawing">
    <cdr:from>
      <cdr:x>0.03306</cdr:x>
      <cdr:y>0.37858</cdr:y>
    </cdr:from>
    <cdr:to>
      <cdr:x>0.09759</cdr:x>
      <cdr:y>0.44378</cdr:y>
    </cdr:to>
    <cdr:sp macro="" textlink="">
      <cdr:nvSpPr>
        <cdr:cNvPr id="36" name="Прямоугольник 35"/>
        <cdr:cNvSpPr/>
      </cdr:nvSpPr>
      <cdr:spPr>
        <a:xfrm xmlns:a="http://schemas.openxmlformats.org/drawingml/2006/main">
          <a:off x="348484" y="1667759"/>
          <a:ext cx="680262" cy="2872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2%</a:t>
          </a:r>
        </a:p>
      </cdr:txBody>
    </cdr:sp>
  </cdr:relSizeAnchor>
  <cdr:relSizeAnchor xmlns:cdr="http://schemas.openxmlformats.org/drawingml/2006/chartDrawing">
    <cdr:from>
      <cdr:x>0.25781</cdr:x>
      <cdr:y>0.45966</cdr:y>
    </cdr:from>
    <cdr:to>
      <cdr:x>0.27575</cdr:x>
      <cdr:y>0.50592</cdr:y>
    </cdr:to>
    <cdr:cxnSp macro="">
      <cdr:nvCxnSpPr>
        <cdr:cNvPr id="37" name="Прямая со стрелкой 36"/>
        <cdr:cNvCxnSpPr/>
      </cdr:nvCxnSpPr>
      <cdr:spPr>
        <a:xfrm xmlns:a="http://schemas.openxmlformats.org/drawingml/2006/main">
          <a:off x="2717800" y="2134394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0.55824</cdr:x>
      <cdr:y>0.43045</cdr:y>
    </cdr:from>
    <cdr:to>
      <cdr:x>0.57618</cdr:x>
      <cdr:y>0.4767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>
          <a:off x="5884862" y="1896269"/>
          <a:ext cx="189119" cy="2037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0.11732</cdr:x>
      <cdr:y>0.17283</cdr:y>
    </cdr:from>
    <cdr:to>
      <cdr:x>0.19032</cdr:x>
      <cdr:y>0.2277</cdr:y>
    </cdr:to>
    <cdr:sp macro="" textlink="">
      <cdr:nvSpPr>
        <cdr:cNvPr id="41" name="Прямоугольник 40"/>
        <cdr:cNvSpPr/>
      </cdr:nvSpPr>
      <cdr:spPr>
        <a:xfrm xmlns:a="http://schemas.openxmlformats.org/drawingml/2006/main">
          <a:off x="1236736" y="742840"/>
          <a:ext cx="769551" cy="235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7%</a:t>
          </a:r>
        </a:p>
      </cdr:txBody>
    </cdr:sp>
  </cdr:relSizeAnchor>
  <cdr:relSizeAnchor xmlns:cdr="http://schemas.openxmlformats.org/drawingml/2006/chartDrawing">
    <cdr:from>
      <cdr:x>0.561</cdr:x>
      <cdr:y>0.49061</cdr:y>
    </cdr:from>
    <cdr:to>
      <cdr:x>0.634</cdr:x>
      <cdr:y>0.54548</cdr:y>
    </cdr:to>
    <cdr:sp macro="" textlink="">
      <cdr:nvSpPr>
        <cdr:cNvPr id="42" name="Прямоугольник 41"/>
        <cdr:cNvSpPr/>
      </cdr:nvSpPr>
      <cdr:spPr>
        <a:xfrm xmlns:a="http://schemas.openxmlformats.org/drawingml/2006/main">
          <a:off x="5913961" y="2133266"/>
          <a:ext cx="769551" cy="2385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22%</a:t>
          </a:r>
        </a:p>
      </cdr:txBody>
    </cdr:sp>
  </cdr:relSizeAnchor>
  <cdr:relSizeAnchor xmlns:cdr="http://schemas.openxmlformats.org/drawingml/2006/chartDrawing">
    <cdr:from>
      <cdr:x>0.33387</cdr:x>
      <cdr:y>0.3528</cdr:y>
    </cdr:from>
    <cdr:to>
      <cdr:x>0.40687</cdr:x>
      <cdr:y>0.40767</cdr:y>
    </cdr:to>
    <cdr:sp macro="" textlink="">
      <cdr:nvSpPr>
        <cdr:cNvPr id="43" name="Прямоугольник 42"/>
        <cdr:cNvSpPr/>
      </cdr:nvSpPr>
      <cdr:spPr>
        <a:xfrm xmlns:a="http://schemas.openxmlformats.org/drawingml/2006/main">
          <a:off x="3519620" y="1516406"/>
          <a:ext cx="769551" cy="235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6%</a:t>
          </a:r>
        </a:p>
      </cdr:txBody>
    </cdr:sp>
  </cdr:relSizeAnchor>
  <cdr:relSizeAnchor xmlns:cdr="http://schemas.openxmlformats.org/drawingml/2006/chartDrawing">
    <cdr:from>
      <cdr:x>0.41825</cdr:x>
      <cdr:y>0.22158</cdr:y>
    </cdr:from>
    <cdr:to>
      <cdr:x>0.49125</cdr:x>
      <cdr:y>0.27645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4409083" y="963485"/>
          <a:ext cx="769551" cy="2385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18%</a:t>
          </a:r>
        </a:p>
      </cdr:txBody>
    </cdr:sp>
  </cdr:relSizeAnchor>
  <cdr:relSizeAnchor xmlns:cdr="http://schemas.openxmlformats.org/drawingml/2006/chartDrawing">
    <cdr:from>
      <cdr:x>0.62655</cdr:x>
      <cdr:y>0.40142</cdr:y>
    </cdr:from>
    <cdr:to>
      <cdr:x>0.69955</cdr:x>
      <cdr:y>0.4563</cdr:y>
    </cdr:to>
    <cdr:sp macro="" textlink="">
      <cdr:nvSpPr>
        <cdr:cNvPr id="46" name="Прямоугольник 45"/>
        <cdr:cNvSpPr/>
      </cdr:nvSpPr>
      <cdr:spPr>
        <a:xfrm xmlns:a="http://schemas.openxmlformats.org/drawingml/2006/main">
          <a:off x="6604921" y="1725378"/>
          <a:ext cx="769551" cy="2358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175%</a:t>
          </a:r>
        </a:p>
      </cdr:txBody>
    </cdr:sp>
  </cdr:relSizeAnchor>
  <cdr:relSizeAnchor xmlns:cdr="http://schemas.openxmlformats.org/drawingml/2006/chartDrawing">
    <cdr:from>
      <cdr:x>0.72243</cdr:x>
      <cdr:y>0.22057</cdr:y>
    </cdr:from>
    <cdr:to>
      <cdr:x>0.79543</cdr:x>
      <cdr:y>0.27545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7615738" y="959086"/>
          <a:ext cx="769551" cy="2386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64%</a:t>
          </a:r>
        </a:p>
      </cdr:txBody>
    </cdr:sp>
  </cdr:relSizeAnchor>
  <cdr:relSizeAnchor xmlns:cdr="http://schemas.openxmlformats.org/drawingml/2006/chartDrawing">
    <cdr:from>
      <cdr:x>0.05462</cdr:x>
      <cdr:y>0.26161</cdr:y>
    </cdr:from>
    <cdr:to>
      <cdr:x>0.07467</cdr:x>
      <cdr:y>0.30491</cdr:y>
    </cdr:to>
    <cdr:cxnSp macro="">
      <cdr:nvCxnSpPr>
        <cdr:cNvPr id="16" name="Прямая со стрелкой 15"/>
        <cdr:cNvCxnSpPr/>
      </cdr:nvCxnSpPr>
      <cdr:spPr>
        <a:xfrm xmlns:a="http://schemas.openxmlformats.org/drawingml/2006/main" flipV="1">
          <a:off x="575811" y="1124424"/>
          <a:ext cx="211363" cy="18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0.44939</cdr:x>
      <cdr:y>0.24886</cdr:y>
    </cdr:from>
    <cdr:to>
      <cdr:x>0.46962</cdr:x>
      <cdr:y>0.30283</cdr:y>
    </cdr:to>
    <cdr:cxnSp macro="">
      <cdr:nvCxnSpPr>
        <cdr:cNvPr id="68" name="Прямая со стрелкой 67"/>
        <cdr:cNvCxnSpPr/>
      </cdr:nvCxnSpPr>
      <cdr:spPr>
        <a:xfrm xmlns:a="http://schemas.openxmlformats.org/drawingml/2006/main" flipV="1">
          <a:off x="4737332" y="1082075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0.66128</cdr:x>
      <cdr:y>0.46664</cdr:y>
    </cdr:from>
    <cdr:to>
      <cdr:x>0.68151</cdr:x>
      <cdr:y>0.52061</cdr:y>
    </cdr:to>
    <cdr:cxnSp macro="">
      <cdr:nvCxnSpPr>
        <cdr:cNvPr id="74" name="Прямая со стрелкой 73"/>
        <cdr:cNvCxnSpPr/>
      </cdr:nvCxnSpPr>
      <cdr:spPr>
        <a:xfrm xmlns:a="http://schemas.openxmlformats.org/drawingml/2006/main" flipV="1">
          <a:off x="6971083" y="2029013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0.75823</cdr:x>
      <cdr:y>0.2523</cdr:y>
    </cdr:from>
    <cdr:to>
      <cdr:x>0.77846</cdr:x>
      <cdr:y>0.30628</cdr:y>
    </cdr:to>
    <cdr:cxnSp macro="">
      <cdr:nvCxnSpPr>
        <cdr:cNvPr id="77" name="Прямая со стрелкой 76"/>
        <cdr:cNvCxnSpPr/>
      </cdr:nvCxnSpPr>
      <cdr:spPr>
        <a:xfrm xmlns:a="http://schemas.openxmlformats.org/drawingml/2006/main" flipV="1">
          <a:off x="7993146" y="1097061"/>
          <a:ext cx="213261" cy="23471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0.84595</cdr:x>
      <cdr:y>0.05261</cdr:y>
    </cdr:from>
    <cdr:to>
      <cdr:x>0.99472</cdr:x>
      <cdr:y>0.24699</cdr:y>
    </cdr:to>
    <cdr:sp macro="" textlink="">
      <cdr:nvSpPr>
        <cdr:cNvPr id="78" name="Прямоугольник 77"/>
        <cdr:cNvSpPr/>
      </cdr:nvSpPr>
      <cdr:spPr>
        <a:xfrm xmlns:a="http://schemas.openxmlformats.org/drawingml/2006/main">
          <a:off x="8917782" y="228757"/>
          <a:ext cx="1568351" cy="8451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ru-RU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темп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прироста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снижения 2022</a:t>
          </a:r>
        </a:p>
      </cdr:txBody>
    </cdr:sp>
  </cdr:relSizeAnchor>
  <cdr:relSizeAnchor xmlns:cdr="http://schemas.openxmlformats.org/drawingml/2006/chartDrawing">
    <cdr:from>
      <cdr:x>0.0308</cdr:x>
      <cdr:y>0.2128</cdr:y>
    </cdr:from>
    <cdr:to>
      <cdr:x>0.09533</cdr:x>
      <cdr:y>0.27424</cdr:y>
    </cdr:to>
    <cdr:sp macro="" textlink="">
      <cdr:nvSpPr>
        <cdr:cNvPr id="36" name="Прямоугольник 35"/>
        <cdr:cNvSpPr/>
      </cdr:nvSpPr>
      <cdr:spPr>
        <a:xfrm xmlns:a="http://schemas.openxmlformats.org/drawingml/2006/main">
          <a:off x="324671" y="914631"/>
          <a:ext cx="680262" cy="2640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15%</a:t>
          </a:r>
        </a:p>
      </cdr:txBody>
    </cdr:sp>
  </cdr:relSizeAnchor>
  <cdr:relSizeAnchor xmlns:cdr="http://schemas.openxmlformats.org/drawingml/2006/chartDrawing">
    <cdr:from>
      <cdr:x>0.146</cdr:x>
      <cdr:y>0.21105</cdr:y>
    </cdr:from>
    <cdr:to>
      <cdr:x>0.16605</cdr:x>
      <cdr:y>0.25435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V="1">
          <a:off x="1539081" y="907142"/>
          <a:ext cx="211363" cy="18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0.36172</cdr:x>
      <cdr:y>0.42516</cdr:y>
    </cdr:from>
    <cdr:to>
      <cdr:x>0.37966</cdr:x>
      <cdr:y>0.47142</cdr:y>
    </cdr:to>
    <cdr:cxnSp macro="">
      <cdr:nvCxnSpPr>
        <cdr:cNvPr id="21" name="Прямая со стрелкой 20"/>
        <cdr:cNvCxnSpPr/>
      </cdr:nvCxnSpPr>
      <cdr:spPr>
        <a:xfrm xmlns:a="http://schemas.openxmlformats.org/drawingml/2006/main">
          <a:off x="3813175" y="1848643"/>
          <a:ext cx="189119" cy="2011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0.25781</cdr:x>
      <cdr:y>0.46897</cdr:y>
    </cdr:from>
    <cdr:to>
      <cdr:x>0.27575</cdr:x>
      <cdr:y>0.51523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>
          <a:off x="2717800" y="2039144"/>
          <a:ext cx="189120" cy="2011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0.26459</cdr:x>
      <cdr:y>0.42516</cdr:y>
    </cdr:from>
    <cdr:to>
      <cdr:x>0.33759</cdr:x>
      <cdr:y>0.48003</cdr:y>
    </cdr:to>
    <cdr:sp macro="" textlink="">
      <cdr:nvSpPr>
        <cdr:cNvPr id="22" name="Прямоугольник 21"/>
        <cdr:cNvSpPr/>
      </cdr:nvSpPr>
      <cdr:spPr>
        <a:xfrm xmlns:a="http://schemas.openxmlformats.org/drawingml/2006/main">
          <a:off x="2789238" y="1848644"/>
          <a:ext cx="769551" cy="2385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1%</a:t>
          </a:r>
        </a:p>
      </cdr:txBody>
    </cdr:sp>
  </cdr:relSizeAnchor>
  <cdr:relSizeAnchor xmlns:cdr="http://schemas.openxmlformats.org/drawingml/2006/chartDrawing">
    <cdr:from>
      <cdr:x>0.55034</cdr:x>
      <cdr:y>0.49909</cdr:y>
    </cdr:from>
    <cdr:to>
      <cdr:x>0.57057</cdr:x>
      <cdr:y>0.55306</cdr:y>
    </cdr:to>
    <cdr:cxnSp macro="">
      <cdr:nvCxnSpPr>
        <cdr:cNvPr id="23" name="Прямая со стрелкой 22"/>
        <cdr:cNvCxnSpPr/>
      </cdr:nvCxnSpPr>
      <cdr:spPr>
        <a:xfrm xmlns:a="http://schemas.openxmlformats.org/drawingml/2006/main" flipV="1">
          <a:off x="5801519" y="2170113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15</xdr:row>
      <xdr:rowOff>100011</xdr:rowOff>
    </xdr:from>
    <xdr:to>
      <xdr:col>6</xdr:col>
      <xdr:colOff>95250</xdr:colOff>
      <xdr:row>39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176212</xdr:rowOff>
    </xdr:from>
    <xdr:to>
      <xdr:col>2</xdr:col>
      <xdr:colOff>633413</xdr:colOff>
      <xdr:row>41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317045</xdr:colOff>
      <xdr:row>35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0.06057</cdr:x>
      <cdr:y>0.85113</cdr:y>
    </cdr:from>
    <cdr:to>
      <cdr:x>0.80327</cdr:x>
      <cdr:y>0.92274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688975" y="3622675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25,73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22,43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18,66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17,61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15,77%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8</xdr:col>
      <xdr:colOff>317045</xdr:colOff>
      <xdr:row>34</xdr:row>
      <xdr:rowOff>160565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0.06057</cdr:x>
      <cdr:y>0.85113</cdr:y>
    </cdr:from>
    <cdr:to>
      <cdr:x>0.80327</cdr:x>
      <cdr:y>0.92274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688975" y="3622675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18,87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12,27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14,70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15,91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17,19%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317045</xdr:colOff>
      <xdr:row>35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0.0614</cdr:x>
      <cdr:y>0.85113</cdr:y>
    </cdr:from>
    <cdr:to>
      <cdr:x>0.80411</cdr:x>
      <cdr:y>0.92274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698500" y="3622675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8,72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12,86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5,04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4,83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5,63%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0.37191</cdr:x>
      <cdr:y>0.53887</cdr:y>
    </cdr:from>
    <cdr:to>
      <cdr:x>0.55688</cdr:x>
      <cdr:y>0.60497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 flipV="1">
          <a:off x="2404528" y="1811861"/>
          <a:ext cx="1195917" cy="22225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0.42176</cdr:x>
      <cdr:y>0.60131</cdr:y>
    </cdr:from>
    <cdr:to>
      <cdr:x>0.53459</cdr:x>
      <cdr:y>0.66191</cdr:y>
    </cdr:to>
    <cdr:sp macro="" textlink="">
      <cdr:nvSpPr>
        <cdr:cNvPr id="4" name="Прямоугольник 3"/>
        <cdr:cNvSpPr/>
      </cdr:nvSpPr>
      <cdr:spPr>
        <a:xfrm xmlns:a="http://schemas.openxmlformats.org/drawingml/2006/main" rot="21018310">
          <a:off x="2726823" y="2021804"/>
          <a:ext cx="729486" cy="20375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+3,88%</a:t>
          </a:r>
        </a:p>
      </cdr:txBody>
    </cdr:sp>
  </cdr:relSizeAnchor>
  <cdr:relSizeAnchor xmlns:cdr="http://schemas.openxmlformats.org/drawingml/2006/chartDrawing">
    <cdr:from>
      <cdr:x>0.85158</cdr:x>
      <cdr:y>0.19146</cdr:y>
    </cdr:from>
    <cdr:to>
      <cdr:x>0.85158</cdr:x>
      <cdr:y>0.29769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 flipV="1">
          <a:off x="5505746" y="643739"/>
          <a:ext cx="0" cy="35717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0.86469</cdr:x>
      <cdr:y>0.19327</cdr:y>
    </cdr:from>
    <cdr:to>
      <cdr:x>0.98874</cdr:x>
      <cdr:y>0.26188</cdr:y>
    </cdr:to>
    <cdr:sp macro="" textlink="">
      <cdr:nvSpPr>
        <cdr:cNvPr id="7" name="Прямоугольник 6"/>
        <cdr:cNvSpPr/>
      </cdr:nvSpPr>
      <cdr:spPr>
        <a:xfrm xmlns:a="http://schemas.openxmlformats.org/drawingml/2006/main">
          <a:off x="5590516" y="649824"/>
          <a:ext cx="802027" cy="23068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900" b="1" baseline="0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4,54</a:t>
          </a:r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0.63546</cdr:x>
      <cdr:y>0.33714</cdr:y>
    </cdr:from>
    <cdr:to>
      <cdr:x>0.76949</cdr:x>
      <cdr:y>0.48536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 flipV="1">
          <a:off x="4108445" y="1133576"/>
          <a:ext cx="866568" cy="49836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0.67892</cdr:x>
      <cdr:y>0.40946</cdr:y>
    </cdr:from>
    <cdr:to>
      <cdr:x>0.79639</cdr:x>
      <cdr:y>0.47421</cdr:y>
    </cdr:to>
    <cdr:sp macro="" textlink="">
      <cdr:nvSpPr>
        <cdr:cNvPr id="10" name="Прямоугольник 9"/>
        <cdr:cNvSpPr/>
      </cdr:nvSpPr>
      <cdr:spPr>
        <a:xfrm xmlns:a="http://schemas.openxmlformats.org/drawingml/2006/main" rot="19764138">
          <a:off x="4389445" y="1376743"/>
          <a:ext cx="759485" cy="21771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900" b="1">
              <a:ln>
                <a:solidFill>
                  <a:srgbClr val="00B050"/>
                </a:solidFill>
              </a:ln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12,80</a:t>
          </a:r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0.29988</cdr:x>
      <cdr:y>0.18634</cdr:y>
    </cdr:from>
    <cdr:to>
      <cdr:x>0.82698</cdr:x>
      <cdr:y>0.56091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 flipV="1">
          <a:off x="1938862" y="626529"/>
          <a:ext cx="3407833" cy="125941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0.64545</cdr:x>
      <cdr:y>0.1647</cdr:y>
    </cdr:from>
    <cdr:to>
      <cdr:x>0.76593</cdr:x>
      <cdr:y>0.23071</cdr:y>
    </cdr:to>
    <cdr:sp macro="" textlink="">
      <cdr:nvSpPr>
        <cdr:cNvPr id="15" name="Прямоугольник 14"/>
        <cdr:cNvSpPr/>
      </cdr:nvSpPr>
      <cdr:spPr>
        <a:xfrm xmlns:a="http://schemas.openxmlformats.org/drawingml/2006/main" rot="20320888">
          <a:off x="4173039" y="553772"/>
          <a:ext cx="778962" cy="22194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+17,18%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317045</xdr:colOff>
      <xdr:row>35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0.06308</cdr:x>
      <cdr:y>0.85337</cdr:y>
    </cdr:from>
    <cdr:to>
      <cdr:x>0.80578</cdr:x>
      <cdr:y>0.92498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717550" y="3632200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10,38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7,95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2,95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5,08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9,37%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19050</xdr:rowOff>
    </xdr:from>
    <xdr:to>
      <xdr:col>8</xdr:col>
      <xdr:colOff>355145</xdr:colOff>
      <xdr:row>35</xdr:row>
      <xdr:rowOff>84365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0.06057</cdr:x>
      <cdr:y>0.84442</cdr:y>
    </cdr:from>
    <cdr:to>
      <cdr:x>0.80327</cdr:x>
      <cdr:y>0.91603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688975" y="3594100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14,61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14,10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14,03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14,71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  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14,86</a:t>
          </a:r>
          <a:r>
            <a:rPr lang="en-US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endParaRPr lang="ru-RU" sz="1000" b="1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317045</xdr:colOff>
      <xdr:row>35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31</xdr:row>
      <xdr:rowOff>180975</xdr:rowOff>
    </xdr:from>
    <xdr:to>
      <xdr:col>5</xdr:col>
      <xdr:colOff>457200</xdr:colOff>
      <xdr:row>33</xdr:row>
      <xdr:rowOff>104776</xdr:rowOff>
    </xdr:to>
    <xdr:sp macro="" textlink="">
      <xdr:nvSpPr>
        <xdr:cNvPr id="3" name="Прямоугольник 2"/>
        <xdr:cNvSpPr/>
      </xdr:nvSpPr>
      <xdr:spPr>
        <a:xfrm>
          <a:off x="685800" y="6362700"/>
          <a:ext cx="8448675" cy="3048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6,60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7,03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3,19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2,16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-0,23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endParaRPr lang="ru-RU" sz="1000" b="1">
            <a:solidFill>
              <a:srgbClr val="C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317045</xdr:colOff>
      <xdr:row>35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0.06224</cdr:x>
      <cdr:y>0.85113</cdr:y>
    </cdr:from>
    <cdr:to>
      <cdr:x>0.80494</cdr:x>
      <cdr:y>0.92274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708025" y="3622675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10,50%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7,45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5,92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2,38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8,34</a:t>
          </a:r>
          <a:r>
            <a:rPr lang="en-US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  <a:endParaRPr lang="ru-RU" sz="1000" b="1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317045</xdr:colOff>
      <xdr:row>41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0.0695</cdr:x>
      <cdr:y>0.84367</cdr:y>
    </cdr:from>
    <cdr:to>
      <cdr:x>0.8122</cdr:x>
      <cdr:y>0.91528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790575" y="3590925"/>
          <a:ext cx="8448675" cy="3048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,%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-5,37%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        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2,17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 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3,04</a:t>
          </a:r>
          <a:r>
            <a:rPr lang="en-US" sz="1000" b="1">
              <a:solidFill>
                <a:srgbClr val="C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</a:t>
          </a:r>
          <a:r>
            <a:rPr lang="ru-RU" sz="10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2,47</a:t>
          </a:r>
          <a:r>
            <a:rPr lang="en-US" sz="10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                                  </a:t>
          </a:r>
          <a:r>
            <a:rPr lang="en-US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9,</a:t>
          </a:r>
          <a:r>
            <a:rPr lang="ru-RU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  <a:r>
            <a:rPr lang="en-US" sz="10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  <a:endParaRPr lang="ru-RU" sz="1000" b="1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26</xdr:row>
      <xdr:rowOff>90487</xdr:rowOff>
    </xdr:from>
    <xdr:to>
      <xdr:col>12</xdr:col>
      <xdr:colOff>371475</xdr:colOff>
      <xdr:row>51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607003</xdr:colOff>
      <xdr:row>140</xdr:row>
      <xdr:rowOff>66675</xdr:rowOff>
    </xdr:from>
    <xdr:to>
      <xdr:col>14</xdr:col>
      <xdr:colOff>103909</xdr:colOff>
      <xdr:row>168</xdr:row>
      <xdr:rowOff>51955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0.31189</cdr:x>
      <cdr:y>0.63865</cdr:y>
    </cdr:from>
    <cdr:to>
      <cdr:x>0.56022</cdr:x>
      <cdr:y>0.71734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 flipV="1">
          <a:off x="1919131" y="2147358"/>
          <a:ext cx="1528012" cy="26458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0.39799</cdr:x>
      <cdr:y>0.69733</cdr:y>
    </cdr:from>
    <cdr:to>
      <cdr:x>0.52841</cdr:x>
      <cdr:y>0.76269</cdr:y>
    </cdr:to>
    <cdr:sp macro="" textlink="">
      <cdr:nvSpPr>
        <cdr:cNvPr id="4" name="Прямоугольник 3"/>
        <cdr:cNvSpPr/>
      </cdr:nvSpPr>
      <cdr:spPr>
        <a:xfrm xmlns:a="http://schemas.openxmlformats.org/drawingml/2006/main" rot="20955635">
          <a:off x="2448896" y="2344654"/>
          <a:ext cx="802493" cy="21976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+31,27%</a:t>
          </a:r>
        </a:p>
      </cdr:txBody>
    </cdr:sp>
  </cdr:relSizeAnchor>
  <cdr:relSizeAnchor xmlns:cdr="http://schemas.openxmlformats.org/drawingml/2006/chartDrawing">
    <cdr:from>
      <cdr:x>0.85152</cdr:x>
      <cdr:y>0.46742</cdr:y>
    </cdr:from>
    <cdr:to>
      <cdr:x>0.97619</cdr:x>
      <cdr:y>0.53038</cdr:y>
    </cdr:to>
    <cdr:sp macro="" textlink="">
      <cdr:nvSpPr>
        <cdr:cNvPr id="7" name="Прямоугольник 6"/>
        <cdr:cNvSpPr/>
      </cdr:nvSpPr>
      <cdr:spPr>
        <a:xfrm xmlns:a="http://schemas.openxmlformats.org/drawingml/2006/main">
          <a:off x="5262042" y="1571625"/>
          <a:ext cx="770457" cy="21166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+70,97%</a:t>
          </a:r>
        </a:p>
      </cdr:txBody>
    </cdr:sp>
  </cdr:relSizeAnchor>
  <cdr:relSizeAnchor xmlns:cdr="http://schemas.openxmlformats.org/drawingml/2006/chartDrawing">
    <cdr:from>
      <cdr:x>0.613</cdr:x>
      <cdr:y>0.51275</cdr:y>
    </cdr:from>
    <cdr:to>
      <cdr:x>0.82817</cdr:x>
      <cdr:y>0.62323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 flipV="1">
          <a:off x="3771900" y="1724025"/>
          <a:ext cx="1323975" cy="3714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0.64642</cdr:x>
      <cdr:y>0.60005</cdr:y>
    </cdr:from>
    <cdr:to>
      <cdr:x>0.77777</cdr:x>
      <cdr:y>0.67514</cdr:y>
    </cdr:to>
    <cdr:sp macro="" textlink="">
      <cdr:nvSpPr>
        <cdr:cNvPr id="10" name="Прямоугольник 9"/>
        <cdr:cNvSpPr/>
      </cdr:nvSpPr>
      <cdr:spPr>
        <a:xfrm xmlns:a="http://schemas.openxmlformats.org/drawingml/2006/main" rot="20789796">
          <a:off x="3977532" y="2017564"/>
          <a:ext cx="808216" cy="2524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+77,45%</a:t>
          </a:r>
        </a:p>
      </cdr:txBody>
    </cdr:sp>
  </cdr:relSizeAnchor>
  <cdr:relSizeAnchor xmlns:cdr="http://schemas.openxmlformats.org/drawingml/2006/chartDrawing">
    <cdr:from>
      <cdr:x>0.29628</cdr:x>
      <cdr:y>0.44224</cdr:y>
    </cdr:from>
    <cdr:to>
      <cdr:x>0.82891</cdr:x>
      <cdr:y>0.66887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 flipV="1">
          <a:off x="1830917" y="1486958"/>
          <a:ext cx="3291417" cy="76200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0.47126</cdr:x>
      <cdr:y>0.48648</cdr:y>
    </cdr:from>
    <cdr:to>
      <cdr:x>0.59585</cdr:x>
      <cdr:y>0.54663</cdr:y>
    </cdr:to>
    <cdr:sp macro="" textlink="">
      <cdr:nvSpPr>
        <cdr:cNvPr id="15" name="Прямоугольник 14"/>
        <cdr:cNvSpPr/>
      </cdr:nvSpPr>
      <cdr:spPr>
        <a:xfrm xmlns:a="http://schemas.openxmlformats.org/drawingml/2006/main" rot="20950611">
          <a:off x="2912203" y="1635709"/>
          <a:ext cx="769918" cy="20224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000" b="1">
              <a:ln>
                <a:solidFill>
                  <a:srgbClr val="00B050"/>
                </a:solidFill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+</a:t>
          </a:r>
          <a:r>
            <a:rPr lang="ru-RU" sz="900" b="1">
              <a:ln>
                <a:solidFill>
                  <a:srgbClr val="00B050"/>
                </a:solidFill>
              </a:ln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84,5</a:t>
          </a:r>
          <a:r>
            <a:rPr lang="ru-RU" sz="1000" b="1">
              <a:ln>
                <a:solidFill>
                  <a:srgbClr val="00B050"/>
                </a:solidFill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  <cdr:relSizeAnchor xmlns:cdr="http://schemas.openxmlformats.org/drawingml/2006/chartDrawing">
    <cdr:from>
      <cdr:x>0.854</cdr:x>
      <cdr:y>0.4479</cdr:y>
    </cdr:from>
    <cdr:to>
      <cdr:x>0.854</cdr:x>
      <cdr:y>0.55414</cdr:y>
    </cdr:to>
    <cdr:cxnSp macro="">
      <cdr:nvCxnSpPr>
        <cdr:cNvPr id="16" name="Прямая со стрелкой 15"/>
        <cdr:cNvCxnSpPr/>
      </cdr:nvCxnSpPr>
      <cdr:spPr>
        <a:xfrm xmlns:a="http://schemas.openxmlformats.org/drawingml/2006/main" flipV="1">
          <a:off x="5254765" y="1505997"/>
          <a:ext cx="0" cy="357213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0.73748</cdr:x>
      <cdr:y>0.13519</cdr:y>
    </cdr:from>
    <cdr:to>
      <cdr:x>0.7886</cdr:x>
      <cdr:y>0.13661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>
          <a:off x="3372644" y="364093"/>
          <a:ext cx="233759" cy="38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0.55038</cdr:x>
      <cdr:y>0.34601</cdr:y>
    </cdr:from>
    <cdr:to>
      <cdr:x>0.61772</cdr:x>
      <cdr:y>0.3466</cdr:y>
    </cdr:to>
    <cdr:cxnSp macro="">
      <cdr:nvCxnSpPr>
        <cdr:cNvPr id="11" name="Прямая со стрелкой 10"/>
        <cdr:cNvCxnSpPr/>
      </cdr:nvCxnSpPr>
      <cdr:spPr>
        <a:xfrm xmlns:a="http://schemas.openxmlformats.org/drawingml/2006/main" flipH="1">
          <a:off x="2516981" y="931862"/>
          <a:ext cx="307976" cy="15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0.62683</cdr:x>
      <cdr:y>0.22664</cdr:y>
    </cdr:from>
    <cdr:to>
      <cdr:x>0.67795</cdr:x>
      <cdr:y>0.22806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>
          <a:off x="2866628" y="610394"/>
          <a:ext cx="233759" cy="38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0.66328</cdr:x>
      <cdr:y>0.40348</cdr:y>
    </cdr:from>
    <cdr:to>
      <cdr:x>0.79641</cdr:x>
      <cdr:y>0.40407</cdr:y>
    </cdr:to>
    <cdr:cxnSp macro="">
      <cdr:nvCxnSpPr>
        <cdr:cNvPr id="14" name="Прямая со стрелкой 13"/>
        <cdr:cNvCxnSpPr/>
      </cdr:nvCxnSpPr>
      <cdr:spPr>
        <a:xfrm xmlns:a="http://schemas.openxmlformats.org/drawingml/2006/main">
          <a:off x="3033316" y="1086644"/>
          <a:ext cx="608806" cy="15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0.53701</cdr:x>
      <cdr:y>0.52785</cdr:y>
    </cdr:from>
    <cdr:to>
      <cdr:x>0.59464</cdr:x>
      <cdr:y>0.53006</cdr:y>
    </cdr:to>
    <cdr:cxnSp macro="">
      <cdr:nvCxnSpPr>
        <cdr:cNvPr id="17" name="Прямая со стрелкой 16"/>
        <cdr:cNvCxnSpPr/>
      </cdr:nvCxnSpPr>
      <cdr:spPr>
        <a:xfrm xmlns:a="http://schemas.openxmlformats.org/drawingml/2006/main" flipH="1" flipV="1">
          <a:off x="2455863" y="1421607"/>
          <a:ext cx="263525" cy="595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0.32743</cdr:x>
      <cdr:y>0.62231</cdr:y>
    </cdr:from>
    <cdr:to>
      <cdr:x>0.39478</cdr:x>
      <cdr:y>0.6229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H="1">
          <a:off x="1497409" y="1676003"/>
          <a:ext cx="307976" cy="15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0.22459</cdr:x>
      <cdr:y>0.80136</cdr:y>
    </cdr:from>
    <cdr:to>
      <cdr:x>0.29194</cdr:x>
      <cdr:y>0.80195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 flipH="1">
          <a:off x="1027113" y="2158206"/>
          <a:ext cx="307976" cy="15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0.24282</cdr:x>
      <cdr:y>0.69083</cdr:y>
    </cdr:from>
    <cdr:to>
      <cdr:x>0.30174</cdr:x>
      <cdr:y>0.69142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>
          <a:off x="1110456" y="1860550"/>
          <a:ext cx="269478" cy="15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0.78434</cdr:x>
      <cdr:y>0.09623</cdr:y>
    </cdr:from>
    <cdr:to>
      <cdr:x>0.89794</cdr:x>
      <cdr:y>0.16313</cdr:y>
    </cdr:to>
    <cdr:sp macro="" textlink="">
      <cdr:nvSpPr>
        <cdr:cNvPr id="24" name="Прямоугольник 23"/>
        <cdr:cNvSpPr/>
      </cdr:nvSpPr>
      <cdr:spPr>
        <a:xfrm xmlns:a="http://schemas.openxmlformats.org/drawingml/2006/main">
          <a:off x="3586956" y="259160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0.675</cdr:x>
      <cdr:y>0.18686</cdr:y>
    </cdr:from>
    <cdr:to>
      <cdr:x>0.7886</cdr:x>
      <cdr:y>0.25376</cdr:y>
    </cdr:to>
    <cdr:sp macro="" textlink="">
      <cdr:nvSpPr>
        <cdr:cNvPr id="25" name="Прямоугольник 24"/>
        <cdr:cNvSpPr/>
      </cdr:nvSpPr>
      <cdr:spPr>
        <a:xfrm xmlns:a="http://schemas.openxmlformats.org/drawingml/2006/main">
          <a:off x="3086894" y="503237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0.61512</cdr:x>
      <cdr:y>0.3018</cdr:y>
    </cdr:from>
    <cdr:to>
      <cdr:x>0.72872</cdr:x>
      <cdr:y>0.3687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2813050" y="812800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- 13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0.78825</cdr:x>
      <cdr:y>0.36148</cdr:y>
    </cdr:from>
    <cdr:to>
      <cdr:x>0.90185</cdr:x>
      <cdr:y>0.42838</cdr:y>
    </cdr:to>
    <cdr:sp macro="" textlink="">
      <cdr:nvSpPr>
        <cdr:cNvPr id="27" name="Прямоугольник 26"/>
        <cdr:cNvSpPr/>
      </cdr:nvSpPr>
      <cdr:spPr>
        <a:xfrm xmlns:a="http://schemas.openxmlformats.org/drawingml/2006/main">
          <a:off x="3604816" y="973534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+31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0.28838</cdr:x>
      <cdr:y>0.65326</cdr:y>
    </cdr:from>
    <cdr:to>
      <cdr:x>0.40198</cdr:x>
      <cdr:y>0.72016</cdr:y>
    </cdr:to>
    <cdr:sp macro="" textlink="">
      <cdr:nvSpPr>
        <cdr:cNvPr id="28" name="Прямоугольник 27"/>
        <cdr:cNvSpPr/>
      </cdr:nvSpPr>
      <cdr:spPr>
        <a:xfrm xmlns:a="http://schemas.openxmlformats.org/drawingml/2006/main">
          <a:off x="1318816" y="1759347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+5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0.58127</cdr:x>
      <cdr:y>0.48747</cdr:y>
    </cdr:from>
    <cdr:to>
      <cdr:x>0.69487</cdr:x>
      <cdr:y>0.55438</cdr:y>
    </cdr:to>
    <cdr:sp macro="" textlink="">
      <cdr:nvSpPr>
        <cdr:cNvPr id="29" name="Прямоугольник 28"/>
        <cdr:cNvSpPr/>
      </cdr:nvSpPr>
      <cdr:spPr>
        <a:xfrm xmlns:a="http://schemas.openxmlformats.org/drawingml/2006/main">
          <a:off x="2658268" y="1312862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- 4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0.38211</cdr:x>
      <cdr:y>0.58252</cdr:y>
    </cdr:from>
    <cdr:to>
      <cdr:x>0.4957</cdr:x>
      <cdr:y>0.64943</cdr:y>
    </cdr:to>
    <cdr:sp macro="" textlink="">
      <cdr:nvSpPr>
        <cdr:cNvPr id="30" name="Прямоугольник 29"/>
        <cdr:cNvSpPr/>
      </cdr:nvSpPr>
      <cdr:spPr>
        <a:xfrm xmlns:a="http://schemas.openxmlformats.org/drawingml/2006/main">
          <a:off x="1747440" y="1568846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- 11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0.28187</cdr:x>
      <cdr:y>0.76378</cdr:y>
    </cdr:from>
    <cdr:to>
      <cdr:x>0.39547</cdr:x>
      <cdr:y>0.83068</cdr:y>
    </cdr:to>
    <cdr:sp macro="" textlink="">
      <cdr:nvSpPr>
        <cdr:cNvPr id="31" name="Прямоугольник 30"/>
        <cdr:cNvSpPr/>
      </cdr:nvSpPr>
      <cdr:spPr>
        <a:xfrm xmlns:a="http://schemas.openxmlformats.org/drawingml/2006/main">
          <a:off x="1289050" y="2057003"/>
          <a:ext cx="519509" cy="1801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- 36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26</xdr:row>
      <xdr:rowOff>90487</xdr:rowOff>
    </xdr:from>
    <xdr:to>
      <xdr:col>13</xdr:col>
      <xdr:colOff>371475</xdr:colOff>
      <xdr:row>51</xdr:row>
      <xdr:rowOff>33337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721303</xdr:colOff>
      <xdr:row>149</xdr:row>
      <xdr:rowOff>57150</xdr:rowOff>
    </xdr:from>
    <xdr:to>
      <xdr:col>16</xdr:col>
      <xdr:colOff>148938</xdr:colOff>
      <xdr:row>177</xdr:row>
      <xdr:rowOff>42430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177</xdr:row>
      <xdr:rowOff>9525</xdr:rowOff>
    </xdr:from>
    <xdr:to>
      <xdr:col>16</xdr:col>
      <xdr:colOff>418235</xdr:colOff>
      <xdr:row>204</xdr:row>
      <xdr:rowOff>128155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0.8315</cdr:x>
      <cdr:y>0.81639</cdr:y>
    </cdr:from>
    <cdr:to>
      <cdr:x>0.88262</cdr:x>
      <cdr:y>0.81781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>
          <a:off x="5190261" y="2707369"/>
          <a:ext cx="319093" cy="47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</cdr:x>
      <cdr:y>0.6287</cdr:y>
    </cdr:from>
    <cdr:to>
      <cdr:x>0.79634</cdr:x>
      <cdr:y>0.62929</cdr:y>
    </cdr:to>
    <cdr:cxnSp macro="">
      <cdr:nvCxnSpPr>
        <cdr:cNvPr id="11" name="Прямая со стрелкой 10"/>
        <cdr:cNvCxnSpPr/>
      </cdr:nvCxnSpPr>
      <cdr:spPr>
        <a:xfrm xmlns:a="http://schemas.openxmlformats.org/drawingml/2006/main" flipH="1">
          <a:off x="4550437" y="2084940"/>
          <a:ext cx="420340" cy="19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0.71788</cdr:x>
      <cdr:y>0.74883</cdr:y>
    </cdr:from>
    <cdr:to>
      <cdr:x>0.769</cdr:x>
      <cdr:y>0.75025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>
          <a:off x="4481060" y="2483319"/>
          <a:ext cx="319094" cy="47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0.81206</cdr:x>
      <cdr:y>0.52561</cdr:y>
    </cdr:from>
    <cdr:to>
      <cdr:x>0.87365</cdr:x>
      <cdr:y>0.52649</cdr:y>
    </cdr:to>
    <cdr:cxnSp macro="">
      <cdr:nvCxnSpPr>
        <cdr:cNvPr id="14" name="Прямая со стрелкой 13"/>
        <cdr:cNvCxnSpPr/>
      </cdr:nvCxnSpPr>
      <cdr:spPr>
        <a:xfrm xmlns:a="http://schemas.openxmlformats.org/drawingml/2006/main">
          <a:off x="5068888" y="1743075"/>
          <a:ext cx="384504" cy="29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0.57346</cdr:x>
      <cdr:y>0.45777</cdr:y>
    </cdr:from>
    <cdr:to>
      <cdr:x>0.63109</cdr:x>
      <cdr:y>0.45998</cdr:y>
    </cdr:to>
    <cdr:cxnSp macro="">
      <cdr:nvCxnSpPr>
        <cdr:cNvPr id="17" name="Прямая со стрелкой 16"/>
        <cdr:cNvCxnSpPr/>
      </cdr:nvCxnSpPr>
      <cdr:spPr>
        <a:xfrm xmlns:a="http://schemas.openxmlformats.org/drawingml/2006/main" flipH="1" flipV="1">
          <a:off x="3577746" y="1499937"/>
          <a:ext cx="359546" cy="72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0.31174</cdr:x>
      <cdr:y>0.36158</cdr:y>
    </cdr:from>
    <cdr:to>
      <cdr:x>0.37909</cdr:x>
      <cdr:y>0.36217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H="1">
          <a:off x="1945891" y="1199103"/>
          <a:ext cx="420400" cy="195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0.17599</cdr:x>
      <cdr:y>0.17817</cdr:y>
    </cdr:from>
    <cdr:to>
      <cdr:x>0.24334</cdr:x>
      <cdr:y>0.17876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 flipH="1">
          <a:off x="1098540" y="590865"/>
          <a:ext cx="420403" cy="19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0.19992</cdr:x>
      <cdr:y>0.26804</cdr:y>
    </cdr:from>
    <cdr:to>
      <cdr:x>0.25884</cdr:x>
      <cdr:y>0.26863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>
          <a:off x="1247906" y="888901"/>
          <a:ext cx="367781" cy="19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0.82972</cdr:x>
      <cdr:y>0.75817</cdr:y>
    </cdr:from>
    <cdr:to>
      <cdr:x>0.94332</cdr:x>
      <cdr:y>0.82507</cdr:y>
    </cdr:to>
    <cdr:sp macro="" textlink="">
      <cdr:nvSpPr>
        <cdr:cNvPr id="24" name="Прямоугольник 23"/>
        <cdr:cNvSpPr/>
      </cdr:nvSpPr>
      <cdr:spPr>
        <a:xfrm xmlns:a="http://schemas.openxmlformats.org/drawingml/2006/main">
          <a:off x="5179164" y="2514302"/>
          <a:ext cx="709097" cy="221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0.70681</cdr:x>
      <cdr:y>0.69632</cdr:y>
    </cdr:from>
    <cdr:to>
      <cdr:x>0.82041</cdr:x>
      <cdr:y>0.76322</cdr:y>
    </cdr:to>
    <cdr:sp macro="" textlink="">
      <cdr:nvSpPr>
        <cdr:cNvPr id="25" name="Прямоугольник 24"/>
        <cdr:cNvSpPr/>
      </cdr:nvSpPr>
      <cdr:spPr>
        <a:xfrm xmlns:a="http://schemas.openxmlformats.org/drawingml/2006/main">
          <a:off x="4411932" y="2309195"/>
          <a:ext cx="709097" cy="221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0.72593</cdr:x>
      <cdr:y>0.56865</cdr:y>
    </cdr:from>
    <cdr:to>
      <cdr:x>0.83953</cdr:x>
      <cdr:y>0.63555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4531295" y="1885804"/>
          <a:ext cx="709097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- 13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0.80036</cdr:x>
      <cdr:y>0.46877</cdr:y>
    </cdr:from>
    <cdr:to>
      <cdr:x>0.91396</cdr:x>
      <cdr:y>0.53567</cdr:y>
    </cdr:to>
    <cdr:sp macro="" textlink="">
      <cdr:nvSpPr>
        <cdr:cNvPr id="27" name="Прямоугольник 26"/>
        <cdr:cNvSpPr/>
      </cdr:nvSpPr>
      <cdr:spPr>
        <a:xfrm xmlns:a="http://schemas.openxmlformats.org/drawingml/2006/main">
          <a:off x="4995883" y="1554560"/>
          <a:ext cx="709097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+31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0.19665</cdr:x>
      <cdr:y>0.2099</cdr:y>
    </cdr:from>
    <cdr:to>
      <cdr:x>0.31025</cdr:x>
      <cdr:y>0.2768</cdr:y>
    </cdr:to>
    <cdr:sp macro="" textlink="">
      <cdr:nvSpPr>
        <cdr:cNvPr id="28" name="Прямоугольник 27"/>
        <cdr:cNvSpPr/>
      </cdr:nvSpPr>
      <cdr:spPr>
        <a:xfrm xmlns:a="http://schemas.openxmlformats.org/drawingml/2006/main">
          <a:off x="1227501" y="696080"/>
          <a:ext cx="709098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+5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0.58238</cdr:x>
      <cdr:y>0.39559</cdr:y>
    </cdr:from>
    <cdr:to>
      <cdr:x>0.69598</cdr:x>
      <cdr:y>0.4625</cdr:y>
    </cdr:to>
    <cdr:sp macro="" textlink="">
      <cdr:nvSpPr>
        <cdr:cNvPr id="29" name="Прямоугольник 28"/>
        <cdr:cNvSpPr/>
      </cdr:nvSpPr>
      <cdr:spPr>
        <a:xfrm xmlns:a="http://schemas.openxmlformats.org/drawingml/2006/main">
          <a:off x="3635226" y="1311880"/>
          <a:ext cx="709097" cy="221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- 4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0.321</cdr:x>
      <cdr:y>0.29672</cdr:y>
    </cdr:from>
    <cdr:to>
      <cdr:x>0.43459</cdr:x>
      <cdr:y>0.36363</cdr:y>
    </cdr:to>
    <cdr:sp macro="" textlink="">
      <cdr:nvSpPr>
        <cdr:cNvPr id="30" name="Прямоугольник 29"/>
        <cdr:cNvSpPr/>
      </cdr:nvSpPr>
      <cdr:spPr>
        <a:xfrm xmlns:a="http://schemas.openxmlformats.org/drawingml/2006/main">
          <a:off x="2003704" y="984002"/>
          <a:ext cx="709035" cy="221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- 11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0.17693</cdr:x>
      <cdr:y>0.11386</cdr:y>
    </cdr:from>
    <cdr:to>
      <cdr:x>0.29053</cdr:x>
      <cdr:y>0.18076</cdr:y>
    </cdr:to>
    <cdr:sp macro="" textlink="">
      <cdr:nvSpPr>
        <cdr:cNvPr id="31" name="Прямоугольник 30"/>
        <cdr:cNvSpPr/>
      </cdr:nvSpPr>
      <cdr:spPr>
        <a:xfrm xmlns:a="http://schemas.openxmlformats.org/drawingml/2006/main">
          <a:off x="1104380" y="377603"/>
          <a:ext cx="709097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- 36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0.83818</cdr:x>
      <cdr:y>0.79636</cdr:y>
    </cdr:from>
    <cdr:to>
      <cdr:x>0.94559</cdr:x>
      <cdr:y>0.79808</cdr:y>
    </cdr:to>
    <cdr:cxnSp macro="">
      <cdr:nvCxnSpPr>
        <cdr:cNvPr id="2" name="Прямая со стрелкой 1"/>
        <cdr:cNvCxnSpPr/>
      </cdr:nvCxnSpPr>
      <cdr:spPr>
        <a:xfrm xmlns:a="http://schemas.openxmlformats.org/drawingml/2006/main">
          <a:off x="5040410" y="3022410"/>
          <a:ext cx="645891" cy="653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0.84907</cdr:x>
      <cdr:y>0.74795</cdr:y>
    </cdr:from>
    <cdr:to>
      <cdr:x>0.93554</cdr:x>
      <cdr:y>0.80688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5116369" y="2709141"/>
          <a:ext cx="521051" cy="2134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0.49577</cdr:x>
      <cdr:y>0.65053</cdr:y>
    </cdr:from>
    <cdr:to>
      <cdr:x>0.60052</cdr:x>
      <cdr:y>0.70946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2981314" y="2468946"/>
          <a:ext cx="629897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189%</a:t>
          </a:r>
        </a:p>
      </cdr:txBody>
    </cdr:sp>
  </cdr:relSizeAnchor>
  <cdr:relSizeAnchor xmlns:cdr="http://schemas.openxmlformats.org/drawingml/2006/chartDrawing">
    <cdr:from>
      <cdr:x>0.48929</cdr:x>
      <cdr:y>0.70307</cdr:y>
    </cdr:from>
    <cdr:to>
      <cdr:x>0.58242</cdr:x>
      <cdr:y>0.70313</cdr:y>
    </cdr:to>
    <cdr:cxnSp macro="">
      <cdr:nvCxnSpPr>
        <cdr:cNvPr id="6" name="Прямая со стрелкой 5"/>
        <cdr:cNvCxnSpPr/>
      </cdr:nvCxnSpPr>
      <cdr:spPr>
        <a:xfrm xmlns:a="http://schemas.openxmlformats.org/drawingml/2006/main" flipV="1">
          <a:off x="2942330" y="266836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0.60695</cdr:x>
      <cdr:y>0.56552</cdr:y>
    </cdr:from>
    <cdr:to>
      <cdr:x>0.71592</cdr:x>
      <cdr:y>0.62445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3649890" y="2146300"/>
          <a:ext cx="655286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19%</a:t>
          </a:r>
        </a:p>
      </cdr:txBody>
    </cdr:sp>
  </cdr:relSizeAnchor>
  <cdr:relSizeAnchor xmlns:cdr="http://schemas.openxmlformats.org/drawingml/2006/chartDrawing">
    <cdr:from>
      <cdr:x>0.60695</cdr:x>
      <cdr:y>0.6193</cdr:y>
    </cdr:from>
    <cdr:to>
      <cdr:x>0.70008</cdr:x>
      <cdr:y>0.61935</cdr:y>
    </cdr:to>
    <cdr:cxnSp macro="">
      <cdr:nvCxnSpPr>
        <cdr:cNvPr id="27" name="Прямая со стрелкой 26"/>
        <cdr:cNvCxnSpPr/>
      </cdr:nvCxnSpPr>
      <cdr:spPr>
        <a:xfrm xmlns:a="http://schemas.openxmlformats.org/drawingml/2006/main" flipV="1">
          <a:off x="3649889" y="2350407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0.51418</cdr:x>
      <cdr:y>0.52429</cdr:y>
    </cdr:from>
    <cdr:to>
      <cdr:x>0.6073</cdr:x>
      <cdr:y>0.52434</cdr:y>
    </cdr:to>
    <cdr:cxnSp macro="">
      <cdr:nvCxnSpPr>
        <cdr:cNvPr id="28" name="Прямая со стрелкой 27"/>
        <cdr:cNvCxnSpPr/>
      </cdr:nvCxnSpPr>
      <cdr:spPr>
        <a:xfrm xmlns:a="http://schemas.openxmlformats.org/drawingml/2006/main" flipV="1">
          <a:off x="3091996" y="198981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0.38746</cdr:x>
      <cdr:y>0.44003</cdr:y>
    </cdr:from>
    <cdr:to>
      <cdr:x>0.48059</cdr:x>
      <cdr:y>0.44009</cdr:y>
    </cdr:to>
    <cdr:cxnSp macro="">
      <cdr:nvCxnSpPr>
        <cdr:cNvPr id="29" name="Прямая со стрелкой 28"/>
        <cdr:cNvCxnSpPr/>
      </cdr:nvCxnSpPr>
      <cdr:spPr>
        <a:xfrm xmlns:a="http://schemas.openxmlformats.org/drawingml/2006/main" flipV="1">
          <a:off x="2329997" y="167005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0.3094</cdr:x>
      <cdr:y>0.34861</cdr:y>
    </cdr:from>
    <cdr:to>
      <cdr:x>0.40252</cdr:x>
      <cdr:y>0.34866</cdr:y>
    </cdr:to>
    <cdr:cxnSp macro="">
      <cdr:nvCxnSpPr>
        <cdr:cNvPr id="30" name="Прямая со стрелкой 29"/>
        <cdr:cNvCxnSpPr/>
      </cdr:nvCxnSpPr>
      <cdr:spPr>
        <a:xfrm xmlns:a="http://schemas.openxmlformats.org/drawingml/2006/main" flipV="1">
          <a:off x="1860551" y="132306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0.28111</cdr:x>
      <cdr:y>0.16934</cdr:y>
    </cdr:from>
    <cdr:to>
      <cdr:x>0.37424</cdr:x>
      <cdr:y>0.1694</cdr:y>
    </cdr:to>
    <cdr:cxnSp macro="">
      <cdr:nvCxnSpPr>
        <cdr:cNvPr id="31" name="Прямая со стрелкой 30"/>
        <cdr:cNvCxnSpPr/>
      </cdr:nvCxnSpPr>
      <cdr:spPr>
        <a:xfrm xmlns:a="http://schemas.openxmlformats.org/drawingml/2006/main" flipV="1">
          <a:off x="1690460" y="64271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0.28224</cdr:x>
      <cdr:y>0.07792</cdr:y>
    </cdr:from>
    <cdr:to>
      <cdr:x>0.37537</cdr:x>
      <cdr:y>0.07797</cdr:y>
    </cdr:to>
    <cdr:cxnSp macro="">
      <cdr:nvCxnSpPr>
        <cdr:cNvPr id="32" name="Прямая со стрелкой 31"/>
        <cdr:cNvCxnSpPr/>
      </cdr:nvCxnSpPr>
      <cdr:spPr>
        <a:xfrm xmlns:a="http://schemas.openxmlformats.org/drawingml/2006/main" flipV="1">
          <a:off x="1697264" y="29572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0.28564</cdr:x>
      <cdr:y>0.02056</cdr:y>
    </cdr:from>
    <cdr:to>
      <cdr:x>0.39574</cdr:x>
      <cdr:y>0.07948</cdr:y>
    </cdr:to>
    <cdr:sp macro="" textlink="">
      <cdr:nvSpPr>
        <cdr:cNvPr id="33" name="Прямоугольник 32"/>
        <cdr:cNvSpPr/>
      </cdr:nvSpPr>
      <cdr:spPr>
        <a:xfrm xmlns:a="http://schemas.openxmlformats.org/drawingml/2006/main">
          <a:off x="1717675" y="78014"/>
          <a:ext cx="662090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149%</a:t>
          </a:r>
        </a:p>
      </cdr:txBody>
    </cdr:sp>
  </cdr:relSizeAnchor>
  <cdr:relSizeAnchor xmlns:cdr="http://schemas.openxmlformats.org/drawingml/2006/chartDrawing">
    <cdr:from>
      <cdr:x>0.27659</cdr:x>
      <cdr:y>0.11198</cdr:y>
    </cdr:from>
    <cdr:to>
      <cdr:x>0.38669</cdr:x>
      <cdr:y>0.17091</cdr:y>
    </cdr:to>
    <cdr:sp macro="" textlink="">
      <cdr:nvSpPr>
        <cdr:cNvPr id="34" name="Прямоугольник 33"/>
        <cdr:cNvSpPr/>
      </cdr:nvSpPr>
      <cdr:spPr>
        <a:xfrm xmlns:a="http://schemas.openxmlformats.org/drawingml/2006/main">
          <a:off x="1663246" y="424997"/>
          <a:ext cx="662090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308%</a:t>
          </a:r>
        </a:p>
      </cdr:txBody>
    </cdr:sp>
  </cdr:relSizeAnchor>
  <cdr:relSizeAnchor xmlns:cdr="http://schemas.openxmlformats.org/drawingml/2006/chartDrawing">
    <cdr:from>
      <cdr:x>0.30826</cdr:x>
      <cdr:y>0.21416</cdr:y>
    </cdr:from>
    <cdr:to>
      <cdr:x>0.44212</cdr:x>
      <cdr:y>0.27309</cdr:y>
    </cdr:to>
    <cdr:sp macro="" textlink="">
      <cdr:nvSpPr>
        <cdr:cNvPr id="35" name="Прямоугольник 34"/>
        <cdr:cNvSpPr/>
      </cdr:nvSpPr>
      <cdr:spPr>
        <a:xfrm xmlns:a="http://schemas.openxmlformats.org/drawingml/2006/main">
          <a:off x="1853747" y="812800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15292%</a:t>
          </a:r>
        </a:p>
      </cdr:txBody>
    </cdr:sp>
  </cdr:relSizeAnchor>
  <cdr:relSizeAnchor xmlns:cdr="http://schemas.openxmlformats.org/drawingml/2006/chartDrawing">
    <cdr:from>
      <cdr:x>0.31505</cdr:x>
      <cdr:y>0.26435</cdr:y>
    </cdr:from>
    <cdr:to>
      <cdr:x>0.40818</cdr:x>
      <cdr:y>0.26441</cdr:y>
    </cdr:to>
    <cdr:cxnSp macro="">
      <cdr:nvCxnSpPr>
        <cdr:cNvPr id="36" name="Прямая со стрелкой 35"/>
        <cdr:cNvCxnSpPr/>
      </cdr:nvCxnSpPr>
      <cdr:spPr>
        <a:xfrm xmlns:a="http://schemas.openxmlformats.org/drawingml/2006/main" flipV="1">
          <a:off x="1894568" y="100330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0.30148</cdr:x>
      <cdr:y>0.29483</cdr:y>
    </cdr:from>
    <cdr:to>
      <cdr:x>0.43534</cdr:x>
      <cdr:y>0.35376</cdr:y>
    </cdr:to>
    <cdr:sp macro="" textlink="">
      <cdr:nvSpPr>
        <cdr:cNvPr id="37" name="Прямоугольник 36"/>
        <cdr:cNvSpPr/>
      </cdr:nvSpPr>
      <cdr:spPr>
        <a:xfrm xmlns:a="http://schemas.openxmlformats.org/drawingml/2006/main">
          <a:off x="1812925" y="1118961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87%</a:t>
          </a:r>
        </a:p>
      </cdr:txBody>
    </cdr:sp>
  </cdr:relSizeAnchor>
  <cdr:relSizeAnchor xmlns:cdr="http://schemas.openxmlformats.org/drawingml/2006/chartDrawing">
    <cdr:from>
      <cdr:x>0.37954</cdr:x>
      <cdr:y>0.38805</cdr:y>
    </cdr:from>
    <cdr:to>
      <cdr:x>0.5134</cdr:x>
      <cdr:y>0.44697</cdr:y>
    </cdr:to>
    <cdr:sp macro="" textlink="">
      <cdr:nvSpPr>
        <cdr:cNvPr id="38" name="Прямоугольник 37"/>
        <cdr:cNvSpPr/>
      </cdr:nvSpPr>
      <cdr:spPr>
        <a:xfrm xmlns:a="http://schemas.openxmlformats.org/drawingml/2006/main">
          <a:off x="2282371" y="1472746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11%</a:t>
          </a:r>
        </a:p>
      </cdr:txBody>
    </cdr:sp>
  </cdr:relSizeAnchor>
  <cdr:relSizeAnchor xmlns:cdr="http://schemas.openxmlformats.org/drawingml/2006/chartDrawing">
    <cdr:from>
      <cdr:x>0.5006</cdr:x>
      <cdr:y>0.46872</cdr:y>
    </cdr:from>
    <cdr:to>
      <cdr:x>0.63446</cdr:x>
      <cdr:y>0.52764</cdr:y>
    </cdr:to>
    <cdr:sp macro="" textlink="">
      <cdr:nvSpPr>
        <cdr:cNvPr id="39" name="Прямоугольник 38"/>
        <cdr:cNvSpPr/>
      </cdr:nvSpPr>
      <cdr:spPr>
        <a:xfrm xmlns:a="http://schemas.openxmlformats.org/drawingml/2006/main">
          <a:off x="3010354" y="1778907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24%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0.81655</cdr:x>
      <cdr:y>0.71747</cdr:y>
    </cdr:from>
    <cdr:to>
      <cdr:x>0.90302</cdr:x>
      <cdr:y>0.7764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4914766" y="2668339"/>
          <a:ext cx="520456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- 6%</a:t>
          </a:r>
        </a:p>
      </cdr:txBody>
    </cdr:sp>
  </cdr:relSizeAnchor>
  <cdr:relSizeAnchor xmlns:cdr="http://schemas.openxmlformats.org/drawingml/2006/chartDrawing">
    <cdr:from>
      <cdr:x>0.8194</cdr:x>
      <cdr:y>0.77488</cdr:y>
    </cdr:from>
    <cdr:to>
      <cdr:x>0.87689</cdr:x>
      <cdr:y>0.77513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 flipH="1" flipV="1">
          <a:off x="4931895" y="2881837"/>
          <a:ext cx="346075" cy="95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0.61755</cdr:x>
      <cdr:y>0.67661</cdr:y>
    </cdr:from>
    <cdr:to>
      <cdr:x>0.67505</cdr:x>
      <cdr:y>0.67687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 flipH="1" flipV="1">
          <a:off x="3716997" y="251637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0.59601</cdr:x>
      <cdr:y>0.61516</cdr:y>
    </cdr:from>
    <cdr:to>
      <cdr:x>0.68248</cdr:x>
      <cdr:y>0.67409</cdr:y>
    </cdr:to>
    <cdr:sp macro="" textlink="">
      <cdr:nvSpPr>
        <cdr:cNvPr id="23" name="Прямоугольник 22"/>
        <cdr:cNvSpPr/>
      </cdr:nvSpPr>
      <cdr:spPr>
        <a:xfrm xmlns:a="http://schemas.openxmlformats.org/drawingml/2006/main">
          <a:off x="3587374" y="2287846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17%</a:t>
          </a:r>
        </a:p>
      </cdr:txBody>
    </cdr:sp>
  </cdr:relSizeAnchor>
  <cdr:relSizeAnchor xmlns:cdr="http://schemas.openxmlformats.org/drawingml/2006/chartDrawing">
    <cdr:from>
      <cdr:x>0.43255</cdr:x>
      <cdr:y>0.55918</cdr:y>
    </cdr:from>
    <cdr:to>
      <cdr:x>0.49005</cdr:x>
      <cdr:y>0.55943</cdr:y>
    </cdr:to>
    <cdr:cxnSp macro="">
      <cdr:nvCxnSpPr>
        <cdr:cNvPr id="24" name="Прямая со стрелкой 23"/>
        <cdr:cNvCxnSpPr/>
      </cdr:nvCxnSpPr>
      <cdr:spPr>
        <a:xfrm xmlns:a="http://schemas.openxmlformats.org/drawingml/2006/main" flipH="1" flipV="1">
          <a:off x="2603500" y="207962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0.40565</cdr:x>
      <cdr:y>0.4388</cdr:y>
    </cdr:from>
    <cdr:to>
      <cdr:x>0.46315</cdr:x>
      <cdr:y>0.43906</cdr:y>
    </cdr:to>
    <cdr:cxnSp macro="">
      <cdr:nvCxnSpPr>
        <cdr:cNvPr id="25" name="Прямая со стрелкой 24"/>
        <cdr:cNvCxnSpPr/>
      </cdr:nvCxnSpPr>
      <cdr:spPr>
        <a:xfrm xmlns:a="http://schemas.openxmlformats.org/drawingml/2006/main" flipH="1" flipV="1">
          <a:off x="2441575" y="163195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0.36767</cdr:x>
      <cdr:y>0.31843</cdr:y>
    </cdr:from>
    <cdr:to>
      <cdr:x>0.42517</cdr:x>
      <cdr:y>0.31869</cdr:y>
    </cdr:to>
    <cdr:cxnSp macro="">
      <cdr:nvCxnSpPr>
        <cdr:cNvPr id="40" name="Прямая со стрелкой 39"/>
        <cdr:cNvCxnSpPr/>
      </cdr:nvCxnSpPr>
      <cdr:spPr>
        <a:xfrm xmlns:a="http://schemas.openxmlformats.org/drawingml/2006/main" flipH="1" flipV="1">
          <a:off x="2212975" y="118427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0.34868</cdr:x>
      <cdr:y>0.2083</cdr:y>
    </cdr:from>
    <cdr:to>
      <cdr:x>0.40618</cdr:x>
      <cdr:y>0.20856</cdr:y>
    </cdr:to>
    <cdr:cxnSp macro="">
      <cdr:nvCxnSpPr>
        <cdr:cNvPr id="41" name="Прямая со стрелкой 40"/>
        <cdr:cNvCxnSpPr/>
      </cdr:nvCxnSpPr>
      <cdr:spPr>
        <a:xfrm xmlns:a="http://schemas.openxmlformats.org/drawingml/2006/main" flipH="1" flipV="1">
          <a:off x="2098675" y="77470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0.31545</cdr:x>
      <cdr:y>0.10074</cdr:y>
    </cdr:from>
    <cdr:to>
      <cdr:x>0.37294</cdr:x>
      <cdr:y>0.10099</cdr:y>
    </cdr:to>
    <cdr:cxnSp macro="">
      <cdr:nvCxnSpPr>
        <cdr:cNvPr id="42" name="Прямая со стрелкой 41"/>
        <cdr:cNvCxnSpPr/>
      </cdr:nvCxnSpPr>
      <cdr:spPr>
        <a:xfrm xmlns:a="http://schemas.openxmlformats.org/drawingml/2006/main" flipH="1" flipV="1">
          <a:off x="1898650" y="37465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0.43255</cdr:x>
      <cdr:y>0.50027</cdr:y>
    </cdr:from>
    <cdr:to>
      <cdr:x>0.51902</cdr:x>
      <cdr:y>0.5592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2603500" y="186055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9%</a:t>
          </a:r>
        </a:p>
      </cdr:txBody>
    </cdr:sp>
  </cdr:relSizeAnchor>
  <cdr:relSizeAnchor xmlns:cdr="http://schemas.openxmlformats.org/drawingml/2006/chartDrawing">
    <cdr:from>
      <cdr:x>0.42306</cdr:x>
      <cdr:y>0.38246</cdr:y>
    </cdr:from>
    <cdr:to>
      <cdr:x>0.50953</cdr:x>
      <cdr:y>0.44139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2546350" y="142240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20%</a:t>
          </a:r>
        </a:p>
      </cdr:txBody>
    </cdr:sp>
  </cdr:relSizeAnchor>
  <cdr:relSizeAnchor xmlns:cdr="http://schemas.openxmlformats.org/drawingml/2006/chartDrawing">
    <cdr:from>
      <cdr:x>0.36292</cdr:x>
      <cdr:y>0.25697</cdr:y>
    </cdr:from>
    <cdr:to>
      <cdr:x>0.44939</cdr:x>
      <cdr:y>0.3159</cdr:y>
    </cdr:to>
    <cdr:sp macro="" textlink="">
      <cdr:nvSpPr>
        <cdr:cNvPr id="47" name="Прямоугольник 46"/>
        <cdr:cNvSpPr/>
      </cdr:nvSpPr>
      <cdr:spPr>
        <a:xfrm xmlns:a="http://schemas.openxmlformats.org/drawingml/2006/main">
          <a:off x="2184400" y="955675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16%</a:t>
          </a:r>
        </a:p>
      </cdr:txBody>
    </cdr:sp>
  </cdr:relSizeAnchor>
  <cdr:relSizeAnchor xmlns:cdr="http://schemas.openxmlformats.org/drawingml/2006/chartDrawing">
    <cdr:from>
      <cdr:x>0.34868</cdr:x>
      <cdr:y>0.14684</cdr:y>
    </cdr:from>
    <cdr:to>
      <cdr:x>0.43515</cdr:x>
      <cdr:y>0.20577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2098675" y="54610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29%</a:t>
          </a:r>
        </a:p>
      </cdr:txBody>
    </cdr:sp>
  </cdr:relSizeAnchor>
  <cdr:relSizeAnchor xmlns:cdr="http://schemas.openxmlformats.org/drawingml/2006/chartDrawing">
    <cdr:from>
      <cdr:x>0.36609</cdr:x>
      <cdr:y>0.07</cdr:y>
    </cdr:from>
    <cdr:to>
      <cdr:x>0.45256</cdr:x>
      <cdr:y>0.12893</cdr:y>
    </cdr:to>
    <cdr:sp macro="" textlink="">
      <cdr:nvSpPr>
        <cdr:cNvPr id="49" name="Прямоугольник 48"/>
        <cdr:cNvSpPr/>
      </cdr:nvSpPr>
      <cdr:spPr>
        <a:xfrm xmlns:a="http://schemas.openxmlformats.org/drawingml/2006/main">
          <a:off x="2203450" y="26035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48%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27</xdr:row>
      <xdr:rowOff>90487</xdr:rowOff>
    </xdr:from>
    <xdr:to>
      <xdr:col>14</xdr:col>
      <xdr:colOff>371475</xdr:colOff>
      <xdr:row>58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721303</xdr:colOff>
      <xdr:row>150</xdr:row>
      <xdr:rowOff>57150</xdr:rowOff>
    </xdr:from>
    <xdr:to>
      <xdr:col>17</xdr:col>
      <xdr:colOff>148938</xdr:colOff>
      <xdr:row>178</xdr:row>
      <xdr:rowOff>42430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178</xdr:row>
      <xdr:rowOff>9525</xdr:rowOff>
    </xdr:from>
    <xdr:to>
      <xdr:col>17</xdr:col>
      <xdr:colOff>418235</xdr:colOff>
      <xdr:row>205</xdr:row>
      <xdr:rowOff>128155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0.70672</cdr:x>
      <cdr:y>0.66321</cdr:y>
    </cdr:from>
    <cdr:to>
      <cdr:x>0.75784</cdr:x>
      <cdr:y>0.66463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>
          <a:off x="4450652" y="2199384"/>
          <a:ext cx="321934" cy="47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0.65464</cdr:x>
      <cdr:y>0.58083</cdr:y>
    </cdr:from>
    <cdr:to>
      <cdr:x>0.72198</cdr:x>
      <cdr:y>0.58142</cdr:y>
    </cdr:to>
    <cdr:cxnSp macro="">
      <cdr:nvCxnSpPr>
        <cdr:cNvPr id="11" name="Прямая со стрелкой 10"/>
        <cdr:cNvCxnSpPr/>
      </cdr:nvCxnSpPr>
      <cdr:spPr>
        <a:xfrm xmlns:a="http://schemas.openxmlformats.org/drawingml/2006/main" flipH="1">
          <a:off x="4122647" y="1926200"/>
          <a:ext cx="424081" cy="195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0.87417</cdr:x>
      <cdr:y>0.76798</cdr:y>
    </cdr:from>
    <cdr:to>
      <cdr:x>0.92529</cdr:x>
      <cdr:y>0.7694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>
          <a:off x="5505181" y="2546836"/>
          <a:ext cx="321934" cy="47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0.86626</cdr:x>
      <cdr:y>0.84634</cdr:y>
    </cdr:from>
    <cdr:to>
      <cdr:x>0.92785</cdr:x>
      <cdr:y>0.84722</cdr:y>
    </cdr:to>
    <cdr:cxnSp macro="">
      <cdr:nvCxnSpPr>
        <cdr:cNvPr id="14" name="Прямая со стрелкой 13"/>
        <cdr:cNvCxnSpPr/>
      </cdr:nvCxnSpPr>
      <cdr:spPr>
        <a:xfrm xmlns:a="http://schemas.openxmlformats.org/drawingml/2006/main">
          <a:off x="5455352" y="2806699"/>
          <a:ext cx="387870" cy="29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0.57346</cdr:x>
      <cdr:y>0.45777</cdr:y>
    </cdr:from>
    <cdr:to>
      <cdr:x>0.63109</cdr:x>
      <cdr:y>0.45998</cdr:y>
    </cdr:to>
    <cdr:cxnSp macro="">
      <cdr:nvCxnSpPr>
        <cdr:cNvPr id="17" name="Прямая со стрелкой 16"/>
        <cdr:cNvCxnSpPr/>
      </cdr:nvCxnSpPr>
      <cdr:spPr>
        <a:xfrm xmlns:a="http://schemas.openxmlformats.org/drawingml/2006/main" flipH="1" flipV="1">
          <a:off x="3577746" y="1499937"/>
          <a:ext cx="359546" cy="72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0.31174</cdr:x>
      <cdr:y>0.36158</cdr:y>
    </cdr:from>
    <cdr:to>
      <cdr:x>0.37909</cdr:x>
      <cdr:y>0.36217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H="1">
          <a:off x="1945891" y="1199103"/>
          <a:ext cx="420400" cy="195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0.17599</cdr:x>
      <cdr:y>0.17817</cdr:y>
    </cdr:from>
    <cdr:to>
      <cdr:x>0.24334</cdr:x>
      <cdr:y>0.17876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 flipH="1">
          <a:off x="1098540" y="590865"/>
          <a:ext cx="420403" cy="19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0.19992</cdr:x>
      <cdr:y>0.26804</cdr:y>
    </cdr:from>
    <cdr:to>
      <cdr:x>0.25884</cdr:x>
      <cdr:y>0.26863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>
          <a:off x="1247906" y="888901"/>
          <a:ext cx="367781" cy="19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0.69864</cdr:x>
      <cdr:y>0.59781</cdr:y>
    </cdr:from>
    <cdr:to>
      <cdr:x>0.81224</cdr:x>
      <cdr:y>0.66471</cdr:y>
    </cdr:to>
    <cdr:sp macro="" textlink="">
      <cdr:nvSpPr>
        <cdr:cNvPr id="24" name="Прямоугольник 23"/>
        <cdr:cNvSpPr/>
      </cdr:nvSpPr>
      <cdr:spPr>
        <a:xfrm xmlns:a="http://schemas.openxmlformats.org/drawingml/2006/main">
          <a:off x="4399755" y="1982497"/>
          <a:ext cx="715409" cy="221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0.86184</cdr:x>
      <cdr:y>0.7035</cdr:y>
    </cdr:from>
    <cdr:to>
      <cdr:x>0.97544</cdr:x>
      <cdr:y>0.7704</cdr:y>
    </cdr:to>
    <cdr:sp macro="" textlink="">
      <cdr:nvSpPr>
        <cdr:cNvPr id="25" name="Прямоугольник 24"/>
        <cdr:cNvSpPr/>
      </cdr:nvSpPr>
      <cdr:spPr>
        <a:xfrm xmlns:a="http://schemas.openxmlformats.org/drawingml/2006/main">
          <a:off x="5427528" y="2333011"/>
          <a:ext cx="715409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+6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0.65913</cdr:x>
      <cdr:y>0.5136</cdr:y>
    </cdr:from>
    <cdr:to>
      <cdr:x>0.77273</cdr:x>
      <cdr:y>0.5805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4150938" y="1703245"/>
          <a:ext cx="715409" cy="221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- 13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0.86086</cdr:x>
      <cdr:y>0.79428</cdr:y>
    </cdr:from>
    <cdr:to>
      <cdr:x>0.97446</cdr:x>
      <cdr:y>0.86118</cdr:y>
    </cdr:to>
    <cdr:sp macro="" textlink="">
      <cdr:nvSpPr>
        <cdr:cNvPr id="27" name="Прямоугольник 26"/>
        <cdr:cNvSpPr/>
      </cdr:nvSpPr>
      <cdr:spPr>
        <a:xfrm xmlns:a="http://schemas.openxmlformats.org/drawingml/2006/main">
          <a:off x="5421358" y="2634076"/>
          <a:ext cx="715408" cy="221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+31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0.19665</cdr:x>
      <cdr:y>0.2099</cdr:y>
    </cdr:from>
    <cdr:to>
      <cdr:x>0.31025</cdr:x>
      <cdr:y>0.2768</cdr:y>
    </cdr:to>
    <cdr:sp macro="" textlink="">
      <cdr:nvSpPr>
        <cdr:cNvPr id="28" name="Прямоугольник 27"/>
        <cdr:cNvSpPr/>
      </cdr:nvSpPr>
      <cdr:spPr>
        <a:xfrm xmlns:a="http://schemas.openxmlformats.org/drawingml/2006/main">
          <a:off x="1227501" y="696080"/>
          <a:ext cx="709098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+5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0.58238</cdr:x>
      <cdr:y>0.39559</cdr:y>
    </cdr:from>
    <cdr:to>
      <cdr:x>0.69598</cdr:x>
      <cdr:y>0.4625</cdr:y>
    </cdr:to>
    <cdr:sp macro="" textlink="">
      <cdr:nvSpPr>
        <cdr:cNvPr id="29" name="Прямоугольник 28"/>
        <cdr:cNvSpPr/>
      </cdr:nvSpPr>
      <cdr:spPr>
        <a:xfrm xmlns:a="http://schemas.openxmlformats.org/drawingml/2006/main">
          <a:off x="3635226" y="1311880"/>
          <a:ext cx="709097" cy="221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- 4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0.321</cdr:x>
      <cdr:y>0.29672</cdr:y>
    </cdr:from>
    <cdr:to>
      <cdr:x>0.43459</cdr:x>
      <cdr:y>0.36363</cdr:y>
    </cdr:to>
    <cdr:sp macro="" textlink="">
      <cdr:nvSpPr>
        <cdr:cNvPr id="30" name="Прямоугольник 29"/>
        <cdr:cNvSpPr/>
      </cdr:nvSpPr>
      <cdr:spPr>
        <a:xfrm xmlns:a="http://schemas.openxmlformats.org/drawingml/2006/main">
          <a:off x="2003704" y="984002"/>
          <a:ext cx="709035" cy="221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- 11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0.17693</cdr:x>
      <cdr:y>0.11386</cdr:y>
    </cdr:from>
    <cdr:to>
      <cdr:x>0.29053</cdr:x>
      <cdr:y>0.18076</cdr:y>
    </cdr:to>
    <cdr:sp macro="" textlink="">
      <cdr:nvSpPr>
        <cdr:cNvPr id="31" name="Прямоугольник 30"/>
        <cdr:cNvSpPr/>
      </cdr:nvSpPr>
      <cdr:spPr>
        <a:xfrm xmlns:a="http://schemas.openxmlformats.org/drawingml/2006/main">
          <a:off x="1104380" y="377603"/>
          <a:ext cx="709097" cy="2218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- 36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0.83818</cdr:x>
      <cdr:y>0.79636</cdr:y>
    </cdr:from>
    <cdr:to>
      <cdr:x>0.94559</cdr:x>
      <cdr:y>0.79808</cdr:y>
    </cdr:to>
    <cdr:cxnSp macro="">
      <cdr:nvCxnSpPr>
        <cdr:cNvPr id="2" name="Прямая со стрелкой 1"/>
        <cdr:cNvCxnSpPr/>
      </cdr:nvCxnSpPr>
      <cdr:spPr>
        <a:xfrm xmlns:a="http://schemas.openxmlformats.org/drawingml/2006/main">
          <a:off x="5040410" y="3022410"/>
          <a:ext cx="645891" cy="653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0.84907</cdr:x>
      <cdr:y>0.74795</cdr:y>
    </cdr:from>
    <cdr:to>
      <cdr:x>0.93554</cdr:x>
      <cdr:y>0.80688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5116369" y="2709141"/>
          <a:ext cx="521051" cy="2134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0.49577</cdr:x>
      <cdr:y>0.65053</cdr:y>
    </cdr:from>
    <cdr:to>
      <cdr:x>0.60052</cdr:x>
      <cdr:y>0.70946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2981314" y="2468946"/>
          <a:ext cx="629897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189%</a:t>
          </a:r>
        </a:p>
      </cdr:txBody>
    </cdr:sp>
  </cdr:relSizeAnchor>
  <cdr:relSizeAnchor xmlns:cdr="http://schemas.openxmlformats.org/drawingml/2006/chartDrawing">
    <cdr:from>
      <cdr:x>0.48929</cdr:x>
      <cdr:y>0.70307</cdr:y>
    </cdr:from>
    <cdr:to>
      <cdr:x>0.58242</cdr:x>
      <cdr:y>0.70313</cdr:y>
    </cdr:to>
    <cdr:cxnSp macro="">
      <cdr:nvCxnSpPr>
        <cdr:cNvPr id="6" name="Прямая со стрелкой 5"/>
        <cdr:cNvCxnSpPr/>
      </cdr:nvCxnSpPr>
      <cdr:spPr>
        <a:xfrm xmlns:a="http://schemas.openxmlformats.org/drawingml/2006/main" flipV="1">
          <a:off x="2942330" y="266836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0.60695</cdr:x>
      <cdr:y>0.56552</cdr:y>
    </cdr:from>
    <cdr:to>
      <cdr:x>0.71592</cdr:x>
      <cdr:y>0.62445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3649890" y="2146300"/>
          <a:ext cx="655286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19%</a:t>
          </a:r>
        </a:p>
      </cdr:txBody>
    </cdr:sp>
  </cdr:relSizeAnchor>
  <cdr:relSizeAnchor xmlns:cdr="http://schemas.openxmlformats.org/drawingml/2006/chartDrawing">
    <cdr:from>
      <cdr:x>0.60695</cdr:x>
      <cdr:y>0.6193</cdr:y>
    </cdr:from>
    <cdr:to>
      <cdr:x>0.70008</cdr:x>
      <cdr:y>0.61935</cdr:y>
    </cdr:to>
    <cdr:cxnSp macro="">
      <cdr:nvCxnSpPr>
        <cdr:cNvPr id="27" name="Прямая со стрелкой 26"/>
        <cdr:cNvCxnSpPr/>
      </cdr:nvCxnSpPr>
      <cdr:spPr>
        <a:xfrm xmlns:a="http://schemas.openxmlformats.org/drawingml/2006/main" flipV="1">
          <a:off x="3649889" y="2350407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0.51418</cdr:x>
      <cdr:y>0.52429</cdr:y>
    </cdr:from>
    <cdr:to>
      <cdr:x>0.6073</cdr:x>
      <cdr:y>0.52434</cdr:y>
    </cdr:to>
    <cdr:cxnSp macro="">
      <cdr:nvCxnSpPr>
        <cdr:cNvPr id="28" name="Прямая со стрелкой 27"/>
        <cdr:cNvCxnSpPr/>
      </cdr:nvCxnSpPr>
      <cdr:spPr>
        <a:xfrm xmlns:a="http://schemas.openxmlformats.org/drawingml/2006/main" flipV="1">
          <a:off x="3091996" y="198981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0.38746</cdr:x>
      <cdr:y>0.44003</cdr:y>
    </cdr:from>
    <cdr:to>
      <cdr:x>0.48059</cdr:x>
      <cdr:y>0.44009</cdr:y>
    </cdr:to>
    <cdr:cxnSp macro="">
      <cdr:nvCxnSpPr>
        <cdr:cNvPr id="29" name="Прямая со стрелкой 28"/>
        <cdr:cNvCxnSpPr/>
      </cdr:nvCxnSpPr>
      <cdr:spPr>
        <a:xfrm xmlns:a="http://schemas.openxmlformats.org/drawingml/2006/main" flipV="1">
          <a:off x="2329997" y="167005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0.3094</cdr:x>
      <cdr:y>0.34861</cdr:y>
    </cdr:from>
    <cdr:to>
      <cdr:x>0.40252</cdr:x>
      <cdr:y>0.34866</cdr:y>
    </cdr:to>
    <cdr:cxnSp macro="">
      <cdr:nvCxnSpPr>
        <cdr:cNvPr id="30" name="Прямая со стрелкой 29"/>
        <cdr:cNvCxnSpPr/>
      </cdr:nvCxnSpPr>
      <cdr:spPr>
        <a:xfrm xmlns:a="http://schemas.openxmlformats.org/drawingml/2006/main" flipV="1">
          <a:off x="1860551" y="132306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0.28111</cdr:x>
      <cdr:y>0.16934</cdr:y>
    </cdr:from>
    <cdr:to>
      <cdr:x>0.37424</cdr:x>
      <cdr:y>0.1694</cdr:y>
    </cdr:to>
    <cdr:cxnSp macro="">
      <cdr:nvCxnSpPr>
        <cdr:cNvPr id="31" name="Прямая со стрелкой 30"/>
        <cdr:cNvCxnSpPr/>
      </cdr:nvCxnSpPr>
      <cdr:spPr>
        <a:xfrm xmlns:a="http://schemas.openxmlformats.org/drawingml/2006/main" flipV="1">
          <a:off x="1690460" y="64271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0.28224</cdr:x>
      <cdr:y>0.07792</cdr:y>
    </cdr:from>
    <cdr:to>
      <cdr:x>0.37537</cdr:x>
      <cdr:y>0.07797</cdr:y>
    </cdr:to>
    <cdr:cxnSp macro="">
      <cdr:nvCxnSpPr>
        <cdr:cNvPr id="32" name="Прямая со стрелкой 31"/>
        <cdr:cNvCxnSpPr/>
      </cdr:nvCxnSpPr>
      <cdr:spPr>
        <a:xfrm xmlns:a="http://schemas.openxmlformats.org/drawingml/2006/main" flipV="1">
          <a:off x="1697264" y="295728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0.28564</cdr:x>
      <cdr:y>0.02056</cdr:y>
    </cdr:from>
    <cdr:to>
      <cdr:x>0.39574</cdr:x>
      <cdr:y>0.07948</cdr:y>
    </cdr:to>
    <cdr:sp macro="" textlink="">
      <cdr:nvSpPr>
        <cdr:cNvPr id="33" name="Прямоугольник 32"/>
        <cdr:cNvSpPr/>
      </cdr:nvSpPr>
      <cdr:spPr>
        <a:xfrm xmlns:a="http://schemas.openxmlformats.org/drawingml/2006/main">
          <a:off x="1717675" y="78014"/>
          <a:ext cx="662090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149%</a:t>
          </a:r>
        </a:p>
      </cdr:txBody>
    </cdr:sp>
  </cdr:relSizeAnchor>
  <cdr:relSizeAnchor xmlns:cdr="http://schemas.openxmlformats.org/drawingml/2006/chartDrawing">
    <cdr:from>
      <cdr:x>0.27659</cdr:x>
      <cdr:y>0.11198</cdr:y>
    </cdr:from>
    <cdr:to>
      <cdr:x>0.38669</cdr:x>
      <cdr:y>0.17091</cdr:y>
    </cdr:to>
    <cdr:sp macro="" textlink="">
      <cdr:nvSpPr>
        <cdr:cNvPr id="34" name="Прямоугольник 33"/>
        <cdr:cNvSpPr/>
      </cdr:nvSpPr>
      <cdr:spPr>
        <a:xfrm xmlns:a="http://schemas.openxmlformats.org/drawingml/2006/main">
          <a:off x="1663246" y="424997"/>
          <a:ext cx="662090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308%</a:t>
          </a:r>
        </a:p>
      </cdr:txBody>
    </cdr:sp>
  </cdr:relSizeAnchor>
  <cdr:relSizeAnchor xmlns:cdr="http://schemas.openxmlformats.org/drawingml/2006/chartDrawing">
    <cdr:from>
      <cdr:x>0.30826</cdr:x>
      <cdr:y>0.21416</cdr:y>
    </cdr:from>
    <cdr:to>
      <cdr:x>0.44212</cdr:x>
      <cdr:y>0.27309</cdr:y>
    </cdr:to>
    <cdr:sp macro="" textlink="">
      <cdr:nvSpPr>
        <cdr:cNvPr id="35" name="Прямоугольник 34"/>
        <cdr:cNvSpPr/>
      </cdr:nvSpPr>
      <cdr:spPr>
        <a:xfrm xmlns:a="http://schemas.openxmlformats.org/drawingml/2006/main">
          <a:off x="1853747" y="812800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15292%</a:t>
          </a:r>
        </a:p>
      </cdr:txBody>
    </cdr:sp>
  </cdr:relSizeAnchor>
  <cdr:relSizeAnchor xmlns:cdr="http://schemas.openxmlformats.org/drawingml/2006/chartDrawing">
    <cdr:from>
      <cdr:x>0.31505</cdr:x>
      <cdr:y>0.26435</cdr:y>
    </cdr:from>
    <cdr:to>
      <cdr:x>0.40818</cdr:x>
      <cdr:y>0.26441</cdr:y>
    </cdr:to>
    <cdr:cxnSp macro="">
      <cdr:nvCxnSpPr>
        <cdr:cNvPr id="36" name="Прямая со стрелкой 35"/>
        <cdr:cNvCxnSpPr/>
      </cdr:nvCxnSpPr>
      <cdr:spPr>
        <a:xfrm xmlns:a="http://schemas.openxmlformats.org/drawingml/2006/main" flipV="1">
          <a:off x="1894568" y="1003300"/>
          <a:ext cx="560025" cy="2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0.30148</cdr:x>
      <cdr:y>0.29483</cdr:y>
    </cdr:from>
    <cdr:to>
      <cdr:x>0.43534</cdr:x>
      <cdr:y>0.35376</cdr:y>
    </cdr:to>
    <cdr:sp macro="" textlink="">
      <cdr:nvSpPr>
        <cdr:cNvPr id="37" name="Прямоугольник 36"/>
        <cdr:cNvSpPr/>
      </cdr:nvSpPr>
      <cdr:spPr>
        <a:xfrm xmlns:a="http://schemas.openxmlformats.org/drawingml/2006/main">
          <a:off x="1812925" y="1118961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87%</a:t>
          </a:r>
        </a:p>
      </cdr:txBody>
    </cdr:sp>
  </cdr:relSizeAnchor>
  <cdr:relSizeAnchor xmlns:cdr="http://schemas.openxmlformats.org/drawingml/2006/chartDrawing">
    <cdr:from>
      <cdr:x>0.37954</cdr:x>
      <cdr:y>0.38805</cdr:y>
    </cdr:from>
    <cdr:to>
      <cdr:x>0.5134</cdr:x>
      <cdr:y>0.44697</cdr:y>
    </cdr:to>
    <cdr:sp macro="" textlink="">
      <cdr:nvSpPr>
        <cdr:cNvPr id="38" name="Прямоугольник 37"/>
        <cdr:cNvSpPr/>
      </cdr:nvSpPr>
      <cdr:spPr>
        <a:xfrm xmlns:a="http://schemas.openxmlformats.org/drawingml/2006/main">
          <a:off x="2282371" y="1472746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11%</a:t>
          </a:r>
        </a:p>
      </cdr:txBody>
    </cdr:sp>
  </cdr:relSizeAnchor>
  <cdr:relSizeAnchor xmlns:cdr="http://schemas.openxmlformats.org/drawingml/2006/chartDrawing">
    <cdr:from>
      <cdr:x>0.5006</cdr:x>
      <cdr:y>0.46872</cdr:y>
    </cdr:from>
    <cdr:to>
      <cdr:x>0.63446</cdr:x>
      <cdr:y>0.52764</cdr:y>
    </cdr:to>
    <cdr:sp macro="" textlink="">
      <cdr:nvSpPr>
        <cdr:cNvPr id="39" name="Прямоугольник 38"/>
        <cdr:cNvSpPr/>
      </cdr:nvSpPr>
      <cdr:spPr>
        <a:xfrm xmlns:a="http://schemas.openxmlformats.org/drawingml/2006/main">
          <a:off x="3010354" y="1778907"/>
          <a:ext cx="804964" cy="2236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24%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0.81655</cdr:x>
      <cdr:y>0.71747</cdr:y>
    </cdr:from>
    <cdr:to>
      <cdr:x>0.90302</cdr:x>
      <cdr:y>0.7764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4914766" y="2668339"/>
          <a:ext cx="520456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- 6%</a:t>
          </a:r>
        </a:p>
      </cdr:txBody>
    </cdr:sp>
  </cdr:relSizeAnchor>
  <cdr:relSizeAnchor xmlns:cdr="http://schemas.openxmlformats.org/drawingml/2006/chartDrawing">
    <cdr:from>
      <cdr:x>0.8194</cdr:x>
      <cdr:y>0.77488</cdr:y>
    </cdr:from>
    <cdr:to>
      <cdr:x>0.87689</cdr:x>
      <cdr:y>0.77513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 flipH="1" flipV="1">
          <a:off x="4931895" y="2881837"/>
          <a:ext cx="346075" cy="95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0.61755</cdr:x>
      <cdr:y>0.67661</cdr:y>
    </cdr:from>
    <cdr:to>
      <cdr:x>0.67505</cdr:x>
      <cdr:y>0.67687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 flipH="1" flipV="1">
          <a:off x="3716997" y="251637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0.59601</cdr:x>
      <cdr:y>0.61516</cdr:y>
    </cdr:from>
    <cdr:to>
      <cdr:x>0.68248</cdr:x>
      <cdr:y>0.67409</cdr:y>
    </cdr:to>
    <cdr:sp macro="" textlink="">
      <cdr:nvSpPr>
        <cdr:cNvPr id="23" name="Прямоугольник 22"/>
        <cdr:cNvSpPr/>
      </cdr:nvSpPr>
      <cdr:spPr>
        <a:xfrm xmlns:a="http://schemas.openxmlformats.org/drawingml/2006/main">
          <a:off x="3587374" y="2287846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17%</a:t>
          </a:r>
        </a:p>
      </cdr:txBody>
    </cdr:sp>
  </cdr:relSizeAnchor>
  <cdr:relSizeAnchor xmlns:cdr="http://schemas.openxmlformats.org/drawingml/2006/chartDrawing">
    <cdr:from>
      <cdr:x>0.43255</cdr:x>
      <cdr:y>0.55918</cdr:y>
    </cdr:from>
    <cdr:to>
      <cdr:x>0.49005</cdr:x>
      <cdr:y>0.55943</cdr:y>
    </cdr:to>
    <cdr:cxnSp macro="">
      <cdr:nvCxnSpPr>
        <cdr:cNvPr id="24" name="Прямая со стрелкой 23"/>
        <cdr:cNvCxnSpPr/>
      </cdr:nvCxnSpPr>
      <cdr:spPr>
        <a:xfrm xmlns:a="http://schemas.openxmlformats.org/drawingml/2006/main" flipH="1" flipV="1">
          <a:off x="2603500" y="207962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0.40565</cdr:x>
      <cdr:y>0.4388</cdr:y>
    </cdr:from>
    <cdr:to>
      <cdr:x>0.46315</cdr:x>
      <cdr:y>0.43906</cdr:y>
    </cdr:to>
    <cdr:cxnSp macro="">
      <cdr:nvCxnSpPr>
        <cdr:cNvPr id="25" name="Прямая со стрелкой 24"/>
        <cdr:cNvCxnSpPr/>
      </cdr:nvCxnSpPr>
      <cdr:spPr>
        <a:xfrm xmlns:a="http://schemas.openxmlformats.org/drawingml/2006/main" flipH="1" flipV="1">
          <a:off x="2441575" y="163195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0.36767</cdr:x>
      <cdr:y>0.31843</cdr:y>
    </cdr:from>
    <cdr:to>
      <cdr:x>0.42517</cdr:x>
      <cdr:y>0.31869</cdr:y>
    </cdr:to>
    <cdr:cxnSp macro="">
      <cdr:nvCxnSpPr>
        <cdr:cNvPr id="40" name="Прямая со стрелкой 39"/>
        <cdr:cNvCxnSpPr/>
      </cdr:nvCxnSpPr>
      <cdr:spPr>
        <a:xfrm xmlns:a="http://schemas.openxmlformats.org/drawingml/2006/main" flipH="1" flipV="1">
          <a:off x="2212975" y="1184275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0.34868</cdr:x>
      <cdr:y>0.2083</cdr:y>
    </cdr:from>
    <cdr:to>
      <cdr:x>0.40618</cdr:x>
      <cdr:y>0.20856</cdr:y>
    </cdr:to>
    <cdr:cxnSp macro="">
      <cdr:nvCxnSpPr>
        <cdr:cNvPr id="41" name="Прямая со стрелкой 40"/>
        <cdr:cNvCxnSpPr/>
      </cdr:nvCxnSpPr>
      <cdr:spPr>
        <a:xfrm xmlns:a="http://schemas.openxmlformats.org/drawingml/2006/main" flipH="1" flipV="1">
          <a:off x="2098675" y="77470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0.31545</cdr:x>
      <cdr:y>0.10074</cdr:y>
    </cdr:from>
    <cdr:to>
      <cdr:x>0.37294</cdr:x>
      <cdr:y>0.10099</cdr:y>
    </cdr:to>
    <cdr:cxnSp macro="">
      <cdr:nvCxnSpPr>
        <cdr:cNvPr id="42" name="Прямая со стрелкой 41"/>
        <cdr:cNvCxnSpPr/>
      </cdr:nvCxnSpPr>
      <cdr:spPr>
        <a:xfrm xmlns:a="http://schemas.openxmlformats.org/drawingml/2006/main" flipH="1" flipV="1">
          <a:off x="1898650" y="374650"/>
          <a:ext cx="346075" cy="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0.43255</cdr:x>
      <cdr:y>0.50027</cdr:y>
    </cdr:from>
    <cdr:to>
      <cdr:x>0.51902</cdr:x>
      <cdr:y>0.5592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2603500" y="186055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9%</a:t>
          </a:r>
        </a:p>
      </cdr:txBody>
    </cdr:sp>
  </cdr:relSizeAnchor>
  <cdr:relSizeAnchor xmlns:cdr="http://schemas.openxmlformats.org/drawingml/2006/chartDrawing">
    <cdr:from>
      <cdr:x>0.42306</cdr:x>
      <cdr:y>0.38246</cdr:y>
    </cdr:from>
    <cdr:to>
      <cdr:x>0.50953</cdr:x>
      <cdr:y>0.44139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2546350" y="142240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20%</a:t>
          </a:r>
        </a:p>
      </cdr:txBody>
    </cdr:sp>
  </cdr:relSizeAnchor>
  <cdr:relSizeAnchor xmlns:cdr="http://schemas.openxmlformats.org/drawingml/2006/chartDrawing">
    <cdr:from>
      <cdr:x>0.36292</cdr:x>
      <cdr:y>0.25697</cdr:y>
    </cdr:from>
    <cdr:to>
      <cdr:x>0.44939</cdr:x>
      <cdr:y>0.3159</cdr:y>
    </cdr:to>
    <cdr:sp macro="" textlink="">
      <cdr:nvSpPr>
        <cdr:cNvPr id="47" name="Прямоугольник 46"/>
        <cdr:cNvSpPr/>
      </cdr:nvSpPr>
      <cdr:spPr>
        <a:xfrm xmlns:a="http://schemas.openxmlformats.org/drawingml/2006/main">
          <a:off x="2184400" y="955675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16%</a:t>
          </a:r>
        </a:p>
      </cdr:txBody>
    </cdr:sp>
  </cdr:relSizeAnchor>
  <cdr:relSizeAnchor xmlns:cdr="http://schemas.openxmlformats.org/drawingml/2006/chartDrawing">
    <cdr:from>
      <cdr:x>0.34868</cdr:x>
      <cdr:y>0.14684</cdr:y>
    </cdr:from>
    <cdr:to>
      <cdr:x>0.43515</cdr:x>
      <cdr:y>0.20577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2098675" y="54610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29%</a:t>
          </a:r>
        </a:p>
      </cdr:txBody>
    </cdr:sp>
  </cdr:relSizeAnchor>
  <cdr:relSizeAnchor xmlns:cdr="http://schemas.openxmlformats.org/drawingml/2006/chartDrawing">
    <cdr:from>
      <cdr:x>0.36609</cdr:x>
      <cdr:y>0.07</cdr:y>
    </cdr:from>
    <cdr:to>
      <cdr:x>0.45256</cdr:x>
      <cdr:y>0.12893</cdr:y>
    </cdr:to>
    <cdr:sp macro="" textlink="">
      <cdr:nvSpPr>
        <cdr:cNvPr id="49" name="Прямоугольник 48"/>
        <cdr:cNvSpPr/>
      </cdr:nvSpPr>
      <cdr:spPr>
        <a:xfrm xmlns:a="http://schemas.openxmlformats.org/drawingml/2006/main">
          <a:off x="2203450" y="260350"/>
          <a:ext cx="520457" cy="2191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48%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27</xdr:row>
      <xdr:rowOff>90487</xdr:rowOff>
    </xdr:from>
    <xdr:to>
      <xdr:col>14</xdr:col>
      <xdr:colOff>371475</xdr:colOff>
      <xdr:row>58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351127</xdr:colOff>
      <xdr:row>139</xdr:row>
      <xdr:rowOff>126423</xdr:rowOff>
    </xdr:from>
    <xdr:to>
      <xdr:col>15</xdr:col>
      <xdr:colOff>352137</xdr:colOff>
      <xdr:row>167</xdr:row>
      <xdr:rowOff>111703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119496</xdr:colOff>
      <xdr:row>169</xdr:row>
      <xdr:rowOff>35503</xdr:rowOff>
    </xdr:from>
    <xdr:to>
      <xdr:col>14</xdr:col>
      <xdr:colOff>1272887</xdr:colOff>
      <xdr:row>197</xdr:row>
      <xdr:rowOff>24246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0</xdr:rowOff>
    </xdr:from>
    <xdr:to>
      <xdr:col>10</xdr:col>
      <xdr:colOff>285750</xdr:colOff>
      <xdr:row>29</xdr:row>
      <xdr:rowOff>65315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0.7042</cdr:x>
      <cdr:y>0.36841</cdr:y>
    </cdr:from>
    <cdr:to>
      <cdr:x>0.75532</cdr:x>
      <cdr:y>0.36983</cdr:y>
    </cdr:to>
    <cdr:cxnSp macro="">
      <cdr:nvCxnSpPr>
        <cdr:cNvPr id="8" name="Прямая со стрелкой 7"/>
        <cdr:cNvCxnSpPr/>
      </cdr:nvCxnSpPr>
      <cdr:spPr>
        <a:xfrm xmlns:a="http://schemas.openxmlformats.org/drawingml/2006/main">
          <a:off x="4434774" y="1507737"/>
          <a:ext cx="321934" cy="58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0.72774</cdr:x>
      <cdr:y>0.48967</cdr:y>
    </cdr:from>
    <cdr:to>
      <cdr:x>0.79508</cdr:x>
      <cdr:y>0.49026</cdr:y>
    </cdr:to>
    <cdr:cxnSp macro="">
      <cdr:nvCxnSpPr>
        <cdr:cNvPr id="11" name="Прямая со стрелкой 10"/>
        <cdr:cNvCxnSpPr/>
      </cdr:nvCxnSpPr>
      <cdr:spPr>
        <a:xfrm xmlns:a="http://schemas.openxmlformats.org/drawingml/2006/main" flipH="1">
          <a:off x="4583044" y="2004029"/>
          <a:ext cx="424082" cy="241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0.83258</cdr:x>
      <cdr:y>0.28117</cdr:y>
    </cdr:from>
    <cdr:to>
      <cdr:x>0.8837</cdr:x>
      <cdr:y>0.28259</cdr:y>
    </cdr:to>
    <cdr:cxnSp macro="">
      <cdr:nvCxnSpPr>
        <cdr:cNvPr id="13" name="Прямая со стрелкой 12"/>
        <cdr:cNvCxnSpPr/>
      </cdr:nvCxnSpPr>
      <cdr:spPr>
        <a:xfrm xmlns:a="http://schemas.openxmlformats.org/drawingml/2006/main">
          <a:off x="5243246" y="1150705"/>
          <a:ext cx="321934" cy="58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0.82474</cdr:x>
      <cdr:y>0.14619</cdr:y>
    </cdr:from>
    <cdr:to>
      <cdr:x>0.88633</cdr:x>
      <cdr:y>0.14707</cdr:y>
    </cdr:to>
    <cdr:cxnSp macro="">
      <cdr:nvCxnSpPr>
        <cdr:cNvPr id="14" name="Прямая со стрелкой 13"/>
        <cdr:cNvCxnSpPr/>
      </cdr:nvCxnSpPr>
      <cdr:spPr>
        <a:xfrm xmlns:a="http://schemas.openxmlformats.org/drawingml/2006/main">
          <a:off x="8021974" y="598284"/>
          <a:ext cx="599062" cy="36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0.57094</cdr:x>
      <cdr:y>0.57026</cdr:y>
    </cdr:from>
    <cdr:to>
      <cdr:x>0.62857</cdr:x>
      <cdr:y>0.57247</cdr:y>
    </cdr:to>
    <cdr:cxnSp macro="">
      <cdr:nvCxnSpPr>
        <cdr:cNvPr id="17" name="Прямая со стрелкой 16"/>
        <cdr:cNvCxnSpPr/>
      </cdr:nvCxnSpPr>
      <cdr:spPr>
        <a:xfrm xmlns:a="http://schemas.openxmlformats.org/drawingml/2006/main" flipH="1" flipV="1">
          <a:off x="3595554" y="2333834"/>
          <a:ext cx="362932" cy="90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</cdr:x>
      <cdr:y>0.67578</cdr:y>
    </cdr:from>
    <cdr:to>
      <cdr:x>0.38035</cdr:x>
      <cdr:y>0.67637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H="1">
          <a:off x="1971156" y="2765669"/>
          <a:ext cx="424144" cy="241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0.20118</cdr:x>
      <cdr:y>0.75679</cdr:y>
    </cdr:from>
    <cdr:to>
      <cdr:x>0.2601</cdr:x>
      <cdr:y>0.75738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>
          <a:off x="1266956" y="3097224"/>
          <a:ext cx="371055" cy="241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0.72187</cdr:x>
      <cdr:y>0.31852</cdr:y>
    </cdr:from>
    <cdr:to>
      <cdr:x>0.83547</cdr:x>
      <cdr:y>0.38542</cdr:y>
    </cdr:to>
    <cdr:sp macro="" textlink="">
      <cdr:nvSpPr>
        <cdr:cNvPr id="24" name="Прямоугольник 23"/>
        <cdr:cNvSpPr/>
      </cdr:nvSpPr>
      <cdr:spPr>
        <a:xfrm xmlns:a="http://schemas.openxmlformats.org/drawingml/2006/main">
          <a:off x="7021398" y="1303569"/>
          <a:ext cx="1104943" cy="2737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4%</a:t>
          </a:r>
        </a:p>
      </cdr:txBody>
    </cdr:sp>
  </cdr:relSizeAnchor>
  <cdr:relSizeAnchor xmlns:cdr="http://schemas.openxmlformats.org/drawingml/2006/chartDrawing">
    <cdr:from>
      <cdr:x>0.82529</cdr:x>
      <cdr:y>0.23608</cdr:y>
    </cdr:from>
    <cdr:to>
      <cdr:x>0.93889</cdr:x>
      <cdr:y>0.30298</cdr:y>
    </cdr:to>
    <cdr:sp macro="" textlink="">
      <cdr:nvSpPr>
        <cdr:cNvPr id="25" name="Прямоугольник 24"/>
        <cdr:cNvSpPr/>
      </cdr:nvSpPr>
      <cdr:spPr>
        <a:xfrm xmlns:a="http://schemas.openxmlformats.org/drawingml/2006/main">
          <a:off x="5197347" y="966190"/>
          <a:ext cx="715409" cy="273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25%</a:t>
          </a:r>
        </a:p>
      </cdr:txBody>
    </cdr:sp>
  </cdr:relSizeAnchor>
  <cdr:relSizeAnchor xmlns:cdr="http://schemas.openxmlformats.org/drawingml/2006/chartDrawing">
    <cdr:from>
      <cdr:x>0.72089</cdr:x>
      <cdr:y>0.43796</cdr:y>
    </cdr:from>
    <cdr:to>
      <cdr:x>0.83449</cdr:x>
      <cdr:y>0.50486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4539883" y="1792384"/>
          <a:ext cx="715408" cy="2737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1%</a:t>
          </a:r>
        </a:p>
      </cdr:txBody>
    </cdr:sp>
  </cdr:relSizeAnchor>
  <cdr:relSizeAnchor xmlns:cdr="http://schemas.openxmlformats.org/drawingml/2006/chartDrawing">
    <cdr:from>
      <cdr:x>0.81608</cdr:x>
      <cdr:y>0.09801</cdr:y>
    </cdr:from>
    <cdr:to>
      <cdr:x>0.92968</cdr:x>
      <cdr:y>0.16491</cdr:y>
    </cdr:to>
    <cdr:sp macro="" textlink="">
      <cdr:nvSpPr>
        <cdr:cNvPr id="27" name="Прямоугольник 26"/>
        <cdr:cNvSpPr/>
      </cdr:nvSpPr>
      <cdr:spPr>
        <a:xfrm xmlns:a="http://schemas.openxmlformats.org/drawingml/2006/main">
          <a:off x="7937700" y="401099"/>
          <a:ext cx="1104943" cy="273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0.20087</cdr:x>
      <cdr:y>0.71223</cdr:y>
    </cdr:from>
    <cdr:to>
      <cdr:x>0.31447</cdr:x>
      <cdr:y>0.77913</cdr:y>
    </cdr:to>
    <cdr:sp macro="" textlink="">
      <cdr:nvSpPr>
        <cdr:cNvPr id="28" name="Прямоугольник 27"/>
        <cdr:cNvSpPr/>
      </cdr:nvSpPr>
      <cdr:spPr>
        <a:xfrm xmlns:a="http://schemas.openxmlformats.org/drawingml/2006/main">
          <a:off x="1953824" y="2914860"/>
          <a:ext cx="1104943" cy="2737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1%</a:t>
          </a:r>
        </a:p>
      </cdr:txBody>
    </cdr:sp>
  </cdr:relSizeAnchor>
  <cdr:relSizeAnchor xmlns:cdr="http://schemas.openxmlformats.org/drawingml/2006/chartDrawing">
    <cdr:from>
      <cdr:x>0.58543</cdr:x>
      <cdr:y>0.51778</cdr:y>
    </cdr:from>
    <cdr:to>
      <cdr:x>0.69903</cdr:x>
      <cdr:y>0.58469</cdr:y>
    </cdr:to>
    <cdr:sp macro="" textlink="">
      <cdr:nvSpPr>
        <cdr:cNvPr id="29" name="Прямоугольник 28"/>
        <cdr:cNvSpPr/>
      </cdr:nvSpPr>
      <cdr:spPr>
        <a:xfrm xmlns:a="http://schemas.openxmlformats.org/drawingml/2006/main">
          <a:off x="5694239" y="2119054"/>
          <a:ext cx="1104943" cy="2738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0.31848</cdr:x>
      <cdr:y>0.62255</cdr:y>
    </cdr:from>
    <cdr:to>
      <cdr:x>0.43207</cdr:x>
      <cdr:y>0.68946</cdr:y>
    </cdr:to>
    <cdr:sp macro="" textlink="">
      <cdr:nvSpPr>
        <cdr:cNvPr id="30" name="Прямоугольник 29"/>
        <cdr:cNvSpPr/>
      </cdr:nvSpPr>
      <cdr:spPr>
        <a:xfrm xmlns:a="http://schemas.openxmlformats.org/drawingml/2006/main">
          <a:off x="2005659" y="2547849"/>
          <a:ext cx="715346" cy="2738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- 1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0.1816</cdr:x>
      <cdr:y>0.80044</cdr:y>
    </cdr:from>
    <cdr:to>
      <cdr:x>0.2952</cdr:x>
      <cdr:y>0.86734</cdr:y>
    </cdr:to>
    <cdr:sp macro="" textlink="">
      <cdr:nvSpPr>
        <cdr:cNvPr id="31" name="Прямоугольник 30"/>
        <cdr:cNvSpPr/>
      </cdr:nvSpPr>
      <cdr:spPr>
        <a:xfrm xmlns:a="http://schemas.openxmlformats.org/drawingml/2006/main">
          <a:off x="1766332" y="3275867"/>
          <a:ext cx="1104944" cy="2737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87%</a:t>
          </a:r>
        </a:p>
      </cdr:txBody>
    </cdr:sp>
  </cdr:relSizeAnchor>
  <cdr:relSizeAnchor xmlns:cdr="http://schemas.openxmlformats.org/drawingml/2006/chartDrawing">
    <cdr:from>
      <cdr:x>0.18312</cdr:x>
      <cdr:y>0.84833</cdr:y>
    </cdr:from>
    <cdr:to>
      <cdr:x>0.24204</cdr:x>
      <cdr:y>0.84892</cdr:y>
    </cdr:to>
    <cdr:cxnSp macro="">
      <cdr:nvCxnSpPr>
        <cdr:cNvPr id="21" name="Прямая со стрелкой 20"/>
        <cdr:cNvCxnSpPr/>
      </cdr:nvCxnSpPr>
      <cdr:spPr>
        <a:xfrm xmlns:a="http://schemas.openxmlformats.org/drawingml/2006/main">
          <a:off x="1781175" y="3471863"/>
          <a:ext cx="573092" cy="241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0.67219</cdr:x>
      <cdr:y>0.22171</cdr:y>
    </cdr:from>
    <cdr:to>
      <cdr:x>0.75156</cdr:x>
      <cdr:y>0.22215</cdr:y>
    </cdr:to>
    <cdr:cxnSp macro="">
      <cdr:nvCxnSpPr>
        <cdr:cNvPr id="2" name="Прямая со стрелкой 1"/>
        <cdr:cNvCxnSpPr/>
      </cdr:nvCxnSpPr>
      <cdr:spPr>
        <a:xfrm xmlns:a="http://schemas.openxmlformats.org/drawingml/2006/main">
          <a:off x="6682641" y="803065"/>
          <a:ext cx="789068" cy="15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0.66236</cdr:x>
      <cdr:y>0.16852</cdr:y>
    </cdr:from>
    <cdr:to>
      <cdr:x>0.74883</cdr:x>
      <cdr:y>0.22745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6584925" y="610400"/>
          <a:ext cx="859655" cy="2134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156%</a:t>
          </a:r>
        </a:p>
      </cdr:txBody>
    </cdr:sp>
  </cdr:relSizeAnchor>
  <cdr:relSizeAnchor xmlns:cdr="http://schemas.openxmlformats.org/drawingml/2006/chartDrawing">
    <cdr:from>
      <cdr:x>0.86058</cdr:x>
      <cdr:y>0.05198</cdr:y>
    </cdr:from>
    <cdr:to>
      <cdr:x>0.96533</cdr:x>
      <cdr:y>0.11091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8555626" y="188264"/>
          <a:ext cx="1041387" cy="213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4%</a:t>
          </a:r>
        </a:p>
      </cdr:txBody>
    </cdr:sp>
  </cdr:relSizeAnchor>
  <cdr:relSizeAnchor xmlns:cdr="http://schemas.openxmlformats.org/drawingml/2006/chartDrawing">
    <cdr:from>
      <cdr:x>0.85447</cdr:x>
      <cdr:y>0.10986</cdr:y>
    </cdr:from>
    <cdr:to>
      <cdr:x>0.9476</cdr:x>
      <cdr:y>0.10992</cdr:y>
    </cdr:to>
    <cdr:cxnSp macro="">
      <cdr:nvCxnSpPr>
        <cdr:cNvPr id="6" name="Прямая со стрелкой 5"/>
        <cdr:cNvCxnSpPr/>
      </cdr:nvCxnSpPr>
      <cdr:spPr>
        <a:xfrm xmlns:a="http://schemas.openxmlformats.org/drawingml/2006/main" flipV="1">
          <a:off x="8494882" y="397918"/>
          <a:ext cx="925865" cy="2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0.62678</cdr:x>
      <cdr:y>0.24705</cdr:y>
    </cdr:from>
    <cdr:to>
      <cdr:x>0.73575</cdr:x>
      <cdr:y>0.30598</cdr:y>
    </cdr:to>
    <cdr:sp macro="" textlink="">
      <cdr:nvSpPr>
        <cdr:cNvPr id="26" name="Прямоугольник 25"/>
        <cdr:cNvSpPr/>
      </cdr:nvSpPr>
      <cdr:spPr>
        <a:xfrm xmlns:a="http://schemas.openxmlformats.org/drawingml/2006/main">
          <a:off x="4766750" y="929789"/>
          <a:ext cx="828731" cy="221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18%</a:t>
          </a:r>
        </a:p>
      </cdr:txBody>
    </cdr:sp>
  </cdr:relSizeAnchor>
  <cdr:relSizeAnchor xmlns:cdr="http://schemas.openxmlformats.org/drawingml/2006/chartDrawing">
    <cdr:from>
      <cdr:x>0.62156</cdr:x>
      <cdr:y>0.2945</cdr:y>
    </cdr:from>
    <cdr:to>
      <cdr:x>0.71469</cdr:x>
      <cdr:y>0.29455</cdr:y>
    </cdr:to>
    <cdr:cxnSp macro="">
      <cdr:nvCxnSpPr>
        <cdr:cNvPr id="27" name="Прямая со стрелкой 26"/>
        <cdr:cNvCxnSpPr/>
      </cdr:nvCxnSpPr>
      <cdr:spPr>
        <a:xfrm xmlns:a="http://schemas.openxmlformats.org/drawingml/2006/main" flipV="1">
          <a:off x="4727062" y="1108378"/>
          <a:ext cx="708266" cy="1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0.5361</cdr:x>
      <cdr:y>0.38931</cdr:y>
    </cdr:from>
    <cdr:to>
      <cdr:x>0.62922</cdr:x>
      <cdr:y>0.38936</cdr:y>
    </cdr:to>
    <cdr:cxnSp macro="">
      <cdr:nvCxnSpPr>
        <cdr:cNvPr id="28" name="Прямая со стрелкой 27"/>
        <cdr:cNvCxnSpPr/>
      </cdr:nvCxnSpPr>
      <cdr:spPr>
        <a:xfrm xmlns:a="http://schemas.openxmlformats.org/drawingml/2006/main" flipV="1">
          <a:off x="4077095" y="1465181"/>
          <a:ext cx="708190" cy="1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0.40207</cdr:x>
      <cdr:y>0.47799</cdr:y>
    </cdr:from>
    <cdr:to>
      <cdr:x>0.4952</cdr:x>
      <cdr:y>0.47805</cdr:y>
    </cdr:to>
    <cdr:cxnSp macro="">
      <cdr:nvCxnSpPr>
        <cdr:cNvPr id="29" name="Прямая со стрелкой 28"/>
        <cdr:cNvCxnSpPr/>
      </cdr:nvCxnSpPr>
      <cdr:spPr>
        <a:xfrm xmlns:a="http://schemas.openxmlformats.org/drawingml/2006/main" flipV="1">
          <a:off x="3057811" y="1798941"/>
          <a:ext cx="708266" cy="2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0.33236</cdr:x>
      <cdr:y>0.56795</cdr:y>
    </cdr:from>
    <cdr:to>
      <cdr:x>0.42548</cdr:x>
      <cdr:y>0.568</cdr:y>
    </cdr:to>
    <cdr:cxnSp macro="">
      <cdr:nvCxnSpPr>
        <cdr:cNvPr id="30" name="Прямая со стрелкой 29"/>
        <cdr:cNvCxnSpPr/>
      </cdr:nvCxnSpPr>
      <cdr:spPr>
        <a:xfrm xmlns:a="http://schemas.openxmlformats.org/drawingml/2006/main" flipV="1">
          <a:off x="2527654" y="2137504"/>
          <a:ext cx="708190" cy="1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0.29155</cdr:x>
      <cdr:y>0.743</cdr:y>
    </cdr:from>
    <cdr:to>
      <cdr:x>0.38468</cdr:x>
      <cdr:y>0.74306</cdr:y>
    </cdr:to>
    <cdr:cxnSp macro="">
      <cdr:nvCxnSpPr>
        <cdr:cNvPr id="31" name="Прямая со стрелкой 30"/>
        <cdr:cNvCxnSpPr/>
      </cdr:nvCxnSpPr>
      <cdr:spPr>
        <a:xfrm xmlns:a="http://schemas.openxmlformats.org/drawingml/2006/main" flipV="1">
          <a:off x="2217254" y="2796316"/>
          <a:ext cx="708267" cy="2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0.2885</cdr:x>
      <cdr:y>0.83296</cdr:y>
    </cdr:from>
    <cdr:to>
      <cdr:x>0.38163</cdr:x>
      <cdr:y>0.83301</cdr:y>
    </cdr:to>
    <cdr:cxnSp macro="">
      <cdr:nvCxnSpPr>
        <cdr:cNvPr id="32" name="Прямая со стрелкой 31"/>
        <cdr:cNvCxnSpPr/>
      </cdr:nvCxnSpPr>
      <cdr:spPr>
        <a:xfrm xmlns:a="http://schemas.openxmlformats.org/drawingml/2006/main" flipV="1">
          <a:off x="2194098" y="3134879"/>
          <a:ext cx="708267" cy="1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0.2919</cdr:x>
      <cdr:y>0.7756</cdr:y>
    </cdr:from>
    <cdr:to>
      <cdr:x>0.402</cdr:x>
      <cdr:y>0.83452</cdr:y>
    </cdr:to>
    <cdr:sp macro="" textlink="">
      <cdr:nvSpPr>
        <cdr:cNvPr id="33" name="Прямоугольник 32"/>
        <cdr:cNvSpPr/>
      </cdr:nvSpPr>
      <cdr:spPr>
        <a:xfrm xmlns:a="http://schemas.openxmlformats.org/drawingml/2006/main">
          <a:off x="2219956" y="2919003"/>
          <a:ext cx="837325" cy="2217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161%</a:t>
          </a:r>
        </a:p>
      </cdr:txBody>
    </cdr:sp>
  </cdr:relSizeAnchor>
  <cdr:relSizeAnchor xmlns:cdr="http://schemas.openxmlformats.org/drawingml/2006/chartDrawing">
    <cdr:from>
      <cdr:x>0.28181</cdr:x>
      <cdr:y>0.68986</cdr:y>
    </cdr:from>
    <cdr:to>
      <cdr:x>0.39191</cdr:x>
      <cdr:y>0.74879</cdr:y>
    </cdr:to>
    <cdr:sp macro="" textlink="">
      <cdr:nvSpPr>
        <cdr:cNvPr id="34" name="Прямоугольник 33"/>
        <cdr:cNvSpPr/>
      </cdr:nvSpPr>
      <cdr:spPr>
        <a:xfrm xmlns:a="http://schemas.openxmlformats.org/drawingml/2006/main">
          <a:off x="2143191" y="2596315"/>
          <a:ext cx="837326" cy="221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346%</a:t>
          </a:r>
        </a:p>
      </cdr:txBody>
    </cdr:sp>
  </cdr:relSizeAnchor>
  <cdr:relSizeAnchor xmlns:cdr="http://schemas.openxmlformats.org/drawingml/2006/chartDrawing">
    <cdr:from>
      <cdr:x>0.31139</cdr:x>
      <cdr:y>0.60434</cdr:y>
    </cdr:from>
    <cdr:to>
      <cdr:x>0.44525</cdr:x>
      <cdr:y>0.66327</cdr:y>
    </cdr:to>
    <cdr:sp macro="" textlink="">
      <cdr:nvSpPr>
        <cdr:cNvPr id="35" name="Прямоугольник 34"/>
        <cdr:cNvSpPr/>
      </cdr:nvSpPr>
      <cdr:spPr>
        <a:xfrm xmlns:a="http://schemas.openxmlformats.org/drawingml/2006/main">
          <a:off x="2368171" y="2274435"/>
          <a:ext cx="1018023" cy="2217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15623%</a:t>
          </a:r>
        </a:p>
      </cdr:txBody>
    </cdr:sp>
  </cdr:relSizeAnchor>
  <cdr:relSizeAnchor xmlns:cdr="http://schemas.openxmlformats.org/drawingml/2006/chartDrawing">
    <cdr:from>
      <cdr:x>0.32027</cdr:x>
      <cdr:y>0.66296</cdr:y>
    </cdr:from>
    <cdr:to>
      <cdr:x>0.4134</cdr:x>
      <cdr:y>0.66302</cdr:y>
    </cdr:to>
    <cdr:cxnSp macro="">
      <cdr:nvCxnSpPr>
        <cdr:cNvPr id="36" name="Прямая со стрелкой 35"/>
        <cdr:cNvCxnSpPr/>
      </cdr:nvCxnSpPr>
      <cdr:spPr>
        <a:xfrm xmlns:a="http://schemas.openxmlformats.org/drawingml/2006/main" flipV="1">
          <a:off x="2435685" y="2495076"/>
          <a:ext cx="708266" cy="2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0.31505</cdr:x>
      <cdr:y>0.50995</cdr:y>
    </cdr:from>
    <cdr:to>
      <cdr:x>0.44891</cdr:x>
      <cdr:y>0.56888</cdr:y>
    </cdr:to>
    <cdr:sp macro="" textlink="">
      <cdr:nvSpPr>
        <cdr:cNvPr id="37" name="Прямоугольник 36"/>
        <cdr:cNvSpPr/>
      </cdr:nvSpPr>
      <cdr:spPr>
        <a:xfrm xmlns:a="http://schemas.openxmlformats.org/drawingml/2006/main">
          <a:off x="2395984" y="1919226"/>
          <a:ext cx="1018023" cy="2217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84%</a:t>
          </a:r>
        </a:p>
      </cdr:txBody>
    </cdr:sp>
  </cdr:relSizeAnchor>
  <cdr:relSizeAnchor xmlns:cdr="http://schemas.openxmlformats.org/drawingml/2006/chartDrawing">
    <cdr:from>
      <cdr:x>0.40041</cdr:x>
      <cdr:y>0.42601</cdr:y>
    </cdr:from>
    <cdr:to>
      <cdr:x>0.53427</cdr:x>
      <cdr:y>0.48493</cdr:y>
    </cdr:to>
    <cdr:sp macro="" textlink="">
      <cdr:nvSpPr>
        <cdr:cNvPr id="38" name="Прямоугольник 37"/>
        <cdr:cNvSpPr/>
      </cdr:nvSpPr>
      <cdr:spPr>
        <a:xfrm xmlns:a="http://schemas.openxmlformats.org/drawingml/2006/main">
          <a:off x="3045203" y="1603313"/>
          <a:ext cx="1018023" cy="2217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9%</a:t>
          </a:r>
        </a:p>
      </cdr:txBody>
    </cdr:sp>
  </cdr:relSizeAnchor>
  <cdr:relSizeAnchor xmlns:cdr="http://schemas.openxmlformats.org/drawingml/2006/chartDrawing">
    <cdr:from>
      <cdr:x>0.64375</cdr:x>
      <cdr:y>0.33346</cdr:y>
    </cdr:from>
    <cdr:to>
      <cdr:x>0.77761</cdr:x>
      <cdr:y>0.39238</cdr:y>
    </cdr:to>
    <cdr:sp macro="" textlink="">
      <cdr:nvSpPr>
        <cdr:cNvPr id="39" name="Прямоугольник 38"/>
        <cdr:cNvSpPr/>
      </cdr:nvSpPr>
      <cdr:spPr>
        <a:xfrm xmlns:a="http://schemas.openxmlformats.org/drawingml/2006/main">
          <a:off x="6399944" y="1207823"/>
          <a:ext cx="1330789" cy="213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</a:t>
          </a:r>
          <a:r>
            <a:rPr lang="en-US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14%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0.87363</cdr:x>
      <cdr:y>0.17302</cdr:y>
    </cdr:from>
    <cdr:to>
      <cdr:x>0.93113</cdr:x>
      <cdr:y>0.17328</cdr:y>
    </cdr:to>
    <cdr:cxnSp macro="">
      <cdr:nvCxnSpPr>
        <cdr:cNvPr id="22" name="Прямая со стрелкой 21"/>
        <cdr:cNvCxnSpPr/>
      </cdr:nvCxnSpPr>
      <cdr:spPr>
        <a:xfrm xmlns:a="http://schemas.openxmlformats.org/drawingml/2006/main" flipH="1" flipV="1">
          <a:off x="8451429" y="627300"/>
          <a:ext cx="556251" cy="9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0.88972</cdr:x>
      <cdr:y>0.11874</cdr:y>
    </cdr:from>
    <cdr:to>
      <cdr:x>0.97619</cdr:x>
      <cdr:y>0.17767</cdr:y>
    </cdr:to>
    <cdr:sp macro="" textlink="">
      <cdr:nvSpPr>
        <cdr:cNvPr id="23" name="Прямоугольник 22"/>
        <cdr:cNvSpPr/>
      </cdr:nvSpPr>
      <cdr:spPr>
        <a:xfrm xmlns:a="http://schemas.openxmlformats.org/drawingml/2006/main">
          <a:off x="8607133" y="430485"/>
          <a:ext cx="836506" cy="2136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17%</a:t>
          </a:r>
        </a:p>
      </cdr:txBody>
    </cdr:sp>
  </cdr:relSizeAnchor>
  <cdr:relSizeAnchor xmlns:cdr="http://schemas.openxmlformats.org/drawingml/2006/chartDrawing">
    <cdr:from>
      <cdr:x>0.56851</cdr:x>
      <cdr:y>0.31479</cdr:y>
    </cdr:from>
    <cdr:to>
      <cdr:x>0.62601</cdr:x>
      <cdr:y>0.31504</cdr:y>
    </cdr:to>
    <cdr:cxnSp macro="">
      <cdr:nvCxnSpPr>
        <cdr:cNvPr id="24" name="Прямая со стрелкой 23"/>
        <cdr:cNvCxnSpPr/>
      </cdr:nvCxnSpPr>
      <cdr:spPr>
        <a:xfrm xmlns:a="http://schemas.openxmlformats.org/drawingml/2006/main" flipH="1" flipV="1">
          <a:off x="5499721" y="1141283"/>
          <a:ext cx="556251" cy="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0.56034</cdr:x>
      <cdr:y>0.42706</cdr:y>
    </cdr:from>
    <cdr:to>
      <cdr:x>0.61784</cdr:x>
      <cdr:y>0.42732</cdr:y>
    </cdr:to>
    <cdr:cxnSp macro="">
      <cdr:nvCxnSpPr>
        <cdr:cNvPr id="25" name="Прямая со стрелкой 24"/>
        <cdr:cNvCxnSpPr/>
      </cdr:nvCxnSpPr>
      <cdr:spPr>
        <a:xfrm xmlns:a="http://schemas.openxmlformats.org/drawingml/2006/main" flipH="1" flipV="1">
          <a:off x="5420678" y="1548350"/>
          <a:ext cx="556252" cy="9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0.45707</cdr:x>
      <cdr:y>0.57278</cdr:y>
    </cdr:from>
    <cdr:to>
      <cdr:x>0.51457</cdr:x>
      <cdr:y>0.57304</cdr:y>
    </cdr:to>
    <cdr:cxnSp macro="">
      <cdr:nvCxnSpPr>
        <cdr:cNvPr id="40" name="Прямая со стрелкой 39"/>
        <cdr:cNvCxnSpPr/>
      </cdr:nvCxnSpPr>
      <cdr:spPr>
        <a:xfrm xmlns:a="http://schemas.openxmlformats.org/drawingml/2006/main" flipH="1" flipV="1">
          <a:off x="4421671" y="2076643"/>
          <a:ext cx="556251" cy="9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0.40487</cdr:x>
      <cdr:y>0.69614</cdr:y>
    </cdr:from>
    <cdr:to>
      <cdr:x>0.46237</cdr:x>
      <cdr:y>0.6964</cdr:y>
    </cdr:to>
    <cdr:cxnSp macro="">
      <cdr:nvCxnSpPr>
        <cdr:cNvPr id="41" name="Прямая со стрелкой 40"/>
        <cdr:cNvCxnSpPr/>
      </cdr:nvCxnSpPr>
      <cdr:spPr>
        <a:xfrm xmlns:a="http://schemas.openxmlformats.org/drawingml/2006/main" flipH="1" flipV="1">
          <a:off x="3916654" y="2523898"/>
          <a:ext cx="556251" cy="9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0.3258</cdr:x>
      <cdr:y>0.81812</cdr:y>
    </cdr:from>
    <cdr:to>
      <cdr:x>0.38329</cdr:x>
      <cdr:y>0.81837</cdr:y>
    </cdr:to>
    <cdr:cxnSp macro="">
      <cdr:nvCxnSpPr>
        <cdr:cNvPr id="42" name="Прямая со стрелкой 41"/>
        <cdr:cNvCxnSpPr/>
      </cdr:nvCxnSpPr>
      <cdr:spPr>
        <a:xfrm xmlns:a="http://schemas.openxmlformats.org/drawingml/2006/main" flipH="1" flipV="1">
          <a:off x="3151732" y="2966145"/>
          <a:ext cx="556155" cy="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0.57257</cdr:x>
      <cdr:y>0.25138</cdr:y>
    </cdr:from>
    <cdr:to>
      <cdr:x>0.65904</cdr:x>
      <cdr:y>0.31031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5538967" y="911392"/>
          <a:ext cx="836506" cy="2136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9%</a:t>
          </a:r>
        </a:p>
      </cdr:txBody>
    </cdr:sp>
  </cdr:relSizeAnchor>
  <cdr:relSizeAnchor xmlns:cdr="http://schemas.openxmlformats.org/drawingml/2006/chartDrawing">
    <cdr:from>
      <cdr:x>0.55534</cdr:x>
      <cdr:y>0.35878</cdr:y>
    </cdr:from>
    <cdr:to>
      <cdr:x>0.64181</cdr:x>
      <cdr:y>0.41771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5372358" y="1300791"/>
          <a:ext cx="836505" cy="2136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22%</a:t>
          </a:r>
        </a:p>
      </cdr:txBody>
    </cdr:sp>
  </cdr:relSizeAnchor>
  <cdr:relSizeAnchor xmlns:cdr="http://schemas.openxmlformats.org/drawingml/2006/chartDrawing">
    <cdr:from>
      <cdr:x>0.46377</cdr:x>
      <cdr:y>0.50754</cdr:y>
    </cdr:from>
    <cdr:to>
      <cdr:x>0.55024</cdr:x>
      <cdr:y>0.56647</cdr:y>
    </cdr:to>
    <cdr:sp macro="" textlink="">
      <cdr:nvSpPr>
        <cdr:cNvPr id="47" name="Прямоугольник 46"/>
        <cdr:cNvSpPr/>
      </cdr:nvSpPr>
      <cdr:spPr>
        <a:xfrm xmlns:a="http://schemas.openxmlformats.org/drawingml/2006/main">
          <a:off x="4486444" y="1840111"/>
          <a:ext cx="836506" cy="2136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15%</a:t>
          </a:r>
        </a:p>
      </cdr:txBody>
    </cdr:sp>
  </cdr:relSizeAnchor>
  <cdr:relSizeAnchor xmlns:cdr="http://schemas.openxmlformats.org/drawingml/2006/chartDrawing">
    <cdr:from>
      <cdr:x>0.41561</cdr:x>
      <cdr:y>0.63946</cdr:y>
    </cdr:from>
    <cdr:to>
      <cdr:x>0.50208</cdr:x>
      <cdr:y>0.69839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4020564" y="2318390"/>
          <a:ext cx="836505" cy="2136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28%</a:t>
          </a:r>
        </a:p>
      </cdr:txBody>
    </cdr:sp>
  </cdr:relSizeAnchor>
  <cdr:relSizeAnchor xmlns:cdr="http://schemas.openxmlformats.org/drawingml/2006/chartDrawing">
    <cdr:from>
      <cdr:x>0.32843</cdr:x>
      <cdr:y>0.7584</cdr:y>
    </cdr:from>
    <cdr:to>
      <cdr:x>0.4149</cdr:x>
      <cdr:y>0.81733</cdr:y>
    </cdr:to>
    <cdr:sp macro="" textlink="">
      <cdr:nvSpPr>
        <cdr:cNvPr id="49" name="Прямоугольник 48"/>
        <cdr:cNvSpPr/>
      </cdr:nvSpPr>
      <cdr:spPr>
        <a:xfrm xmlns:a="http://schemas.openxmlformats.org/drawingml/2006/main">
          <a:off x="3177220" y="2749615"/>
          <a:ext cx="836506" cy="2136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en-US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8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47%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114300</xdr:rowOff>
    </xdr:from>
    <xdr:to>
      <xdr:col>4</xdr:col>
      <xdr:colOff>574192</xdr:colOff>
      <xdr:row>38</xdr:row>
      <xdr:rowOff>76132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0</xdr:rowOff>
    </xdr:from>
    <xdr:to>
      <xdr:col>10</xdr:col>
      <xdr:colOff>285750</xdr:colOff>
      <xdr:row>29</xdr:row>
      <xdr:rowOff>65315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2</xdr:row>
      <xdr:rowOff>176212</xdr:rowOff>
    </xdr:from>
    <xdr:to>
      <xdr:col>21</xdr:col>
      <xdr:colOff>571500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369093</xdr:colOff>
      <xdr:row>26</xdr:row>
      <xdr:rowOff>369094</xdr:rowOff>
    </xdr:from>
    <xdr:to>
      <xdr:col>22</xdr:col>
      <xdr:colOff>195262</xdr:colOff>
      <xdr:row>45</xdr:row>
      <xdr:rowOff>130969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0.15233</cdr:x>
      <cdr:y>0.27846</cdr:y>
    </cdr:from>
    <cdr:to>
      <cdr:x>0.22533</cdr:x>
      <cdr:y>0.33333</cdr:y>
    </cdr:to>
    <cdr:sp macro="" textlink="">
      <cdr:nvSpPr>
        <cdr:cNvPr id="41" name="Прямоугольник 40"/>
        <cdr:cNvSpPr/>
      </cdr:nvSpPr>
      <cdr:spPr>
        <a:xfrm xmlns:a="http://schemas.openxmlformats.org/drawingml/2006/main">
          <a:off x="1374775" y="974725"/>
          <a:ext cx="658812" cy="1920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10%</a:t>
          </a:r>
        </a:p>
      </cdr:txBody>
    </cdr:sp>
  </cdr:relSizeAnchor>
  <cdr:relSizeAnchor xmlns:cdr="http://schemas.openxmlformats.org/drawingml/2006/chartDrawing">
    <cdr:from>
      <cdr:x>0.26509</cdr:x>
      <cdr:y>0.42054</cdr:y>
    </cdr:from>
    <cdr:to>
      <cdr:x>0.33809</cdr:x>
      <cdr:y>0.47541</cdr:y>
    </cdr:to>
    <cdr:sp macro="" textlink="">
      <cdr:nvSpPr>
        <cdr:cNvPr id="42" name="Прямоугольник 41"/>
        <cdr:cNvSpPr/>
      </cdr:nvSpPr>
      <cdr:spPr>
        <a:xfrm xmlns:a="http://schemas.openxmlformats.org/drawingml/2006/main">
          <a:off x="2794558" y="1952739"/>
          <a:ext cx="769551" cy="254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0.35985</cdr:x>
      <cdr:y>0.40562</cdr:y>
    </cdr:from>
    <cdr:to>
      <cdr:x>0.43285</cdr:x>
      <cdr:y>0.46049</cdr:y>
    </cdr:to>
    <cdr:sp macro="" textlink="">
      <cdr:nvSpPr>
        <cdr:cNvPr id="43" name="Прямоугольник 42"/>
        <cdr:cNvSpPr/>
      </cdr:nvSpPr>
      <cdr:spPr>
        <a:xfrm xmlns:a="http://schemas.openxmlformats.org/drawingml/2006/main">
          <a:off x="3793516" y="1883473"/>
          <a:ext cx="769551" cy="2547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0.4431</cdr:x>
      <cdr:y>0.34487</cdr:y>
    </cdr:from>
    <cdr:to>
      <cdr:x>0.5161</cdr:x>
      <cdr:y>0.39974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4671111" y="1601387"/>
          <a:ext cx="769550" cy="2547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0.56257</cdr:x>
      <cdr:y>0.39356</cdr:y>
    </cdr:from>
    <cdr:to>
      <cdr:x>0.63557</cdr:x>
      <cdr:y>0.44844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5930470" y="1733749"/>
          <a:ext cx="769551" cy="24176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5%</a:t>
          </a:r>
        </a:p>
      </cdr:txBody>
    </cdr:sp>
  </cdr:relSizeAnchor>
  <cdr:relSizeAnchor xmlns:cdr="http://schemas.openxmlformats.org/drawingml/2006/chartDrawing">
    <cdr:from>
      <cdr:x>0.63897</cdr:x>
      <cdr:y>0.42141</cdr:y>
    </cdr:from>
    <cdr:to>
      <cdr:x>0.71197</cdr:x>
      <cdr:y>0.47629</cdr:y>
    </cdr:to>
    <cdr:sp macro="" textlink="">
      <cdr:nvSpPr>
        <cdr:cNvPr id="46" name="Прямоугольник 45"/>
        <cdr:cNvSpPr/>
      </cdr:nvSpPr>
      <cdr:spPr>
        <a:xfrm xmlns:a="http://schemas.openxmlformats.org/drawingml/2006/main">
          <a:off x="6735863" y="1956804"/>
          <a:ext cx="769551" cy="2548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2%</a:t>
          </a:r>
        </a:p>
      </cdr:txBody>
    </cdr:sp>
  </cdr:relSizeAnchor>
  <cdr:relSizeAnchor xmlns:cdr="http://schemas.openxmlformats.org/drawingml/2006/chartDrawing">
    <cdr:from>
      <cdr:x>0.69871</cdr:x>
      <cdr:y>0.1017</cdr:y>
    </cdr:from>
    <cdr:to>
      <cdr:x>0.77171</cdr:x>
      <cdr:y>0.15658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7365689" y="448027"/>
          <a:ext cx="769551" cy="2417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20%</a:t>
          </a:r>
        </a:p>
      </cdr:txBody>
    </cdr:sp>
  </cdr:relSizeAnchor>
  <cdr:relSizeAnchor xmlns:cdr="http://schemas.openxmlformats.org/drawingml/2006/chartDrawing">
    <cdr:from>
      <cdr:x>0.05236</cdr:x>
      <cdr:y>0.41097</cdr:y>
    </cdr:from>
    <cdr:to>
      <cdr:x>0.07241</cdr:x>
      <cdr:y>0.45427</cdr:y>
    </cdr:to>
    <cdr:cxnSp macro="">
      <cdr:nvCxnSpPr>
        <cdr:cNvPr id="16" name="Прямая со стрелкой 15"/>
        <cdr:cNvCxnSpPr/>
      </cdr:nvCxnSpPr>
      <cdr:spPr>
        <a:xfrm xmlns:a="http://schemas.openxmlformats.org/drawingml/2006/main" flipV="1">
          <a:off x="551997" y="1810455"/>
          <a:ext cx="211363" cy="190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0.15663</cdr:x>
      <cdr:y>0.33241</cdr:y>
    </cdr:from>
    <cdr:to>
      <cdr:x>0.17457</cdr:x>
      <cdr:y>0.37867</cdr:y>
    </cdr:to>
    <cdr:cxnSp macro="">
      <cdr:nvCxnSpPr>
        <cdr:cNvPr id="54" name="Прямая со стрелкой 53"/>
        <cdr:cNvCxnSpPr/>
      </cdr:nvCxnSpPr>
      <cdr:spPr>
        <a:xfrm xmlns:a="http://schemas.openxmlformats.org/drawingml/2006/main">
          <a:off x="1651155" y="1543521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0.35758</cdr:x>
      <cdr:y>0.4625</cdr:y>
    </cdr:from>
    <cdr:to>
      <cdr:x>0.37552</cdr:x>
      <cdr:y>0.50875</cdr:y>
    </cdr:to>
    <cdr:cxnSp macro="">
      <cdr:nvCxnSpPr>
        <cdr:cNvPr id="62" name="Прямая со стрелкой 61"/>
        <cdr:cNvCxnSpPr/>
      </cdr:nvCxnSpPr>
      <cdr:spPr>
        <a:xfrm xmlns:a="http://schemas.openxmlformats.org/drawingml/2006/main">
          <a:off x="3769515" y="2147567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0.46294</cdr:x>
      <cdr:y>0.37679</cdr:y>
    </cdr:from>
    <cdr:to>
      <cdr:x>0.48317</cdr:x>
      <cdr:y>0.43076</cdr:y>
    </cdr:to>
    <cdr:cxnSp macro="">
      <cdr:nvCxnSpPr>
        <cdr:cNvPr id="68" name="Прямая со стрелкой 67"/>
        <cdr:cNvCxnSpPr/>
      </cdr:nvCxnSpPr>
      <cdr:spPr>
        <a:xfrm xmlns:a="http://schemas.openxmlformats.org/drawingml/2006/main" flipV="1">
          <a:off x="4880173" y="1749593"/>
          <a:ext cx="213260" cy="2506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0.73903</cdr:x>
      <cdr:y>0.12627</cdr:y>
    </cdr:from>
    <cdr:to>
      <cdr:x>0.75926</cdr:x>
      <cdr:y>0.18025</cdr:y>
    </cdr:to>
    <cdr:cxnSp macro="">
      <cdr:nvCxnSpPr>
        <cdr:cNvPr id="77" name="Прямая со стрелкой 76"/>
        <cdr:cNvCxnSpPr/>
      </cdr:nvCxnSpPr>
      <cdr:spPr>
        <a:xfrm xmlns:a="http://schemas.openxmlformats.org/drawingml/2006/main" flipV="1">
          <a:off x="7790711" y="556261"/>
          <a:ext cx="213260" cy="23779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0.84151</cdr:x>
      <cdr:y>0.05261</cdr:y>
    </cdr:from>
    <cdr:to>
      <cdr:x>0.99472</cdr:x>
      <cdr:y>0.18432</cdr:y>
    </cdr:to>
    <cdr:sp macro="" textlink="">
      <cdr:nvSpPr>
        <cdr:cNvPr id="78" name="Прямоугольник 77"/>
        <cdr:cNvSpPr/>
      </cdr:nvSpPr>
      <cdr:spPr>
        <a:xfrm xmlns:a="http://schemas.openxmlformats.org/drawingml/2006/main">
          <a:off x="8871025" y="231763"/>
          <a:ext cx="1615108" cy="58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ru-RU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темп прироста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снижения</a:t>
          </a:r>
          <a:r>
            <a:rPr lang="ru-RU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</a:p>
      </cdr:txBody>
    </cdr:sp>
  </cdr:relSizeAnchor>
  <cdr:relSizeAnchor xmlns:cdr="http://schemas.openxmlformats.org/drawingml/2006/chartDrawing">
    <cdr:from>
      <cdr:x>0.03306</cdr:x>
      <cdr:y>0.37858</cdr:y>
    </cdr:from>
    <cdr:to>
      <cdr:x>0.09759</cdr:x>
      <cdr:y>0.44378</cdr:y>
    </cdr:to>
    <cdr:sp macro="" textlink="">
      <cdr:nvSpPr>
        <cdr:cNvPr id="36" name="Прямоугольник 35"/>
        <cdr:cNvSpPr/>
      </cdr:nvSpPr>
      <cdr:spPr>
        <a:xfrm xmlns:a="http://schemas.openxmlformats.org/drawingml/2006/main">
          <a:off x="348484" y="1667759"/>
          <a:ext cx="680262" cy="2872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0,4%</a:t>
          </a:r>
        </a:p>
      </cdr:txBody>
    </cdr:sp>
  </cdr:relSizeAnchor>
  <cdr:relSizeAnchor xmlns:cdr="http://schemas.openxmlformats.org/drawingml/2006/chartDrawing">
    <cdr:from>
      <cdr:x>0.25781</cdr:x>
      <cdr:y>0.45966</cdr:y>
    </cdr:from>
    <cdr:to>
      <cdr:x>0.27575</cdr:x>
      <cdr:y>0.50592</cdr:y>
    </cdr:to>
    <cdr:cxnSp macro="">
      <cdr:nvCxnSpPr>
        <cdr:cNvPr id="37" name="Прямая со стрелкой 36"/>
        <cdr:cNvCxnSpPr/>
      </cdr:nvCxnSpPr>
      <cdr:spPr>
        <a:xfrm xmlns:a="http://schemas.openxmlformats.org/drawingml/2006/main">
          <a:off x="2717800" y="2134394"/>
          <a:ext cx="189120" cy="2148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0.55824</cdr:x>
      <cdr:y>0.43045</cdr:y>
    </cdr:from>
    <cdr:to>
      <cdr:x>0.57618</cdr:x>
      <cdr:y>0.4767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>
          <a:off x="5884862" y="1896269"/>
          <a:ext cx="189119" cy="2037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0.64182</cdr:x>
      <cdr:y>0.4818</cdr:y>
    </cdr:from>
    <cdr:to>
      <cdr:x>0.65976</cdr:x>
      <cdr:y>0.52805</cdr:y>
    </cdr:to>
    <cdr:cxnSp macro="">
      <cdr:nvCxnSpPr>
        <cdr:cNvPr id="20" name="Прямая со стрелкой 19"/>
        <cdr:cNvCxnSpPr/>
      </cdr:nvCxnSpPr>
      <cdr:spPr>
        <a:xfrm xmlns:a="http://schemas.openxmlformats.org/drawingml/2006/main">
          <a:off x="6765925" y="2122488"/>
          <a:ext cx="189120" cy="2037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0.11732</cdr:x>
      <cdr:y>0.17283</cdr:y>
    </cdr:from>
    <cdr:to>
      <cdr:x>0.19032</cdr:x>
      <cdr:y>0.2277</cdr:y>
    </cdr:to>
    <cdr:sp macro="" textlink="">
      <cdr:nvSpPr>
        <cdr:cNvPr id="41" name="Прямоугольник 40"/>
        <cdr:cNvSpPr/>
      </cdr:nvSpPr>
      <cdr:spPr>
        <a:xfrm xmlns:a="http://schemas.openxmlformats.org/drawingml/2006/main">
          <a:off x="1236736" y="742840"/>
          <a:ext cx="769551" cy="235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3%</a:t>
          </a:r>
        </a:p>
      </cdr:txBody>
    </cdr:sp>
  </cdr:relSizeAnchor>
  <cdr:relSizeAnchor xmlns:cdr="http://schemas.openxmlformats.org/drawingml/2006/chartDrawing">
    <cdr:from>
      <cdr:x>0.55196</cdr:x>
      <cdr:y>0.3756</cdr:y>
    </cdr:from>
    <cdr:to>
      <cdr:x>0.62496</cdr:x>
      <cdr:y>0.43047</cdr:y>
    </cdr:to>
    <cdr:sp macro="" textlink="">
      <cdr:nvSpPr>
        <cdr:cNvPr id="42" name="Прямоугольник 41"/>
        <cdr:cNvSpPr/>
      </cdr:nvSpPr>
      <cdr:spPr>
        <a:xfrm xmlns:a="http://schemas.openxmlformats.org/drawingml/2006/main">
          <a:off x="5818696" y="1633190"/>
          <a:ext cx="769551" cy="2385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112%</a:t>
          </a:r>
        </a:p>
      </cdr:txBody>
    </cdr:sp>
  </cdr:relSizeAnchor>
  <cdr:relSizeAnchor xmlns:cdr="http://schemas.openxmlformats.org/drawingml/2006/chartDrawing">
    <cdr:from>
      <cdr:x>0.33387</cdr:x>
      <cdr:y>0.3528</cdr:y>
    </cdr:from>
    <cdr:to>
      <cdr:x>0.40687</cdr:x>
      <cdr:y>0.40767</cdr:y>
    </cdr:to>
    <cdr:sp macro="" textlink="">
      <cdr:nvSpPr>
        <cdr:cNvPr id="43" name="Прямоугольник 42"/>
        <cdr:cNvSpPr/>
      </cdr:nvSpPr>
      <cdr:spPr>
        <a:xfrm xmlns:a="http://schemas.openxmlformats.org/drawingml/2006/main">
          <a:off x="3519620" y="1516406"/>
          <a:ext cx="769551" cy="235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9%</a:t>
          </a:r>
        </a:p>
      </cdr:txBody>
    </cdr:sp>
  </cdr:relSizeAnchor>
  <cdr:relSizeAnchor xmlns:cdr="http://schemas.openxmlformats.org/drawingml/2006/chartDrawing">
    <cdr:from>
      <cdr:x>0.41825</cdr:x>
      <cdr:y>0.22158</cdr:y>
    </cdr:from>
    <cdr:to>
      <cdr:x>0.49125</cdr:x>
      <cdr:y>0.27645</cdr:y>
    </cdr:to>
    <cdr:sp macro="" textlink="">
      <cdr:nvSpPr>
        <cdr:cNvPr id="44" name="Прямоугольник 43"/>
        <cdr:cNvSpPr/>
      </cdr:nvSpPr>
      <cdr:spPr>
        <a:xfrm xmlns:a="http://schemas.openxmlformats.org/drawingml/2006/main">
          <a:off x="4409083" y="963485"/>
          <a:ext cx="769551" cy="2385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18%</a:t>
          </a:r>
        </a:p>
      </cdr:txBody>
    </cdr:sp>
  </cdr:relSizeAnchor>
  <cdr:relSizeAnchor xmlns:cdr="http://schemas.openxmlformats.org/drawingml/2006/chartDrawing">
    <cdr:from>
      <cdr:x>0.21697</cdr:x>
      <cdr:y>0.42975</cdr:y>
    </cdr:from>
    <cdr:to>
      <cdr:x>0.28997</cdr:x>
      <cdr:y>0.48463</cdr:y>
    </cdr:to>
    <cdr:sp macro="" textlink="">
      <cdr:nvSpPr>
        <cdr:cNvPr id="45" name="Прямоугольник 44"/>
        <cdr:cNvSpPr/>
      </cdr:nvSpPr>
      <cdr:spPr>
        <a:xfrm xmlns:a="http://schemas.openxmlformats.org/drawingml/2006/main">
          <a:off x="2287234" y="1868608"/>
          <a:ext cx="769551" cy="2386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7%</a:t>
          </a:r>
        </a:p>
      </cdr:txBody>
    </cdr:sp>
  </cdr:relSizeAnchor>
  <cdr:relSizeAnchor xmlns:cdr="http://schemas.openxmlformats.org/drawingml/2006/chartDrawing">
    <cdr:from>
      <cdr:x>0.62655</cdr:x>
      <cdr:y>0.40142</cdr:y>
    </cdr:from>
    <cdr:to>
      <cdr:x>0.69955</cdr:x>
      <cdr:y>0.4563</cdr:y>
    </cdr:to>
    <cdr:sp macro="" textlink="">
      <cdr:nvSpPr>
        <cdr:cNvPr id="46" name="Прямоугольник 45"/>
        <cdr:cNvSpPr/>
      </cdr:nvSpPr>
      <cdr:spPr>
        <a:xfrm xmlns:a="http://schemas.openxmlformats.org/drawingml/2006/main">
          <a:off x="6604921" y="1725378"/>
          <a:ext cx="769551" cy="2358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86%</a:t>
          </a:r>
        </a:p>
      </cdr:txBody>
    </cdr:sp>
  </cdr:relSizeAnchor>
  <cdr:relSizeAnchor xmlns:cdr="http://schemas.openxmlformats.org/drawingml/2006/chartDrawing">
    <cdr:from>
      <cdr:x>0.72243</cdr:x>
      <cdr:y>0.22057</cdr:y>
    </cdr:from>
    <cdr:to>
      <cdr:x>0.79543</cdr:x>
      <cdr:y>0.27545</cdr:y>
    </cdr:to>
    <cdr:sp macro="" textlink="">
      <cdr:nvSpPr>
        <cdr:cNvPr id="48" name="Прямоугольник 47"/>
        <cdr:cNvSpPr/>
      </cdr:nvSpPr>
      <cdr:spPr>
        <a:xfrm xmlns:a="http://schemas.openxmlformats.org/drawingml/2006/main">
          <a:off x="7615738" y="959086"/>
          <a:ext cx="769551" cy="2386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64%</a:t>
          </a:r>
        </a:p>
      </cdr:txBody>
    </cdr:sp>
  </cdr:relSizeAnchor>
  <cdr:relSizeAnchor xmlns:cdr="http://schemas.openxmlformats.org/drawingml/2006/chartDrawing">
    <cdr:from>
      <cdr:x>0.05462</cdr:x>
      <cdr:y>0.26161</cdr:y>
    </cdr:from>
    <cdr:to>
      <cdr:x>0.07467</cdr:x>
      <cdr:y>0.30491</cdr:y>
    </cdr:to>
    <cdr:cxnSp macro="">
      <cdr:nvCxnSpPr>
        <cdr:cNvPr id="16" name="Прямая со стрелкой 15"/>
        <cdr:cNvCxnSpPr/>
      </cdr:nvCxnSpPr>
      <cdr:spPr>
        <a:xfrm xmlns:a="http://schemas.openxmlformats.org/drawingml/2006/main" flipV="1">
          <a:off x="575811" y="1124424"/>
          <a:ext cx="211363" cy="18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0.44939</cdr:x>
      <cdr:y>0.24886</cdr:y>
    </cdr:from>
    <cdr:to>
      <cdr:x>0.46962</cdr:x>
      <cdr:y>0.30283</cdr:y>
    </cdr:to>
    <cdr:cxnSp macro="">
      <cdr:nvCxnSpPr>
        <cdr:cNvPr id="68" name="Прямая со стрелкой 67"/>
        <cdr:cNvCxnSpPr/>
      </cdr:nvCxnSpPr>
      <cdr:spPr>
        <a:xfrm xmlns:a="http://schemas.openxmlformats.org/drawingml/2006/main" flipV="1">
          <a:off x="4737332" y="1082075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0.25042</cdr:x>
      <cdr:y>0.47127</cdr:y>
    </cdr:from>
    <cdr:to>
      <cdr:x>0.27065</cdr:x>
      <cdr:y>0.52524</cdr:y>
    </cdr:to>
    <cdr:cxnSp macro="">
      <cdr:nvCxnSpPr>
        <cdr:cNvPr id="71" name="Прямая со стрелкой 70"/>
        <cdr:cNvCxnSpPr/>
      </cdr:nvCxnSpPr>
      <cdr:spPr>
        <a:xfrm xmlns:a="http://schemas.openxmlformats.org/drawingml/2006/main" flipV="1">
          <a:off x="2639927" y="2049172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0.66128</cdr:x>
      <cdr:y>0.46664</cdr:y>
    </cdr:from>
    <cdr:to>
      <cdr:x>0.68151</cdr:x>
      <cdr:y>0.52061</cdr:y>
    </cdr:to>
    <cdr:cxnSp macro="">
      <cdr:nvCxnSpPr>
        <cdr:cNvPr id="74" name="Прямая со стрелкой 73"/>
        <cdr:cNvCxnSpPr/>
      </cdr:nvCxnSpPr>
      <cdr:spPr>
        <a:xfrm xmlns:a="http://schemas.openxmlformats.org/drawingml/2006/main" flipV="1">
          <a:off x="6971083" y="2029013"/>
          <a:ext cx="213260" cy="2346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0.75823</cdr:x>
      <cdr:y>0.2523</cdr:y>
    </cdr:from>
    <cdr:to>
      <cdr:x>0.77846</cdr:x>
      <cdr:y>0.30628</cdr:y>
    </cdr:to>
    <cdr:cxnSp macro="">
      <cdr:nvCxnSpPr>
        <cdr:cNvPr id="77" name="Прямая со стрелкой 76"/>
        <cdr:cNvCxnSpPr/>
      </cdr:nvCxnSpPr>
      <cdr:spPr>
        <a:xfrm xmlns:a="http://schemas.openxmlformats.org/drawingml/2006/main" flipV="1">
          <a:off x="7993146" y="1097061"/>
          <a:ext cx="213261" cy="23471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0.84595</cdr:x>
      <cdr:y>0.05261</cdr:y>
    </cdr:from>
    <cdr:to>
      <cdr:x>0.99472</cdr:x>
      <cdr:y>0.24699</cdr:y>
    </cdr:to>
    <cdr:sp macro="" textlink="">
      <cdr:nvSpPr>
        <cdr:cNvPr id="78" name="Прямоугольник 77"/>
        <cdr:cNvSpPr/>
      </cdr:nvSpPr>
      <cdr:spPr>
        <a:xfrm xmlns:a="http://schemas.openxmlformats.org/drawingml/2006/main">
          <a:off x="8917782" y="228757"/>
          <a:ext cx="1568351" cy="8451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  <a:r>
            <a:rPr lang="ru-RU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темп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прироста</a:t>
          </a: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снижения 2022</a:t>
          </a:r>
        </a:p>
      </cdr:txBody>
    </cdr:sp>
  </cdr:relSizeAnchor>
  <cdr:relSizeAnchor xmlns:cdr="http://schemas.openxmlformats.org/drawingml/2006/chartDrawing">
    <cdr:from>
      <cdr:x>0.0308</cdr:x>
      <cdr:y>0.2128</cdr:y>
    </cdr:from>
    <cdr:to>
      <cdr:x>0.09533</cdr:x>
      <cdr:y>0.27424</cdr:y>
    </cdr:to>
    <cdr:sp macro="" textlink="">
      <cdr:nvSpPr>
        <cdr:cNvPr id="36" name="Прямоугольник 35"/>
        <cdr:cNvSpPr/>
      </cdr:nvSpPr>
      <cdr:spPr>
        <a:xfrm xmlns:a="http://schemas.openxmlformats.org/drawingml/2006/main">
          <a:off x="324671" y="914631"/>
          <a:ext cx="680262" cy="2640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6%</a:t>
          </a:r>
        </a:p>
      </cdr:txBody>
    </cdr:sp>
  </cdr:relSizeAnchor>
  <cdr:relSizeAnchor xmlns:cdr="http://schemas.openxmlformats.org/drawingml/2006/chartDrawing">
    <cdr:from>
      <cdr:x>0.55033</cdr:x>
      <cdr:y>0.41507</cdr:y>
    </cdr:from>
    <cdr:to>
      <cdr:x>0.56827</cdr:x>
      <cdr:y>0.46133</cdr:y>
    </cdr:to>
    <cdr:cxnSp macro="">
      <cdr:nvCxnSpPr>
        <cdr:cNvPr id="37" name="Прямая со стрелкой 36"/>
        <cdr:cNvCxnSpPr/>
      </cdr:nvCxnSpPr>
      <cdr:spPr>
        <a:xfrm xmlns:a="http://schemas.openxmlformats.org/drawingml/2006/main">
          <a:off x="5801501" y="1804811"/>
          <a:ext cx="189120" cy="2011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</cdr:x>
      <cdr:y>0.21105</cdr:y>
    </cdr:from>
    <cdr:to>
      <cdr:x>0.16605</cdr:x>
      <cdr:y>0.25435</cdr:y>
    </cdr:to>
    <cdr:cxnSp macro="">
      <cdr:nvCxnSpPr>
        <cdr:cNvPr id="19" name="Прямая со стрелкой 18"/>
        <cdr:cNvCxnSpPr/>
      </cdr:nvCxnSpPr>
      <cdr:spPr>
        <a:xfrm xmlns:a="http://schemas.openxmlformats.org/drawingml/2006/main" flipV="1">
          <a:off x="1539081" y="907142"/>
          <a:ext cx="211363" cy="18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0.36172</cdr:x>
      <cdr:y>0.42516</cdr:y>
    </cdr:from>
    <cdr:to>
      <cdr:x>0.37966</cdr:x>
      <cdr:y>0.47142</cdr:y>
    </cdr:to>
    <cdr:cxnSp macro="">
      <cdr:nvCxnSpPr>
        <cdr:cNvPr id="21" name="Прямая со стрелкой 20"/>
        <cdr:cNvCxnSpPr/>
      </cdr:nvCxnSpPr>
      <cdr:spPr>
        <a:xfrm xmlns:a="http://schemas.openxmlformats.org/drawingml/2006/main">
          <a:off x="3813175" y="1848643"/>
          <a:ext cx="189119" cy="2011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2</xdr:row>
      <xdr:rowOff>176212</xdr:rowOff>
    </xdr:from>
    <xdr:to>
      <xdr:col>21</xdr:col>
      <xdr:colOff>571500</xdr:colOff>
      <xdr:row>20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369093</xdr:colOff>
      <xdr:row>26</xdr:row>
      <xdr:rowOff>369094</xdr:rowOff>
    </xdr:from>
    <xdr:to>
      <xdr:col>22</xdr:col>
      <xdr:colOff>195262</xdr:colOff>
      <xdr:row>45</xdr:row>
      <xdr:rowOff>130969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04-&#1057;&#1042;&#1054;&#1044;%20-%2026.0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5;&#1088;&#1077;&#1079;&#1077;&#1085;&#1090;&#1072;&#1094;&#1080;&#1080;\2022\&#1048;&#1090;&#1086;&#1075;&#1080;%20&#1086;&#1090;&#1095;&#1077;&#1090;&#1085;&#1099;&#1093;%20&#1087;&#1077;&#1088;&#1080;&#1086;&#1076;&#1086;&#1074;\&#1076;&#1083;&#1103;%20&#1087;&#1088;&#1077;&#1079;&#1077;&#1085;&#1090;&#1072;&#1094;&#1080;&#1080;%20-%20&#1084;&#1072;&#1081;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06-&#1057;&#1042;&#1054;&#1044;%20-%2027.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&#1076;&#1086;%202018\&#1057;&#1074;&#1086;&#1076;&#1085;&#1099;&#1081;%20&#1086;&#1090;&#1095;&#1077;&#1090;%20&#1087;&#1086;%20&#1041;&#1044;&#1056;\2014_&#1086;&#1090;&#1095;&#1077;&#1090;\2014_06%20&#1057;&#1074;&#1086;&#1076;&#1085;&#1099;&#1081;%20&#1086;&#1090;&#1095;&#1077;&#1090;%20(&#1089;%20&#1091;&#1095;&#1077;&#1090;&#1086;&#1084;%20&#1080;&#1079;&#1084;&#1077;&#1085;&#1077;&#1085;&#1080;&#1081;%20&#1076;&#1086;&#1093;&#1086;&#1076;&#1086;&#1074;%20&#1050;&#1088;&#1099;&#1084;_&#1052;&#1086;&#1089;&#1082;&#1074;&#1072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&#1076;&#1086;%202018\&#1057;&#1074;&#1086;&#1076;&#1085;&#1099;&#1081;%20&#1086;&#1090;&#1095;&#1077;&#1090;%20&#1087;&#1086;%20&#1041;&#1044;&#1056;\2015_&#1086;&#1090;&#1095;&#1077;&#1090;\2015_06%20&#1057;&#1074;&#1086;&#1076;&#1085;&#1099;&#1081;%20&#1086;&#1090;&#1095;&#1077;&#1090;%20(&#1082;&#1086;&#1088;-&#1082;&#1072;%20&#1045;&#1043;&#1069;%20&#1073;&#1072;&#1096;&#1082;&#1080;&#1088;&#1080;&#1103;-&#1084;&#1080;&#1084;&#108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&#1076;&#1086;%202018\2017\2017_12_&#1057;&#1074;&#1086;&#1076;&#1085;&#1099;&#1081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2020\12_&#1057;&#1042;&#1054;&#1044;%20&#1080;&#1090;&#1086;&#107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2021\&#1054;&#1058;&#1063;&#1045;&#1058;&#1067;!!!\2021_12%20&#1057;&#1042;&#1054;&#1044;%2016.03.2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4;&#1090;&#1095;&#1077;&#1090;&#1099;!!!\07-&#1057;&#1042;&#1054;&#1044;%20-%2030.0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b\root\&#1054;&#1090;&#1076;&#1077;&#1083;&#1099;%20&#1043;&#1062;&#1057;&#1057;\&#1055;&#1083;&#1072;&#1085;&#1086;&#1074;&#1099;&#1081;%20&#1086;&#1090;&#1076;&#1077;&#1083;\&#1055;&#1088;&#1077;&#1079;&#1077;&#1085;&#1090;&#1072;&#1094;&#1080;&#1080;\2022\&#1048;&#1090;&#1086;&#1075;&#1080;%20&#1086;&#1090;&#1095;&#1077;&#1090;&#1085;&#1099;&#1093;%20&#1087;&#1077;&#1088;&#1080;&#1086;&#1076;&#1086;&#1074;\&#1076;&#1083;&#1103;%20&#1087;&#1088;&#1077;&#1079;&#1077;&#1085;&#1090;&#1072;&#1094;&#1080;&#1080;%20-%20&#1080;&#1102;&#1085;&#1100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январь (24.03)"/>
      <sheetName val="февраль"/>
      <sheetName val="январь-февраль"/>
      <sheetName val="март"/>
      <sheetName val="март (28.04)"/>
      <sheetName val="март (29.04)"/>
      <sheetName val="свод"/>
      <sheetName val="Взаиморасчеты"/>
      <sheetName val="март 29.04 межрегион.маршраты"/>
      <sheetName val="январь-март"/>
      <sheetName val="январь-март (28.04)"/>
      <sheetName val="январь-март (29.04)"/>
      <sheetName val="апрель"/>
      <sheetName val="январь-апрель"/>
      <sheetName val="выгрузка еис 1 квартал 27.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4">
          <cell r="U104">
            <v>6960899</v>
          </cell>
          <cell r="V104">
            <v>3402295.49499</v>
          </cell>
          <cell r="Y104">
            <v>-250519</v>
          </cell>
          <cell r="Z104">
            <v>-27345.858160000102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айд 2 старый"/>
      <sheetName val="п-ф"/>
      <sheetName val="Слайд 2"/>
      <sheetName val="данные"/>
      <sheetName val="слайд 3 и 5"/>
      <sheetName val="производительность"/>
      <sheetName val="слайд 4"/>
      <sheetName val="Лист4"/>
      <sheetName val="слайд 6"/>
      <sheetName val="слайд 6 и 7"/>
      <sheetName val="Слайд 9 ЦР"/>
      <sheetName val="Слайд 9 СЗР"/>
      <sheetName val="Слайд 10 ЮР"/>
      <sheetName val="Слайд 10 ПР"/>
      <sheetName val="Слайд 11 УР"/>
      <sheetName val="Слайд 11 СР"/>
      <sheetName val="Слайд 12 ДВР"/>
      <sheetName val="Слайд 12 МИМО"/>
      <sheetName val="ФГУП"/>
      <sheetName val="Слайд 13"/>
      <sheetName val="филиалы для анализа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3">
          <cell r="B53">
            <v>-427.49014</v>
          </cell>
        </row>
        <row r="54">
          <cell r="B54">
            <v>-981.67276000000004</v>
          </cell>
        </row>
        <row r="55">
          <cell r="B55">
            <v>-778.77022999999997</v>
          </cell>
        </row>
        <row r="57">
          <cell r="B57">
            <v>-3337.1801099999998</v>
          </cell>
        </row>
        <row r="58">
          <cell r="B58">
            <v>-1099.5674099999999</v>
          </cell>
        </row>
        <row r="60">
          <cell r="B60">
            <v>-11712.565490000001</v>
          </cell>
        </row>
        <row r="62">
          <cell r="B62">
            <v>-504.12559000000005</v>
          </cell>
        </row>
        <row r="63">
          <cell r="B63">
            <v>-4421.4062300000005</v>
          </cell>
        </row>
        <row r="64">
          <cell r="B64">
            <v>-598.10956999999996</v>
          </cell>
        </row>
        <row r="65">
          <cell r="B65">
            <v>-555.36622</v>
          </cell>
        </row>
        <row r="67">
          <cell r="B67">
            <v>-4392.1646799999999</v>
          </cell>
        </row>
        <row r="68">
          <cell r="B68">
            <v>-2525.6725000000001</v>
          </cell>
        </row>
        <row r="69">
          <cell r="B69">
            <v>-3584.8229100000003</v>
          </cell>
        </row>
        <row r="70">
          <cell r="B70">
            <v>-1973.63624</v>
          </cell>
        </row>
        <row r="71">
          <cell r="B71">
            <v>-3449.8564999999999</v>
          </cell>
        </row>
        <row r="72">
          <cell r="B72">
            <v>-684.29763000000003</v>
          </cell>
        </row>
        <row r="73">
          <cell r="B73">
            <v>-5844.7829499999998</v>
          </cell>
        </row>
        <row r="74">
          <cell r="B74">
            <v>-4022.1509900000001</v>
          </cell>
        </row>
        <row r="76">
          <cell r="B76">
            <v>-6479.8793599999999</v>
          </cell>
        </row>
        <row r="77">
          <cell r="B77">
            <v>-444.41397999999998</v>
          </cell>
        </row>
        <row r="78">
          <cell r="B78">
            <v>-1193.9870800000001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январь (24.03)"/>
      <sheetName val="февраль"/>
      <sheetName val="январь-февраль"/>
      <sheetName val="март"/>
      <sheetName val="март (28.04)"/>
      <sheetName val="март (29.04)"/>
      <sheetName val="свод"/>
      <sheetName val="Взаиморасчеты"/>
      <sheetName val="март 29.04 межрегион.маршраты"/>
      <sheetName val="январь-март"/>
      <sheetName val="январь-март (28.04)"/>
      <sheetName val="январь-март (29.04)"/>
      <sheetName val="апрель"/>
      <sheetName val="январь-апрель"/>
      <sheetName val="май"/>
      <sheetName val="май= прогноз"/>
      <sheetName val="январь-май"/>
      <sheetName val="июнь"/>
      <sheetName val="январь-июнь"/>
      <sheetName val="Лист1"/>
      <sheetName val="выгрузка еис 1 квартал 27.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01">
          <cell r="I101">
            <v>5086810.9361400008</v>
          </cell>
          <cell r="O101">
            <v>5172599.6897100005</v>
          </cell>
          <cell r="S101">
            <v>-124686.97591999997</v>
          </cell>
          <cell r="Y101">
            <v>-25785.070910000126</v>
          </cell>
        </row>
        <row r="106">
          <cell r="U106">
            <v>4768649</v>
          </cell>
          <cell r="Y106">
            <v>-80163</v>
          </cell>
        </row>
      </sheetData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сяц с ФОТ "/>
      <sheetName val="Нарастающий с ФОТ "/>
    </sheetNames>
    <sheetDataSet>
      <sheetData sheetId="0" refreshError="1"/>
      <sheetData sheetId="1">
        <row r="98">
          <cell r="F98">
            <v>3580360.1109698145</v>
          </cell>
          <cell r="N98">
            <v>-123440.26756200015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юнь"/>
      <sheetName val="Нарастающий  итог  "/>
    </sheetNames>
    <sheetDataSet>
      <sheetData sheetId="0" refreshError="1"/>
      <sheetData sheetId="1">
        <row r="98">
          <cell r="F98">
            <v>3937462.1388452034</v>
          </cell>
          <cell r="L98">
            <v>-245448.06266027116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янв+фев"/>
      <sheetName val="март БУ"/>
      <sheetName val="март УУ"/>
      <sheetName val="1 квартал БУ"/>
      <sheetName val="1 квартал УУ"/>
      <sheetName val="апрель УСС"/>
      <sheetName val="янв-апрУСС "/>
      <sheetName val="апрель УУ"/>
      <sheetName val="апрель БУ"/>
      <sheetName val="янв-апрель"/>
      <sheetName val="май"/>
      <sheetName val="январь-май"/>
      <sheetName val="июнь БУ УСС"/>
      <sheetName val="июнь УУ УСС"/>
      <sheetName val="6 мес. БУ УСС"/>
      <sheetName val="6 мес. УУ УСС"/>
      <sheetName val="июнь БУ"/>
      <sheetName val="июнь УУ"/>
      <sheetName val="6 мес. БУ"/>
      <sheetName val="6 мес. УУ"/>
      <sheetName val="июнь БУ с изм Уфа-Калуга"/>
      <sheetName val="июнь УУ с изм Уфа-Калуга"/>
      <sheetName val="6 мес. БУ с изм Уфа-Калуга"/>
      <sheetName val="6 мес. УУ с изм Уфа-Калуга"/>
      <sheetName val="БУ июль"/>
      <sheetName val="УУ июль"/>
      <sheetName val="БУ 7 мес."/>
      <sheetName val="УУ 7 мес."/>
      <sheetName val="УпрКор"/>
      <sheetName val="БУ август"/>
      <sheetName val="УУ август"/>
      <sheetName val="БУ 8 мес."/>
      <sheetName val="УУ 8 мес."/>
      <sheetName val="БУ сентябрь"/>
      <sheetName val="УУ сентябрь"/>
      <sheetName val="БУ 9 мес."/>
      <sheetName val="УУ 9 мес."/>
      <sheetName val="УпрКор9"/>
      <sheetName val="БУ октябрь"/>
      <sheetName val="УУ октябрь"/>
      <sheetName val="БУ 10 мес."/>
      <sheetName val="УУ 10 мес."/>
      <sheetName val="Упр.кор."/>
      <sheetName val="ноябрь БУ"/>
      <sheetName val="ноябрь УУ"/>
      <sheetName val="11 мес БУ"/>
      <sheetName val="11 мес УУ"/>
      <sheetName val="Упр кор-ка"/>
      <sheetName val="дек БУ"/>
      <sheetName val="дек УУ"/>
      <sheetName val="2017г БУ"/>
      <sheetName val="2017г УУ"/>
      <sheetName val="УПР кор"/>
      <sheetName val="декабрь БУ 28.01"/>
      <sheetName val="декабрь УУ 28.01"/>
      <sheetName val="2017 БУ 28.01"/>
      <sheetName val="2017 УУ 28.01"/>
      <sheetName val="декабрь БУ 27.03"/>
      <sheetName val="декабрь УУ 27.03"/>
      <sheetName val="2017 БУ 27.03"/>
      <sheetName val="2017 УУ 27.03"/>
      <sheetName val="БУ ноябрь"/>
      <sheetName val="УУ ноябрь"/>
      <sheetName val="БУ 11 мес."/>
      <sheetName val="УУ 11 мес."/>
      <sheetName val="июль БУ"/>
      <sheetName val="июль УУ"/>
      <sheetName val="7мес.БУ"/>
      <sheetName val="7мес.У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99">
          <cell r="G99">
            <v>4839285.5999999996</v>
          </cell>
          <cell r="H99">
            <v>4328870.82</v>
          </cell>
          <cell r="Q99">
            <v>54804.88</v>
          </cell>
          <cell r="R99">
            <v>-62287.199999999997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У январь 2020"/>
      <sheetName val="уу февраль"/>
      <sheetName val="я-ф 2020"/>
      <sheetName val="уу март"/>
      <sheetName val="бу 1 квартал"/>
      <sheetName val="уу 1 квартал"/>
      <sheetName val="апрель"/>
      <sheetName val="4 мес."/>
      <sheetName val="май"/>
      <sheetName val="5 мес"/>
      <sheetName val="июнь"/>
      <sheetName val="6 мес."/>
      <sheetName val="июль"/>
      <sheetName val="7 мес."/>
      <sheetName val="август"/>
      <sheetName val="8 мес."/>
      <sheetName val="сентябрь"/>
      <sheetName val="9 мес. на 27.10."/>
      <sheetName val="октябрь"/>
      <sheetName val="10 мес. на 26.11"/>
      <sheetName val="ноябрь"/>
      <sheetName val="11 мес."/>
      <sheetName val="декабрь от 28.01"/>
      <sheetName val="2020 от 28.01"/>
      <sheetName val="2020 от 03.08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6">
          <cell r="N106">
            <v>4351983</v>
          </cell>
        </row>
        <row r="110">
          <cell r="N110">
            <v>-236853</v>
          </cell>
        </row>
      </sheetData>
      <sheetData sheetId="12" refreshError="1"/>
      <sheetData sheetId="13" refreshError="1">
        <row r="107">
          <cell r="P107">
            <v>7090348</v>
          </cell>
        </row>
        <row r="111">
          <cell r="P111">
            <v>-149504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УК к январю"/>
      <sheetName val="январь (2)"/>
      <sheetName val="для совещания"/>
      <sheetName val="февраль"/>
      <sheetName val="ян-февр"/>
      <sheetName val="март"/>
      <sheetName val="1 кв."/>
      <sheetName val="УК"/>
      <sheetName val="УК 1 кв."/>
      <sheetName val="апрель"/>
      <sheetName val="4 мес."/>
      <sheetName val="апрель 28.05."/>
      <sheetName val="4 мес. 28.05."/>
      <sheetName val="04_ чп приросты"/>
      <sheetName val="май"/>
      <sheetName val="5 мес."/>
      <sheetName val="Лист1"/>
      <sheetName val="Лист2"/>
      <sheetName val="Лист4"/>
      <sheetName val="июнь"/>
      <sheetName val="6 мес."/>
      <sheetName val="прогноз июль к ВКС"/>
      <sheetName val="июль"/>
      <sheetName val="7 мес."/>
      <sheetName val="прогноз август к ВКС 0109"/>
      <sheetName val="август"/>
      <sheetName val="8 мес."/>
      <sheetName val="прогноз сентябрь к ВКС 1310"/>
      <sheetName val="прогноз сентябрь к 21.10."/>
      <sheetName val="сентябрь"/>
      <sheetName val="9 мес."/>
      <sheetName val="ЦИК"/>
      <sheetName val="октябрь"/>
      <sheetName val="10 мес."/>
      <sheetName val="ноябрь"/>
      <sheetName val="11 мес."/>
      <sheetName val="декабрь"/>
      <sheetName val="12 мес."/>
      <sheetName val="декабрь 25.02."/>
      <sheetName val="12 мес. 25.02."/>
      <sheetName val="декабрь 15.03.22"/>
      <sheetName val="12 мес. 15.03.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03">
          <cell r="Q103">
            <v>4933990</v>
          </cell>
          <cell r="U103">
            <v>-104132</v>
          </cell>
        </row>
      </sheetData>
      <sheetData sheetId="22" refreshError="1"/>
      <sheetData sheetId="23" refreshError="1"/>
      <sheetData sheetId="24" refreshError="1">
        <row r="99">
          <cell r="U99">
            <v>-178554.59000000003</v>
          </cell>
        </row>
        <row r="103">
          <cell r="Q103">
            <v>7878314</v>
          </cell>
          <cell r="U103">
            <v>-4655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январь (24.03)"/>
      <sheetName val="февраль"/>
      <sheetName val="январь-февраль"/>
      <sheetName val="март"/>
      <sheetName val="март (28.04)"/>
      <sheetName val="март (29.04)"/>
      <sheetName val="свод"/>
      <sheetName val="Взаиморасчеты"/>
      <sheetName val="март 29.04 межрегион.маршраты"/>
      <sheetName val="январь-март"/>
      <sheetName val="январь-март (28.04)"/>
      <sheetName val="январь-март (29.04)"/>
      <sheetName val="апрель"/>
      <sheetName val="январь-апрель"/>
      <sheetName val="май"/>
      <sheetName val="май= прогноз"/>
      <sheetName val="январь-май"/>
      <sheetName val="июнь"/>
      <sheetName val="январь-июнь"/>
      <sheetName val="июль"/>
      <sheetName val="январь-июль"/>
      <sheetName val="июль с учетом СЗР"/>
      <sheetName val="январь-июль с учетом СЗР"/>
      <sheetName val="Лист4"/>
      <sheetName val="Лист1"/>
      <sheetName val="выгрузка еис 1 квартал 27.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01">
          <cell r="I101">
            <v>6040335.1883599991</v>
          </cell>
          <cell r="O101">
            <v>6097400.3772999989</v>
          </cell>
          <cell r="S101">
            <v>-54801.18879</v>
          </cell>
          <cell r="Y101">
            <v>44671.652440000064</v>
          </cell>
        </row>
        <row r="106">
          <cell r="U106">
            <v>7486731</v>
          </cell>
          <cell r="V106">
            <v>6097400.3772999989</v>
          </cell>
          <cell r="Y106">
            <v>1967</v>
          </cell>
          <cell r="Z106">
            <v>44671.652440000064</v>
          </cell>
        </row>
      </sheetData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айд 2 старый"/>
      <sheetName val="п-ф"/>
      <sheetName val="Слайд 2"/>
      <sheetName val="Слайд 2 (2)"/>
      <sheetName val="данные"/>
      <sheetName val="данные (ЧП с лизингом)"/>
      <sheetName val="слайд 3 и 5"/>
      <sheetName val="производительность"/>
      <sheetName val="слайд 3 и 5 (с лизингом и амор)"/>
      <sheetName val="слайд 4"/>
      <sheetName val="Лист4"/>
      <sheetName val="слайд 6"/>
      <sheetName val="слайд 7"/>
      <sheetName val="слайд 7 (с лизингом)"/>
      <sheetName val="слайд 7 (с лизингом) на слайд"/>
      <sheetName val="Слайд 8 ЦР"/>
      <sheetName val="Слайд 8 СЗР"/>
      <sheetName val="Слайд 9 ЮР"/>
      <sheetName val="Слайд 9 ПР"/>
      <sheetName val="Слайд 10 УР"/>
      <sheetName val="Слайд 10 СР"/>
      <sheetName val="Слайд 11 ДВР"/>
      <sheetName val="Слайд 11 МИМО"/>
      <sheetName val="ФГУП"/>
      <sheetName val="Слайд 12"/>
      <sheetName val="Слайд 12 (3)"/>
      <sheetName val="Слайд 12 (4)"/>
      <sheetName val="Слайд 13"/>
      <sheetName val="филиалы для анализа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E5">
            <v>-598.12380000000007</v>
          </cell>
        </row>
        <row r="6">
          <cell r="E6">
            <v>-814.56115</v>
          </cell>
        </row>
        <row r="7">
          <cell r="E7">
            <v>103.92732000000001</v>
          </cell>
        </row>
        <row r="9">
          <cell r="E9">
            <v>-2706.0195899999999</v>
          </cell>
        </row>
        <row r="10">
          <cell r="E10">
            <v>-559.00414999999998</v>
          </cell>
        </row>
        <row r="12">
          <cell r="E12">
            <v>-13284.227699999999</v>
          </cell>
        </row>
        <row r="14">
          <cell r="E14">
            <v>-531.30037000000004</v>
          </cell>
        </row>
        <row r="15">
          <cell r="E15">
            <v>-5806.7387800000006</v>
          </cell>
        </row>
        <row r="16">
          <cell r="E16">
            <v>-510.76774999999998</v>
          </cell>
        </row>
        <row r="19">
          <cell r="E19">
            <v>-3440.5209599999998</v>
          </cell>
        </row>
        <row r="20">
          <cell r="E20">
            <v>-1477.10853</v>
          </cell>
        </row>
        <row r="21">
          <cell r="E21">
            <v>-2369.2787699999999</v>
          </cell>
        </row>
        <row r="22">
          <cell r="E22">
            <v>-1737.94292</v>
          </cell>
        </row>
        <row r="23">
          <cell r="E23">
            <v>-4303.4355599999999</v>
          </cell>
        </row>
        <row r="24">
          <cell r="E24">
            <v>-285.50081</v>
          </cell>
        </row>
        <row r="25">
          <cell r="E25">
            <v>-7774.3227999999999</v>
          </cell>
        </row>
        <row r="26">
          <cell r="E26">
            <v>-5067.5988600000001</v>
          </cell>
        </row>
        <row r="30">
          <cell r="E30">
            <v>-1639.2855199999999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Normal="100" workbookViewId="0">
      <pane xSplit="1" ySplit="6" topLeftCell="B19" activePane="bottomRight" state="frozen"/>
      <selection pane="topRight" activeCell="B1" sqref="B1"/>
      <selection pane="bottomLeft" activeCell="A8" sqref="A8"/>
      <selection pane="bottomRight" activeCell="W35" sqref="W35"/>
    </sheetView>
  </sheetViews>
  <sheetFormatPr defaultRowHeight="15" x14ac:dyDescent="0.25"/>
  <cols>
    <col min="1" max="2" width="35" customWidth="1"/>
    <col min="3" max="3" width="13.42578125" bestFit="1" customWidth="1"/>
    <col min="4" max="4" width="14.5703125" customWidth="1"/>
    <col min="5" max="5" width="15.7109375" customWidth="1"/>
    <col min="6" max="19" width="15" hidden="1" customWidth="1"/>
    <col min="20" max="22" width="15" customWidth="1"/>
    <col min="23" max="23" width="23.5703125" customWidth="1"/>
    <col min="24" max="24" width="14.42578125" customWidth="1"/>
    <col min="25" max="26" width="14.855468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4" ht="23.25" x14ac:dyDescent="0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x14ac:dyDescent="0.25">
      <c r="A4" s="3" t="s">
        <v>1</v>
      </c>
      <c r="B4" s="3" t="s">
        <v>2</v>
      </c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25.5" x14ac:dyDescent="0.25">
      <c r="A6" s="9" t="s">
        <v>3</v>
      </c>
      <c r="B6" s="9" t="s">
        <v>764</v>
      </c>
      <c r="C6" s="9" t="s">
        <v>765</v>
      </c>
      <c r="D6" s="9" t="s">
        <v>766</v>
      </c>
      <c r="E6" s="9" t="s">
        <v>754</v>
      </c>
      <c r="F6" s="7" t="s">
        <v>4</v>
      </c>
      <c r="G6" s="4" t="s">
        <v>4</v>
      </c>
      <c r="H6" s="4" t="s">
        <v>4</v>
      </c>
      <c r="I6" s="4" t="s">
        <v>4</v>
      </c>
      <c r="J6" s="7" t="s">
        <v>5</v>
      </c>
      <c r="K6" s="4" t="s">
        <v>5</v>
      </c>
      <c r="L6" s="4" t="s">
        <v>5</v>
      </c>
      <c r="M6" s="4" t="s">
        <v>5</v>
      </c>
      <c r="N6" s="4" t="s">
        <v>5</v>
      </c>
      <c r="O6" s="4" t="s">
        <v>5</v>
      </c>
      <c r="P6" s="4" t="s">
        <v>5</v>
      </c>
      <c r="Q6" s="4" t="s">
        <v>5</v>
      </c>
      <c r="R6" s="4" t="s">
        <v>5</v>
      </c>
      <c r="S6" s="10" t="s">
        <v>6</v>
      </c>
      <c r="T6" s="12" t="s">
        <v>756</v>
      </c>
      <c r="U6" s="12" t="s">
        <v>757</v>
      </c>
      <c r="V6" s="12" t="s">
        <v>758</v>
      </c>
      <c r="W6" s="12" t="s">
        <v>755</v>
      </c>
      <c r="X6" s="12" t="s">
        <v>756</v>
      </c>
    </row>
    <row r="7" spans="1:24" x14ac:dyDescent="0.25">
      <c r="A7" s="6" t="s">
        <v>408</v>
      </c>
      <c r="B7" s="209">
        <v>3151031091.75</v>
      </c>
      <c r="C7" s="209">
        <v>3267365183.5299997</v>
      </c>
      <c r="D7" s="209">
        <v>3290340507.1500001</v>
      </c>
      <c r="E7" s="8">
        <f>D8</f>
        <v>3439721723.9900002</v>
      </c>
      <c r="F7" s="5">
        <v>8687224778.3999996</v>
      </c>
      <c r="G7" s="5">
        <v>2615306392.8499999</v>
      </c>
      <c r="H7" s="5">
        <v>2896604515.9500003</v>
      </c>
      <c r="I7" s="5">
        <v>3175313869.5999999</v>
      </c>
      <c r="J7" s="5">
        <v>20152569395.170002</v>
      </c>
      <c r="K7" s="5">
        <v>2144113910.8800001</v>
      </c>
      <c r="L7" s="5">
        <v>2456839395.6399999</v>
      </c>
      <c r="M7" s="5">
        <v>2716488403.77</v>
      </c>
      <c r="N7" s="5">
        <v>2904390234.04</v>
      </c>
      <c r="O7" s="5">
        <v>2265246015.3400002</v>
      </c>
      <c r="P7" s="5">
        <v>2121767719.9000001</v>
      </c>
      <c r="Q7" s="5">
        <v>2637847615.5900002</v>
      </c>
      <c r="R7" s="5">
        <v>2905876100.0099998</v>
      </c>
      <c r="S7" s="5">
        <v>28839794173.57</v>
      </c>
      <c r="T7" s="13">
        <f>E7/B7*100-100</f>
        <v>9.1617830428854603</v>
      </c>
      <c r="U7" s="13">
        <f>C7/B7*100-100</f>
        <v>3.6919372863246167</v>
      </c>
      <c r="V7" s="13">
        <f>E7/C7*100-100</f>
        <v>5.2750926443364392</v>
      </c>
      <c r="W7" s="13">
        <f>E7/D7*100-100</f>
        <v>4.5399926395274406</v>
      </c>
      <c r="X7" s="13">
        <f>E7/B7*100-100</f>
        <v>9.1617830428854603</v>
      </c>
    </row>
    <row r="8" spans="1:24" x14ac:dyDescent="0.25">
      <c r="A8" s="6" t="s">
        <v>409</v>
      </c>
      <c r="B8" s="209">
        <v>2935529745.6600003</v>
      </c>
      <c r="C8" s="209">
        <v>3049363775.9200001</v>
      </c>
      <c r="D8" s="209">
        <v>3439721723.9900002</v>
      </c>
      <c r="E8" s="176">
        <f>E7</f>
        <v>3439721723.9900002</v>
      </c>
      <c r="T8" s="13">
        <f>E8/B8*100-100</f>
        <v>17.175502277754688</v>
      </c>
      <c r="U8" s="13">
        <f>C8/B8*100-100</f>
        <v>3.8778019683941523</v>
      </c>
      <c r="V8" s="13">
        <f>E8/C8*100-100</f>
        <v>12.801291572771703</v>
      </c>
      <c r="W8" s="13"/>
      <c r="X8" s="13">
        <f>E8/B8*100-100</f>
        <v>17.175502277754688</v>
      </c>
    </row>
    <row r="10" spans="1:24" x14ac:dyDescent="0.25">
      <c r="A10" s="6" t="s">
        <v>408</v>
      </c>
      <c r="B10" s="209">
        <v>-265405080.78</v>
      </c>
      <c r="C10" s="209">
        <v>-146010549.06</v>
      </c>
      <c r="D10" s="209">
        <v>-105565235.36</v>
      </c>
      <c r="E10" s="8">
        <f>D11</f>
        <v>-30640705.010000002</v>
      </c>
      <c r="F10" s="5">
        <v>195127404.34</v>
      </c>
      <c r="G10" s="5">
        <v>-43373945</v>
      </c>
      <c r="H10" s="5">
        <v>136918160.94999999</v>
      </c>
      <c r="I10" s="5">
        <v>101583188.39</v>
      </c>
      <c r="J10" s="5">
        <v>73135306.730000004</v>
      </c>
      <c r="K10" s="5">
        <v>-158582411.40000001</v>
      </c>
      <c r="L10" s="5">
        <v>101584109.61</v>
      </c>
      <c r="M10" s="5">
        <v>62525994.619999997</v>
      </c>
      <c r="N10" s="5">
        <v>61970031.549999997</v>
      </c>
      <c r="O10" s="5">
        <v>-161070984</v>
      </c>
      <c r="P10" s="5">
        <v>-74718186.030000001</v>
      </c>
      <c r="Q10" s="5">
        <v>128322639.56</v>
      </c>
      <c r="R10" s="5">
        <v>113104112.81999999</v>
      </c>
      <c r="S10" s="5">
        <v>268262711.06999999</v>
      </c>
      <c r="T10" s="13">
        <f>(E10/B10*100-100)*-1</f>
        <v>88.455117392647523</v>
      </c>
      <c r="U10" s="13">
        <f>(C10/B10*100-100)*-1</f>
        <v>44.985774714301229</v>
      </c>
      <c r="V10" s="13">
        <f>(E10/C10*100-100)*-1</f>
        <v>79.014732012678863</v>
      </c>
      <c r="W10" s="13">
        <f>(E10/D10*100-100)*-1</f>
        <v>70.974625400579413</v>
      </c>
      <c r="X10" s="13">
        <f>(E10/B10*100-100)*-1</f>
        <v>88.455117392647523</v>
      </c>
    </row>
    <row r="11" spans="1:24" x14ac:dyDescent="0.25">
      <c r="A11" s="6" t="s">
        <v>409</v>
      </c>
      <c r="B11" s="209">
        <v>-197734141.96000001</v>
      </c>
      <c r="C11" s="209">
        <v>-135902443.86000001</v>
      </c>
      <c r="D11" s="209">
        <v>-30640705.010000002</v>
      </c>
      <c r="E11" s="176">
        <f>E10</f>
        <v>-30640705.010000002</v>
      </c>
      <c r="T11" s="13">
        <f>(E11/B11*100-100)*-1</f>
        <v>84.504089831791234</v>
      </c>
      <c r="U11" s="13">
        <f>(C11/B11*100-100)*-1</f>
        <v>31.270117283290432</v>
      </c>
      <c r="V11" s="13">
        <f>(E11/C11*100-100)*-1</f>
        <v>77.453896972180615</v>
      </c>
      <c r="X11" s="13">
        <f>(E11/B11*100-100)*-1</f>
        <v>84.504089831791234</v>
      </c>
    </row>
    <row r="12" spans="1:24" x14ac:dyDescent="0.25">
      <c r="B12" s="176"/>
    </row>
    <row r="31" spans="22:26" ht="15.75" thickBot="1" x14ac:dyDescent="0.3"/>
    <row r="32" spans="22:26" ht="18" x14ac:dyDescent="0.25">
      <c r="V32" s="188"/>
      <c r="W32" s="403" t="s">
        <v>275</v>
      </c>
      <c r="X32" s="404"/>
      <c r="Y32" s="404"/>
      <c r="Z32" s="405"/>
    </row>
    <row r="33" spans="22:26" ht="72" x14ac:dyDescent="0.25">
      <c r="V33" s="188"/>
      <c r="W33" s="177" t="s">
        <v>410</v>
      </c>
      <c r="X33" s="178" t="s">
        <v>411</v>
      </c>
      <c r="Y33" s="178" t="s">
        <v>767</v>
      </c>
      <c r="Z33" s="179" t="s">
        <v>412</v>
      </c>
    </row>
    <row r="34" spans="22:26" ht="18.75" thickBot="1" x14ac:dyDescent="0.3">
      <c r="V34" s="188"/>
      <c r="W34" s="180">
        <f>'[1]январь-апрель'!$Y$104</f>
        <v>-250519</v>
      </c>
      <c r="X34" s="181">
        <f>'[1]январь-апрель'!$Z$104</f>
        <v>-27345.858160000102</v>
      </c>
      <c r="Y34" s="182">
        <f>(X34/W34*100-100)*-1</f>
        <v>89.084317692470393</v>
      </c>
      <c r="Z34" s="183">
        <f>X34-W34</f>
        <v>223173.14183999991</v>
      </c>
    </row>
    <row r="35" spans="22:26" ht="18.75" thickBot="1" x14ac:dyDescent="0.3">
      <c r="V35" s="188"/>
      <c r="W35" s="180">
        <f>D10/1000</f>
        <v>-105565.23536000001</v>
      </c>
      <c r="X35" s="181">
        <f>E10/1000</f>
        <v>-30640.705010000001</v>
      </c>
      <c r="Y35" s="182">
        <f>(X35/W35*100-100)*-1</f>
        <v>70.974625400579413</v>
      </c>
      <c r="Z35" s="183">
        <f>X35-W35</f>
        <v>74924.530350000001</v>
      </c>
    </row>
    <row r="36" spans="22:26" ht="18" x14ac:dyDescent="0.25">
      <c r="V36" s="188"/>
      <c r="W36" s="406" t="s">
        <v>276</v>
      </c>
      <c r="X36" s="407"/>
      <c r="Y36" s="407"/>
      <c r="Z36" s="408"/>
    </row>
    <row r="37" spans="22:26" ht="72" x14ac:dyDescent="0.25">
      <c r="V37" s="188"/>
      <c r="W37" s="184" t="s">
        <v>410</v>
      </c>
      <c r="X37" s="185" t="s">
        <v>411</v>
      </c>
      <c r="Y37" s="185" t="s">
        <v>768</v>
      </c>
      <c r="Z37" s="186" t="s">
        <v>413</v>
      </c>
    </row>
    <row r="38" spans="22:26" ht="18.75" thickBot="1" x14ac:dyDescent="0.3">
      <c r="V38" s="188"/>
      <c r="W38" s="180">
        <f>'[1]январь-апрель'!$U$104</f>
        <v>6960899</v>
      </c>
      <c r="X38" s="181">
        <f>'[1]январь-апрель'!$V$104</f>
        <v>3402295.49499</v>
      </c>
      <c r="Y38" s="182">
        <f>X38/W38*100</f>
        <v>48.877242651990791</v>
      </c>
      <c r="Z38" s="183">
        <f>X38-W38</f>
        <v>-3558603.50501</v>
      </c>
    </row>
    <row r="39" spans="22:26" ht="18.75" thickBot="1" x14ac:dyDescent="0.3">
      <c r="V39" s="188"/>
      <c r="W39" s="180">
        <f>D7/1000</f>
        <v>3290340.50715</v>
      </c>
      <c r="X39" s="181">
        <f>D8/1000</f>
        <v>3439721.7239900003</v>
      </c>
      <c r="Y39" s="182">
        <f>X39/W39*100</f>
        <v>104.53999263952744</v>
      </c>
      <c r="Z39" s="183">
        <f>X39-W39</f>
        <v>149381.21684000036</v>
      </c>
    </row>
  </sheetData>
  <customSheetViews>
    <customSheetView guid="{38D37C3F-FD9B-4DF6-A86F-8343B05C36EA}" hiddenColumns="1">
      <pane xSplit="1" ySplit="6" topLeftCell="B7" activePane="bottomRight" state="frozen"/>
      <selection pane="bottomRight" activeCell="A33" sqref="A33"/>
      <pageMargins left="0.7" right="0.7" top="0.75" bottom="0.75" header="0.3" footer="0.3"/>
      <pageSetup paperSize="9" orientation="portrait" r:id="rId1"/>
    </customSheetView>
  </customSheetViews>
  <mergeCells count="2">
    <mergeCell ref="W32:Z32"/>
    <mergeCell ref="W36:Z36"/>
  </mergeCells>
  <conditionalFormatting sqref="Z34">
    <cfRule type="cellIs" dxfId="135" priority="5" stopIfTrue="1" operator="lessThan">
      <formula>0</formula>
    </cfRule>
  </conditionalFormatting>
  <conditionalFormatting sqref="Z35">
    <cfRule type="cellIs" dxfId="134" priority="1" stopIfTrue="1" operator="lessThan">
      <formula>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4" sqref="D14"/>
    </sheetView>
  </sheetViews>
  <sheetFormatPr defaultRowHeight="15" x14ac:dyDescent="0.25"/>
  <cols>
    <col min="1" max="1" width="49.5703125" customWidth="1"/>
    <col min="2" max="2" width="15.28515625" customWidth="1"/>
    <col min="3" max="3" width="12.85546875" customWidth="1"/>
    <col min="4" max="4" width="11.85546875" customWidth="1"/>
    <col min="5" max="5" width="31.5703125" customWidth="1"/>
    <col min="6" max="6" width="28.85546875" customWidth="1"/>
  </cols>
  <sheetData>
    <row r="1" spans="1:6" x14ac:dyDescent="0.25">
      <c r="A1" s="1"/>
      <c r="B1" s="1"/>
    </row>
    <row r="2" spans="1:6" ht="23.25" x14ac:dyDescent="0.25">
      <c r="A2" s="14" t="s">
        <v>0</v>
      </c>
      <c r="B2" s="14"/>
    </row>
    <row r="3" spans="1:6" x14ac:dyDescent="0.25">
      <c r="A3" s="1"/>
      <c r="B3" s="1"/>
    </row>
    <row r="4" spans="1:6" x14ac:dyDescent="0.25">
      <c r="A4" s="15" t="s">
        <v>1</v>
      </c>
      <c r="B4" s="15">
        <v>1000</v>
      </c>
    </row>
    <row r="5" spans="1:6" x14ac:dyDescent="0.25">
      <c r="A5" s="1"/>
      <c r="B5" s="1"/>
    </row>
    <row r="6" spans="1:6" x14ac:dyDescent="0.25">
      <c r="A6" s="21"/>
      <c r="B6" s="22" t="s">
        <v>375</v>
      </c>
      <c r="C6" s="22" t="s">
        <v>376</v>
      </c>
      <c r="D6" s="22" t="s">
        <v>377</v>
      </c>
      <c r="E6" s="11"/>
      <c r="F6" s="11"/>
    </row>
    <row r="7" spans="1:6" x14ac:dyDescent="0.25">
      <c r="A7" s="19" t="s">
        <v>357</v>
      </c>
      <c r="B7" s="17">
        <f>VLOOKUP(A7,'слайд 3 и 5'!$A$8:$D$15,4,0)/$B$4</f>
        <v>1944.1039206899998</v>
      </c>
      <c r="C7" s="17">
        <v>0</v>
      </c>
      <c r="D7" s="17">
        <v>0</v>
      </c>
      <c r="E7" s="20"/>
      <c r="F7" s="20"/>
    </row>
    <row r="8" spans="1:6" ht="22.5" x14ac:dyDescent="0.25">
      <c r="A8" s="19" t="s">
        <v>297</v>
      </c>
      <c r="B8" s="17">
        <f>VLOOKUP(A8,'слайд 3 и 5'!$A$8:$D$15,4,0)/$B$4</f>
        <v>875.51091902999997</v>
      </c>
      <c r="C8" s="17">
        <f>данные!D26/$B$4</f>
        <v>509.54732511999998</v>
      </c>
      <c r="D8" s="17">
        <f>данные!D32/$B$4</f>
        <v>24.953726019999998</v>
      </c>
      <c r="E8" s="20" t="s">
        <v>298</v>
      </c>
      <c r="F8" s="20" t="str">
        <f>данные!A32</f>
        <v>УСС по Псковской области</v>
      </c>
    </row>
    <row r="9" spans="1:6" ht="22.5" x14ac:dyDescent="0.25">
      <c r="A9" s="19" t="s">
        <v>327</v>
      </c>
      <c r="B9" s="17">
        <f>VLOOKUP(A9,'слайд 3 и 5'!$A$8:$D$15,4,0)/$B$4</f>
        <v>744.7330914800001</v>
      </c>
      <c r="C9" s="17">
        <f>данные!D58/$B$4</f>
        <v>208.46791209</v>
      </c>
      <c r="D9" s="17">
        <f>данные!D63/B4</f>
        <v>18.423898579999996</v>
      </c>
      <c r="E9" s="20" t="str">
        <f>данные!A58</f>
        <v>УСС по Свердловской области</v>
      </c>
      <c r="F9" s="20" t="str">
        <f>данные!A63</f>
        <v>УСС по Республике Коми</v>
      </c>
    </row>
    <row r="10" spans="1:6" ht="22.5" x14ac:dyDescent="0.25">
      <c r="A10" s="19" t="s">
        <v>280</v>
      </c>
      <c r="B10" s="17">
        <f>VLOOKUP(A10,'слайд 3 и 5'!$A$8:$D$15,4,0)/$B$4</f>
        <v>646.41264230999991</v>
      </c>
      <c r="C10" s="17">
        <f>данные!D12/B4</f>
        <v>110.02046978</v>
      </c>
      <c r="D10" s="17">
        <f>данные!D18/B4</f>
        <v>11.677764210000001</v>
      </c>
      <c r="E10" s="20" t="str">
        <f>данные!A12</f>
        <v>УСС по Владимирской области</v>
      </c>
      <c r="F10" s="20" t="str">
        <f>данные!A18</f>
        <v>УСС по Орловской области</v>
      </c>
    </row>
    <row r="11" spans="1:6" x14ac:dyDescent="0.25">
      <c r="A11" s="19" t="s">
        <v>337</v>
      </c>
      <c r="B11" s="17">
        <f>VLOOKUP(A11,'слайд 3 и 5'!$A$8:$D$15,4,0)/$B$4</f>
        <v>570.52016610999999</v>
      </c>
      <c r="C11" s="17">
        <f>данные!D73/B4</f>
        <v>137.64667550000001</v>
      </c>
      <c r="D11" s="17">
        <f>данные!D75/B4</f>
        <v>15.86357361</v>
      </c>
      <c r="E11" s="20" t="str">
        <f>данные!A73</f>
        <v>УСС по Красноярскому краю</v>
      </c>
      <c r="F11" s="20" t="str">
        <f>данные!A75</f>
        <v>УСС по Республике Алтай</v>
      </c>
    </row>
    <row r="12" spans="1:6" ht="26.25" customHeight="1" x14ac:dyDescent="0.25">
      <c r="A12" s="19" t="s">
        <v>316</v>
      </c>
      <c r="B12" s="17">
        <f>VLOOKUP(A12,'слайд 3 и 5'!$A$8:$D$15,4,0)/$B$4</f>
        <v>450.78346025000002</v>
      </c>
      <c r="C12" s="17">
        <f>данные!D47/B4</f>
        <v>85.642448000000002</v>
      </c>
      <c r="D12" s="17">
        <f>данные!D51/B4</f>
        <v>9.4352036300000002</v>
      </c>
      <c r="E12" s="20" t="str">
        <f>данные!A47</f>
        <v>УСС по Нижегородской области</v>
      </c>
      <c r="F12" s="20" t="str">
        <f>данные!A51</f>
        <v>УСС по Республике Мордовия</v>
      </c>
    </row>
    <row r="13" spans="1:6" ht="22.5" x14ac:dyDescent="0.25">
      <c r="A13" s="19" t="s">
        <v>306</v>
      </c>
      <c r="B13" s="17">
        <f>VLOOKUP(A13,'слайд 3 и 5'!$A$8:$D$15,4,0)/$B$4</f>
        <v>454.01251432999999</v>
      </c>
      <c r="C13" s="17">
        <f>данные!D40/B4</f>
        <v>107.2190935</v>
      </c>
      <c r="D13" s="17">
        <f>данные!D36/B4</f>
        <v>14.42990099</v>
      </c>
      <c r="E13" s="20" t="str">
        <f>данные!A40</f>
        <v>УСС по Краснодарскому краю</v>
      </c>
      <c r="F13" s="20" t="str">
        <f>данные!A36</f>
        <v>УСС по Астраханской области</v>
      </c>
    </row>
    <row r="14" spans="1:6" x14ac:dyDescent="0.25">
      <c r="A14" s="147" t="s">
        <v>348</v>
      </c>
      <c r="B14" s="17">
        <f>VLOOKUP(A14,'слайд 3 и 5'!$A$8:$D$15,4,0)/$B$4</f>
        <v>453.09964322000002</v>
      </c>
      <c r="C14" s="17">
        <f>данные!D86/B4</f>
        <v>110.48755265000001</v>
      </c>
      <c r="D14" s="17">
        <f>данные!D83/1000</f>
        <v>34.339569609999998</v>
      </c>
      <c r="E14" s="11" t="str">
        <f>данные!A86</f>
        <v>УСС по Республике Саха (Якутия)</v>
      </c>
      <c r="F14" s="11" t="str">
        <f>данные!A83</f>
        <v>УСС по Магаданской области</v>
      </c>
    </row>
    <row r="15" spans="1:6" x14ac:dyDescent="0.25">
      <c r="A15" s="147"/>
    </row>
  </sheetData>
  <autoFilter ref="A6:D14">
    <sortState ref="A7:D14">
      <sortCondition descending="1" ref="B6:B14"/>
    </sortState>
  </autoFilter>
  <customSheetViews>
    <customSheetView guid="{38D37C3F-FD9B-4DF6-A86F-8343B05C36EA}" showAutoFilter="1" topLeftCell="A4">
      <selection activeCell="D14" sqref="D14"/>
      <pageMargins left="0.7" right="0.7" top="0.75" bottom="0.75" header="0.3" footer="0.3"/>
      <pageSetup paperSize="9" orientation="portrait" r:id="rId1"/>
      <autoFilter ref="A6:D6">
        <sortState ref="A7:D14">
          <sortCondition descending="1" ref="B6"/>
        </sortState>
      </autoFilter>
    </customSheetView>
  </customSheetView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3"/>
  <sheetViews>
    <sheetView topLeftCell="B25" workbookViewId="0">
      <selection activeCell="D5" sqref="D5"/>
    </sheetView>
  </sheetViews>
  <sheetFormatPr defaultRowHeight="15" x14ac:dyDescent="0.25"/>
  <cols>
    <col min="1" max="1" width="43.42578125" customWidth="1"/>
    <col min="3" max="3" width="12.42578125" bestFit="1" customWidth="1"/>
    <col min="4" max="4" width="43.140625" customWidth="1"/>
  </cols>
  <sheetData>
    <row r="1" spans="1:12" ht="15.75" x14ac:dyDescent="0.25">
      <c r="A1" s="148" t="s">
        <v>415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 ht="56.25" x14ac:dyDescent="0.25">
      <c r="A3" s="150" t="s">
        <v>416</v>
      </c>
      <c r="B3" s="150" t="s">
        <v>417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2" x14ac:dyDescent="0.2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 ht="225" x14ac:dyDescent="0.25">
      <c r="A5" s="150" t="s">
        <v>1</v>
      </c>
      <c r="B5" s="150" t="s">
        <v>418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12" x14ac:dyDescent="0.25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</row>
    <row r="7" spans="1:12" x14ac:dyDescent="0.25">
      <c r="A7" s="158" t="s">
        <v>419</v>
      </c>
      <c r="B7" s="159" t="s">
        <v>420</v>
      </c>
      <c r="C7" s="159" t="s">
        <v>421</v>
      </c>
      <c r="D7" s="160" t="s">
        <v>422</v>
      </c>
      <c r="E7" s="443" t="s">
        <v>423</v>
      </c>
      <c r="F7" s="443"/>
      <c r="G7" s="443"/>
      <c r="H7" s="444" t="s">
        <v>424</v>
      </c>
      <c r="I7" s="444"/>
      <c r="J7" s="444"/>
      <c r="K7" s="442" t="s">
        <v>425</v>
      </c>
      <c r="L7" s="442"/>
    </row>
    <row r="8" spans="1:12" ht="180" x14ac:dyDescent="0.25">
      <c r="A8" s="151" t="s">
        <v>426</v>
      </c>
      <c r="B8" s="152" t="s">
        <v>427</v>
      </c>
      <c r="C8" s="152" t="s">
        <v>428</v>
      </c>
      <c r="D8" s="152" t="s">
        <v>429</v>
      </c>
      <c r="E8" s="153" t="s">
        <v>430</v>
      </c>
      <c r="F8" s="435">
        <v>400</v>
      </c>
      <c r="G8" s="435"/>
      <c r="H8" s="153" t="s">
        <v>431</v>
      </c>
      <c r="I8" s="436"/>
      <c r="J8" s="436"/>
      <c r="K8" s="154"/>
      <c r="L8" s="155"/>
    </row>
    <row r="9" spans="1:12" ht="180" x14ac:dyDescent="0.25">
      <c r="A9" s="151" t="s">
        <v>426</v>
      </c>
      <c r="B9" s="152" t="s">
        <v>427</v>
      </c>
      <c r="C9" s="152" t="s">
        <v>428</v>
      </c>
      <c r="D9" s="152" t="s">
        <v>429</v>
      </c>
      <c r="E9" s="153" t="s">
        <v>430</v>
      </c>
      <c r="F9" s="435">
        <v>350</v>
      </c>
      <c r="G9" s="435"/>
      <c r="H9" s="153" t="s">
        <v>431</v>
      </c>
      <c r="I9" s="436"/>
      <c r="J9" s="436"/>
      <c r="K9" s="154"/>
      <c r="L9" s="155"/>
    </row>
    <row r="10" spans="1:12" ht="180" x14ac:dyDescent="0.25">
      <c r="A10" s="151" t="s">
        <v>426</v>
      </c>
      <c r="B10" s="152" t="s">
        <v>427</v>
      </c>
      <c r="C10" s="152" t="s">
        <v>428</v>
      </c>
      <c r="D10" s="152" t="s">
        <v>429</v>
      </c>
      <c r="E10" s="153" t="s">
        <v>430</v>
      </c>
      <c r="F10" s="435">
        <v>800</v>
      </c>
      <c r="G10" s="435"/>
      <c r="H10" s="153" t="s">
        <v>431</v>
      </c>
      <c r="I10" s="436"/>
      <c r="J10" s="436"/>
      <c r="K10" s="154"/>
      <c r="L10" s="155"/>
    </row>
    <row r="11" spans="1:12" ht="180" x14ac:dyDescent="0.25">
      <c r="A11" s="151" t="s">
        <v>426</v>
      </c>
      <c r="B11" s="152" t="s">
        <v>427</v>
      </c>
      <c r="C11" s="152" t="s">
        <v>428</v>
      </c>
      <c r="D11" s="152" t="s">
        <v>429</v>
      </c>
      <c r="E11" s="153" t="s">
        <v>430</v>
      </c>
      <c r="F11" s="435">
        <v>250</v>
      </c>
      <c r="G11" s="435"/>
      <c r="H11" s="153" t="s">
        <v>431</v>
      </c>
      <c r="I11" s="436"/>
      <c r="J11" s="436"/>
      <c r="K11" s="154"/>
      <c r="L11" s="155"/>
    </row>
    <row r="12" spans="1:12" ht="180" x14ac:dyDescent="0.25">
      <c r="A12" s="151" t="s">
        <v>426</v>
      </c>
      <c r="B12" s="152" t="s">
        <v>427</v>
      </c>
      <c r="C12" s="152" t="s">
        <v>428</v>
      </c>
      <c r="D12" s="152" t="s">
        <v>429</v>
      </c>
      <c r="E12" s="153" t="s">
        <v>430</v>
      </c>
      <c r="F12" s="435">
        <v>350</v>
      </c>
      <c r="G12" s="435"/>
      <c r="H12" s="153" t="s">
        <v>431</v>
      </c>
      <c r="I12" s="436"/>
      <c r="J12" s="436"/>
      <c r="K12" s="154"/>
      <c r="L12" s="155"/>
    </row>
    <row r="13" spans="1:12" ht="180" x14ac:dyDescent="0.25">
      <c r="A13" s="151" t="s">
        <v>426</v>
      </c>
      <c r="B13" s="152" t="s">
        <v>427</v>
      </c>
      <c r="C13" s="152" t="s">
        <v>428</v>
      </c>
      <c r="D13" s="152" t="s">
        <v>429</v>
      </c>
      <c r="E13" s="153" t="s">
        <v>430</v>
      </c>
      <c r="F13" s="435">
        <v>350</v>
      </c>
      <c r="G13" s="435"/>
      <c r="H13" s="153" t="s">
        <v>431</v>
      </c>
      <c r="I13" s="436"/>
      <c r="J13" s="436"/>
      <c r="K13" s="154"/>
      <c r="L13" s="155"/>
    </row>
    <row r="14" spans="1:12" ht="180" x14ac:dyDescent="0.25">
      <c r="A14" s="151" t="s">
        <v>426</v>
      </c>
      <c r="B14" s="152" t="s">
        <v>427</v>
      </c>
      <c r="C14" s="152" t="s">
        <v>428</v>
      </c>
      <c r="D14" s="152" t="s">
        <v>429</v>
      </c>
      <c r="E14" s="153" t="s">
        <v>430</v>
      </c>
      <c r="F14" s="435">
        <v>265</v>
      </c>
      <c r="G14" s="435"/>
      <c r="H14" s="153" t="s">
        <v>431</v>
      </c>
      <c r="I14" s="436"/>
      <c r="J14" s="436"/>
      <c r="K14" s="154"/>
      <c r="L14" s="155"/>
    </row>
    <row r="15" spans="1:12" ht="180" x14ac:dyDescent="0.25">
      <c r="A15" s="151" t="s">
        <v>426</v>
      </c>
      <c r="B15" s="152" t="s">
        <v>427</v>
      </c>
      <c r="C15" s="152" t="s">
        <v>428</v>
      </c>
      <c r="D15" s="152" t="s">
        <v>429</v>
      </c>
      <c r="E15" s="153" t="s">
        <v>430</v>
      </c>
      <c r="F15" s="435">
        <v>350</v>
      </c>
      <c r="G15" s="435"/>
      <c r="H15" s="153" t="s">
        <v>431</v>
      </c>
      <c r="I15" s="436"/>
      <c r="J15" s="436"/>
      <c r="K15" s="154"/>
      <c r="L15" s="155"/>
    </row>
    <row r="16" spans="1:12" ht="180" x14ac:dyDescent="0.25">
      <c r="A16" s="151" t="s">
        <v>426</v>
      </c>
      <c r="B16" s="152" t="s">
        <v>427</v>
      </c>
      <c r="C16" s="152" t="s">
        <v>428</v>
      </c>
      <c r="D16" s="152" t="s">
        <v>429</v>
      </c>
      <c r="E16" s="153" t="s">
        <v>430</v>
      </c>
      <c r="F16" s="435">
        <v>350</v>
      </c>
      <c r="G16" s="435"/>
      <c r="H16" s="153" t="s">
        <v>431</v>
      </c>
      <c r="I16" s="436"/>
      <c r="J16" s="436"/>
      <c r="K16" s="154"/>
      <c r="L16" s="155"/>
    </row>
    <row r="17" spans="1:12" ht="180" x14ac:dyDescent="0.25">
      <c r="A17" s="151" t="s">
        <v>426</v>
      </c>
      <c r="B17" s="152" t="s">
        <v>427</v>
      </c>
      <c r="C17" s="152" t="s">
        <v>428</v>
      </c>
      <c r="D17" s="152" t="s">
        <v>429</v>
      </c>
      <c r="E17" s="153" t="s">
        <v>430</v>
      </c>
      <c r="F17" s="435">
        <v>400</v>
      </c>
      <c r="G17" s="435"/>
      <c r="H17" s="153" t="s">
        <v>431</v>
      </c>
      <c r="I17" s="436"/>
      <c r="J17" s="436"/>
      <c r="K17" s="154"/>
      <c r="L17" s="155"/>
    </row>
    <row r="18" spans="1:12" ht="180" x14ac:dyDescent="0.25">
      <c r="A18" s="151" t="s">
        <v>426</v>
      </c>
      <c r="B18" s="152" t="s">
        <v>427</v>
      </c>
      <c r="C18" s="152" t="s">
        <v>428</v>
      </c>
      <c r="D18" s="152" t="s">
        <v>429</v>
      </c>
      <c r="E18" s="153" t="s">
        <v>430</v>
      </c>
      <c r="F18" s="435">
        <v>460</v>
      </c>
      <c r="G18" s="435"/>
      <c r="H18" s="153" t="s">
        <v>431</v>
      </c>
      <c r="I18" s="436"/>
      <c r="J18" s="436"/>
      <c r="K18" s="154"/>
      <c r="L18" s="155"/>
    </row>
    <row r="19" spans="1:12" ht="252" x14ac:dyDescent="0.25">
      <c r="A19" s="151" t="s">
        <v>426</v>
      </c>
      <c r="B19" s="152" t="s">
        <v>432</v>
      </c>
      <c r="C19" s="152" t="s">
        <v>428</v>
      </c>
      <c r="D19" s="152" t="s">
        <v>433</v>
      </c>
      <c r="E19" s="153" t="s">
        <v>430</v>
      </c>
      <c r="F19" s="440">
        <v>1662.5</v>
      </c>
      <c r="G19" s="440"/>
      <c r="H19" s="153" t="s">
        <v>431</v>
      </c>
      <c r="I19" s="436"/>
      <c r="J19" s="436"/>
      <c r="K19" s="154"/>
      <c r="L19" s="155"/>
    </row>
    <row r="20" spans="1:12" ht="240" x14ac:dyDescent="0.25">
      <c r="A20" s="151" t="s">
        <v>426</v>
      </c>
      <c r="B20" s="152" t="s">
        <v>434</v>
      </c>
      <c r="C20" s="152" t="s">
        <v>428</v>
      </c>
      <c r="D20" s="152" t="s">
        <v>433</v>
      </c>
      <c r="E20" s="153" t="s">
        <v>430</v>
      </c>
      <c r="F20" s="440">
        <v>1266.67</v>
      </c>
      <c r="G20" s="440"/>
      <c r="H20" s="153" t="s">
        <v>431</v>
      </c>
      <c r="I20" s="436"/>
      <c r="J20" s="436"/>
      <c r="K20" s="154"/>
      <c r="L20" s="155"/>
    </row>
    <row r="21" spans="1:12" ht="192" x14ac:dyDescent="0.25">
      <c r="A21" s="151" t="s">
        <v>426</v>
      </c>
      <c r="B21" s="152" t="s">
        <v>435</v>
      </c>
      <c r="C21" s="152" t="s">
        <v>428</v>
      </c>
      <c r="D21" s="152" t="s">
        <v>436</v>
      </c>
      <c r="E21" s="153" t="s">
        <v>430</v>
      </c>
      <c r="F21" s="440">
        <v>13544.46</v>
      </c>
      <c r="G21" s="440"/>
      <c r="H21" s="153" t="s">
        <v>431</v>
      </c>
      <c r="I21" s="436"/>
      <c r="J21" s="436"/>
      <c r="K21" s="154"/>
      <c r="L21" s="155"/>
    </row>
    <row r="22" spans="1:12" ht="192" x14ac:dyDescent="0.25">
      <c r="A22" s="151" t="s">
        <v>426</v>
      </c>
      <c r="B22" s="152" t="s">
        <v>437</v>
      </c>
      <c r="C22" s="152" t="s">
        <v>428</v>
      </c>
      <c r="D22" s="152" t="s">
        <v>438</v>
      </c>
      <c r="E22" s="153" t="s">
        <v>430</v>
      </c>
      <c r="F22" s="435">
        <v>300</v>
      </c>
      <c r="G22" s="435"/>
      <c r="H22" s="153" t="s">
        <v>431</v>
      </c>
      <c r="I22" s="436"/>
      <c r="J22" s="436"/>
      <c r="K22" s="154"/>
      <c r="L22" s="155"/>
    </row>
    <row r="23" spans="1:12" ht="192" x14ac:dyDescent="0.25">
      <c r="A23" s="151" t="s">
        <v>426</v>
      </c>
      <c r="B23" s="152" t="s">
        <v>437</v>
      </c>
      <c r="C23" s="152" t="s">
        <v>428</v>
      </c>
      <c r="D23" s="152" t="s">
        <v>438</v>
      </c>
      <c r="E23" s="153" t="s">
        <v>430</v>
      </c>
      <c r="F23" s="435">
        <v>600</v>
      </c>
      <c r="G23" s="435"/>
      <c r="H23" s="153" t="s">
        <v>431</v>
      </c>
      <c r="I23" s="436"/>
      <c r="J23" s="436"/>
      <c r="K23" s="154"/>
      <c r="L23" s="155"/>
    </row>
    <row r="24" spans="1:12" ht="192" x14ac:dyDescent="0.25">
      <c r="A24" s="151" t="s">
        <v>426</v>
      </c>
      <c r="B24" s="152" t="s">
        <v>437</v>
      </c>
      <c r="C24" s="152" t="s">
        <v>428</v>
      </c>
      <c r="D24" s="152" t="s">
        <v>438</v>
      </c>
      <c r="E24" s="153" t="s">
        <v>430</v>
      </c>
      <c r="F24" s="435">
        <v>700</v>
      </c>
      <c r="G24" s="435"/>
      <c r="H24" s="153" t="s">
        <v>431</v>
      </c>
      <c r="I24" s="436"/>
      <c r="J24" s="436"/>
      <c r="K24" s="154"/>
      <c r="L24" s="155"/>
    </row>
    <row r="25" spans="1:12" ht="192" x14ac:dyDescent="0.25">
      <c r="A25" s="151" t="s">
        <v>426</v>
      </c>
      <c r="B25" s="152" t="s">
        <v>437</v>
      </c>
      <c r="C25" s="152" t="s">
        <v>428</v>
      </c>
      <c r="D25" s="152" t="s">
        <v>438</v>
      </c>
      <c r="E25" s="153" t="s">
        <v>430</v>
      </c>
      <c r="F25" s="435">
        <v>300</v>
      </c>
      <c r="G25" s="435"/>
      <c r="H25" s="153" t="s">
        <v>431</v>
      </c>
      <c r="I25" s="436"/>
      <c r="J25" s="436"/>
      <c r="K25" s="154"/>
      <c r="L25" s="155"/>
    </row>
    <row r="26" spans="1:12" ht="204" x14ac:dyDescent="0.25">
      <c r="A26" s="151" t="s">
        <v>426</v>
      </c>
      <c r="B26" s="152" t="s">
        <v>439</v>
      </c>
      <c r="C26" s="152" t="s">
        <v>428</v>
      </c>
      <c r="D26" s="152" t="s">
        <v>440</v>
      </c>
      <c r="E26" s="153" t="s">
        <v>430</v>
      </c>
      <c r="F26" s="435">
        <v>297</v>
      </c>
      <c r="G26" s="435"/>
      <c r="H26" s="153" t="s">
        <v>431</v>
      </c>
      <c r="I26" s="436"/>
      <c r="J26" s="436"/>
      <c r="K26" s="154"/>
      <c r="L26" s="155"/>
    </row>
    <row r="27" spans="1:12" ht="180" x14ac:dyDescent="0.25">
      <c r="A27" s="151" t="s">
        <v>441</v>
      </c>
      <c r="B27" s="152" t="s">
        <v>442</v>
      </c>
      <c r="C27" s="152" t="s">
        <v>428</v>
      </c>
      <c r="D27" s="152" t="s">
        <v>443</v>
      </c>
      <c r="E27" s="153" t="s">
        <v>430</v>
      </c>
      <c r="F27" s="440">
        <v>7965.55</v>
      </c>
      <c r="G27" s="440"/>
      <c r="H27" s="153" t="s">
        <v>431</v>
      </c>
      <c r="I27" s="436"/>
      <c r="J27" s="436"/>
      <c r="K27" s="154"/>
      <c r="L27" s="155"/>
    </row>
    <row r="28" spans="1:12" ht="180" x14ac:dyDescent="0.25">
      <c r="A28" s="151" t="s">
        <v>444</v>
      </c>
      <c r="B28" s="152" t="s">
        <v>445</v>
      </c>
      <c r="C28" s="152" t="s">
        <v>428</v>
      </c>
      <c r="D28" s="152" t="s">
        <v>446</v>
      </c>
      <c r="E28" s="153" t="s">
        <v>430</v>
      </c>
      <c r="F28" s="440">
        <v>14206.81</v>
      </c>
      <c r="G28" s="440"/>
      <c r="H28" s="153" t="s">
        <v>431</v>
      </c>
      <c r="I28" s="436"/>
      <c r="J28" s="436"/>
      <c r="K28" s="154"/>
      <c r="L28" s="155"/>
    </row>
    <row r="29" spans="1:12" ht="180" x14ac:dyDescent="0.25">
      <c r="A29" s="151" t="s">
        <v>444</v>
      </c>
      <c r="B29" s="152" t="s">
        <v>447</v>
      </c>
      <c r="C29" s="152" t="s">
        <v>428</v>
      </c>
      <c r="D29" s="152" t="s">
        <v>448</v>
      </c>
      <c r="E29" s="153" t="s">
        <v>430</v>
      </c>
      <c r="F29" s="440">
        <v>1106.5</v>
      </c>
      <c r="G29" s="440"/>
      <c r="H29" s="153" t="s">
        <v>431</v>
      </c>
      <c r="I29" s="436"/>
      <c r="J29" s="436"/>
      <c r="K29" s="154"/>
      <c r="L29" s="155"/>
    </row>
    <row r="30" spans="1:12" ht="180" x14ac:dyDescent="0.25">
      <c r="A30" s="151" t="s">
        <v>444</v>
      </c>
      <c r="B30" s="152" t="s">
        <v>449</v>
      </c>
      <c r="C30" s="152" t="s">
        <v>428</v>
      </c>
      <c r="D30" s="152" t="s">
        <v>450</v>
      </c>
      <c r="E30" s="153" t="s">
        <v>430</v>
      </c>
      <c r="F30" s="440">
        <v>2230.62</v>
      </c>
      <c r="G30" s="440"/>
      <c r="H30" s="153" t="s">
        <v>431</v>
      </c>
      <c r="I30" s="436"/>
      <c r="J30" s="436"/>
      <c r="K30" s="154"/>
      <c r="L30" s="155"/>
    </row>
    <row r="31" spans="1:12" ht="216" x14ac:dyDescent="0.25">
      <c r="A31" s="151" t="s">
        <v>451</v>
      </c>
      <c r="B31" s="152" t="s">
        <v>452</v>
      </c>
      <c r="C31" s="152" t="s">
        <v>453</v>
      </c>
      <c r="D31" s="152" t="s">
        <v>454</v>
      </c>
      <c r="E31" s="153" t="s">
        <v>430</v>
      </c>
      <c r="F31" s="435">
        <v>475</v>
      </c>
      <c r="G31" s="435"/>
      <c r="H31" s="153" t="s">
        <v>431</v>
      </c>
      <c r="I31" s="436"/>
      <c r="J31" s="436"/>
      <c r="K31" s="154"/>
      <c r="L31" s="155"/>
    </row>
    <row r="32" spans="1:12" ht="228" x14ac:dyDescent="0.25">
      <c r="A32" s="151" t="s">
        <v>451</v>
      </c>
      <c r="B32" s="152" t="s">
        <v>455</v>
      </c>
      <c r="C32" s="152" t="s">
        <v>453</v>
      </c>
      <c r="D32" s="152" t="s">
        <v>454</v>
      </c>
      <c r="E32" s="153" t="s">
        <v>430</v>
      </c>
      <c r="F32" s="440">
        <v>15390</v>
      </c>
      <c r="G32" s="440"/>
      <c r="H32" s="153" t="s">
        <v>431</v>
      </c>
      <c r="I32" s="436"/>
      <c r="J32" s="436"/>
      <c r="K32" s="154"/>
      <c r="L32" s="155"/>
    </row>
    <row r="33" spans="1:12" ht="204" x14ac:dyDescent="0.25">
      <c r="A33" s="151" t="s">
        <v>451</v>
      </c>
      <c r="B33" s="152" t="s">
        <v>456</v>
      </c>
      <c r="C33" s="152" t="s">
        <v>453</v>
      </c>
      <c r="D33" s="152" t="s">
        <v>457</v>
      </c>
      <c r="E33" s="153" t="s">
        <v>430</v>
      </c>
      <c r="F33" s="440">
        <v>1250</v>
      </c>
      <c r="G33" s="440"/>
      <c r="H33" s="153" t="s">
        <v>431</v>
      </c>
      <c r="I33" s="436"/>
      <c r="J33" s="436"/>
      <c r="K33" s="154"/>
      <c r="L33" s="155"/>
    </row>
    <row r="34" spans="1:12" ht="204" x14ac:dyDescent="0.25">
      <c r="A34" s="151" t="s">
        <v>451</v>
      </c>
      <c r="B34" s="152" t="s">
        <v>456</v>
      </c>
      <c r="C34" s="152" t="s">
        <v>453</v>
      </c>
      <c r="D34" s="152" t="s">
        <v>457</v>
      </c>
      <c r="E34" s="153" t="s">
        <v>430</v>
      </c>
      <c r="F34" s="440">
        <v>1000</v>
      </c>
      <c r="G34" s="440"/>
      <c r="H34" s="153" t="s">
        <v>431</v>
      </c>
      <c r="I34" s="436"/>
      <c r="J34" s="436"/>
      <c r="K34" s="154"/>
      <c r="L34" s="155"/>
    </row>
    <row r="35" spans="1:12" ht="204" x14ac:dyDescent="0.25">
      <c r="A35" s="151" t="s">
        <v>451</v>
      </c>
      <c r="B35" s="152" t="s">
        <v>456</v>
      </c>
      <c r="C35" s="152" t="s">
        <v>453</v>
      </c>
      <c r="D35" s="152" t="s">
        <v>457</v>
      </c>
      <c r="E35" s="153" t="s">
        <v>430</v>
      </c>
      <c r="F35" s="435">
        <v>950</v>
      </c>
      <c r="G35" s="435"/>
      <c r="H35" s="153" t="s">
        <v>431</v>
      </c>
      <c r="I35" s="436"/>
      <c r="J35" s="436"/>
      <c r="K35" s="154"/>
      <c r="L35" s="155"/>
    </row>
    <row r="36" spans="1:12" ht="204" x14ac:dyDescent="0.25">
      <c r="A36" s="151" t="s">
        <v>451</v>
      </c>
      <c r="B36" s="152" t="s">
        <v>456</v>
      </c>
      <c r="C36" s="152" t="s">
        <v>453</v>
      </c>
      <c r="D36" s="152" t="s">
        <v>457</v>
      </c>
      <c r="E36" s="153" t="s">
        <v>430</v>
      </c>
      <c r="F36" s="435">
        <v>950</v>
      </c>
      <c r="G36" s="435"/>
      <c r="H36" s="153" t="s">
        <v>431</v>
      </c>
      <c r="I36" s="436"/>
      <c r="J36" s="436"/>
      <c r="K36" s="154"/>
      <c r="L36" s="155"/>
    </row>
    <row r="37" spans="1:12" ht="204" x14ac:dyDescent="0.25">
      <c r="A37" s="151" t="s">
        <v>451</v>
      </c>
      <c r="B37" s="152" t="s">
        <v>456</v>
      </c>
      <c r="C37" s="152" t="s">
        <v>453</v>
      </c>
      <c r="D37" s="152" t="s">
        <v>457</v>
      </c>
      <c r="E37" s="153" t="s">
        <v>430</v>
      </c>
      <c r="F37" s="435">
        <v>450</v>
      </c>
      <c r="G37" s="435"/>
      <c r="H37" s="153" t="s">
        <v>431</v>
      </c>
      <c r="I37" s="436"/>
      <c r="J37" s="436"/>
      <c r="K37" s="154"/>
      <c r="L37" s="155"/>
    </row>
    <row r="38" spans="1:12" ht="204" x14ac:dyDescent="0.25">
      <c r="A38" s="151" t="s">
        <v>451</v>
      </c>
      <c r="B38" s="152" t="s">
        <v>456</v>
      </c>
      <c r="C38" s="152" t="s">
        <v>453</v>
      </c>
      <c r="D38" s="152" t="s">
        <v>457</v>
      </c>
      <c r="E38" s="153" t="s">
        <v>430</v>
      </c>
      <c r="F38" s="435">
        <v>100</v>
      </c>
      <c r="G38" s="435"/>
      <c r="H38" s="153" t="s">
        <v>431</v>
      </c>
      <c r="I38" s="436"/>
      <c r="J38" s="436"/>
      <c r="K38" s="154"/>
      <c r="L38" s="155"/>
    </row>
    <row r="39" spans="1:12" ht="192" x14ac:dyDescent="0.25">
      <c r="A39" s="151" t="s">
        <v>451</v>
      </c>
      <c r="B39" s="152" t="s">
        <v>458</v>
      </c>
      <c r="C39" s="152" t="s">
        <v>453</v>
      </c>
      <c r="D39" s="152" t="s">
        <v>459</v>
      </c>
      <c r="E39" s="153" t="s">
        <v>430</v>
      </c>
      <c r="F39" s="440">
        <v>6050</v>
      </c>
      <c r="G39" s="440"/>
      <c r="H39" s="153" t="s">
        <v>431</v>
      </c>
      <c r="I39" s="436"/>
      <c r="J39" s="436"/>
      <c r="K39" s="154"/>
      <c r="L39" s="155"/>
    </row>
    <row r="40" spans="1:12" ht="192" x14ac:dyDescent="0.25">
      <c r="A40" s="151" t="s">
        <v>460</v>
      </c>
      <c r="B40" s="152" t="s">
        <v>461</v>
      </c>
      <c r="C40" s="152" t="s">
        <v>428</v>
      </c>
      <c r="D40" s="152" t="s">
        <v>462</v>
      </c>
      <c r="E40" s="153" t="s">
        <v>430</v>
      </c>
      <c r="F40" s="440">
        <v>4511.74</v>
      </c>
      <c r="G40" s="440"/>
      <c r="H40" s="153" t="s">
        <v>431</v>
      </c>
      <c r="I40" s="436"/>
      <c r="J40" s="436"/>
      <c r="K40" s="154"/>
      <c r="L40" s="155"/>
    </row>
    <row r="41" spans="1:12" ht="192" x14ac:dyDescent="0.25">
      <c r="A41" s="151" t="s">
        <v>460</v>
      </c>
      <c r="B41" s="152" t="s">
        <v>463</v>
      </c>
      <c r="C41" s="152" t="s">
        <v>428</v>
      </c>
      <c r="D41" s="152" t="s">
        <v>464</v>
      </c>
      <c r="E41" s="153" t="s">
        <v>430</v>
      </c>
      <c r="F41" s="440">
        <v>30026.2</v>
      </c>
      <c r="G41" s="440"/>
      <c r="H41" s="153" t="s">
        <v>431</v>
      </c>
      <c r="I41" s="436"/>
      <c r="J41" s="436"/>
      <c r="K41" s="154"/>
      <c r="L41" s="155"/>
    </row>
    <row r="42" spans="1:12" ht="192" x14ac:dyDescent="0.25">
      <c r="A42" s="151" t="s">
        <v>460</v>
      </c>
      <c r="B42" s="152" t="s">
        <v>465</v>
      </c>
      <c r="C42" s="152" t="s">
        <v>428</v>
      </c>
      <c r="D42" s="152" t="s">
        <v>466</v>
      </c>
      <c r="E42" s="153" t="s">
        <v>430</v>
      </c>
      <c r="F42" s="440">
        <v>58461.43</v>
      </c>
      <c r="G42" s="440"/>
      <c r="H42" s="153" t="s">
        <v>431</v>
      </c>
      <c r="I42" s="436"/>
      <c r="J42" s="436"/>
      <c r="K42" s="154"/>
      <c r="L42" s="155"/>
    </row>
    <row r="43" spans="1:12" ht="252" x14ac:dyDescent="0.25">
      <c r="A43" s="151" t="s">
        <v>467</v>
      </c>
      <c r="B43" s="152" t="s">
        <v>468</v>
      </c>
      <c r="C43" s="152" t="s">
        <v>453</v>
      </c>
      <c r="D43" s="152" t="s">
        <v>469</v>
      </c>
      <c r="E43" s="153" t="s">
        <v>430</v>
      </c>
      <c r="F43" s="440">
        <v>8291.5</v>
      </c>
      <c r="G43" s="440"/>
      <c r="H43" s="153" t="s">
        <v>431</v>
      </c>
      <c r="I43" s="436"/>
      <c r="J43" s="436"/>
      <c r="K43" s="154"/>
      <c r="L43" s="155"/>
    </row>
    <row r="44" spans="1:12" ht="252" x14ac:dyDescent="0.25">
      <c r="A44" s="151" t="s">
        <v>467</v>
      </c>
      <c r="B44" s="152" t="s">
        <v>468</v>
      </c>
      <c r="C44" s="152" t="s">
        <v>453</v>
      </c>
      <c r="D44" s="152" t="s">
        <v>469</v>
      </c>
      <c r="E44" s="153" t="s">
        <v>430</v>
      </c>
      <c r="F44" s="440">
        <v>3250</v>
      </c>
      <c r="G44" s="440"/>
      <c r="H44" s="153" t="s">
        <v>431</v>
      </c>
      <c r="I44" s="436"/>
      <c r="J44" s="436"/>
      <c r="K44" s="154"/>
      <c r="L44" s="155"/>
    </row>
    <row r="45" spans="1:12" ht="252" x14ac:dyDescent="0.25">
      <c r="A45" s="151" t="s">
        <v>467</v>
      </c>
      <c r="B45" s="152" t="s">
        <v>468</v>
      </c>
      <c r="C45" s="152" t="s">
        <v>453</v>
      </c>
      <c r="D45" s="152" t="s">
        <v>469</v>
      </c>
      <c r="E45" s="153" t="s">
        <v>430</v>
      </c>
      <c r="F45" s="440">
        <v>4800</v>
      </c>
      <c r="G45" s="440"/>
      <c r="H45" s="153" t="s">
        <v>431</v>
      </c>
      <c r="I45" s="436"/>
      <c r="J45" s="436"/>
      <c r="K45" s="154"/>
      <c r="L45" s="155"/>
    </row>
    <row r="46" spans="1:12" ht="192" x14ac:dyDescent="0.25">
      <c r="A46" s="151" t="s">
        <v>470</v>
      </c>
      <c r="B46" s="152" t="s">
        <v>471</v>
      </c>
      <c r="C46" s="152" t="s">
        <v>453</v>
      </c>
      <c r="D46" s="152" t="s">
        <v>472</v>
      </c>
      <c r="E46" s="153" t="s">
        <v>430</v>
      </c>
      <c r="F46" s="440">
        <v>7496.42</v>
      </c>
      <c r="G46" s="440"/>
      <c r="H46" s="153" t="s">
        <v>431</v>
      </c>
      <c r="I46" s="436"/>
      <c r="J46" s="436"/>
      <c r="K46" s="154"/>
      <c r="L46" s="155"/>
    </row>
    <row r="47" spans="1:12" ht="192" x14ac:dyDescent="0.25">
      <c r="A47" s="151" t="s">
        <v>470</v>
      </c>
      <c r="B47" s="152" t="s">
        <v>473</v>
      </c>
      <c r="C47" s="152" t="s">
        <v>453</v>
      </c>
      <c r="D47" s="152" t="s">
        <v>474</v>
      </c>
      <c r="E47" s="153" t="s">
        <v>430</v>
      </c>
      <c r="F47" s="440">
        <v>5498.08</v>
      </c>
      <c r="G47" s="440"/>
      <c r="H47" s="153" t="s">
        <v>431</v>
      </c>
      <c r="I47" s="436"/>
      <c r="J47" s="436"/>
      <c r="K47" s="154"/>
      <c r="L47" s="155"/>
    </row>
    <row r="48" spans="1:12" ht="228" x14ac:dyDescent="0.25">
      <c r="A48" s="151" t="s">
        <v>475</v>
      </c>
      <c r="B48" s="152" t="s">
        <v>476</v>
      </c>
      <c r="C48" s="152" t="s">
        <v>477</v>
      </c>
      <c r="D48" s="152" t="s">
        <v>478</v>
      </c>
      <c r="E48" s="153" t="s">
        <v>430</v>
      </c>
      <c r="F48" s="435">
        <v>63.88</v>
      </c>
      <c r="G48" s="435"/>
      <c r="H48" s="153" t="s">
        <v>431</v>
      </c>
      <c r="I48" s="436"/>
      <c r="J48" s="436"/>
      <c r="K48" s="154"/>
      <c r="L48" s="155"/>
    </row>
    <row r="49" spans="1:12" ht="216" x14ac:dyDescent="0.25">
      <c r="A49" s="151" t="s">
        <v>475</v>
      </c>
      <c r="B49" s="152" t="s">
        <v>479</v>
      </c>
      <c r="C49" s="152" t="s">
        <v>477</v>
      </c>
      <c r="D49" s="152" t="s">
        <v>478</v>
      </c>
      <c r="E49" s="153" t="s">
        <v>430</v>
      </c>
      <c r="F49" s="435">
        <v>255.5</v>
      </c>
      <c r="G49" s="435"/>
      <c r="H49" s="153" t="s">
        <v>431</v>
      </c>
      <c r="I49" s="436"/>
      <c r="J49" s="436"/>
      <c r="K49" s="154"/>
      <c r="L49" s="155"/>
    </row>
    <row r="50" spans="1:12" ht="228" x14ac:dyDescent="0.25">
      <c r="A50" s="151" t="s">
        <v>475</v>
      </c>
      <c r="B50" s="152" t="s">
        <v>480</v>
      </c>
      <c r="C50" s="152" t="s">
        <v>477</v>
      </c>
      <c r="D50" s="152" t="s">
        <v>478</v>
      </c>
      <c r="E50" s="153" t="s">
        <v>430</v>
      </c>
      <c r="F50" s="435">
        <v>127.75</v>
      </c>
      <c r="G50" s="435"/>
      <c r="H50" s="153" t="s">
        <v>431</v>
      </c>
      <c r="I50" s="436"/>
      <c r="J50" s="436"/>
      <c r="K50" s="154"/>
      <c r="L50" s="155"/>
    </row>
    <row r="51" spans="1:12" ht="204" x14ac:dyDescent="0.25">
      <c r="A51" s="151" t="s">
        <v>475</v>
      </c>
      <c r="B51" s="152" t="s">
        <v>481</v>
      </c>
      <c r="C51" s="152" t="s">
        <v>477</v>
      </c>
      <c r="D51" s="152" t="s">
        <v>478</v>
      </c>
      <c r="E51" s="153" t="s">
        <v>430</v>
      </c>
      <c r="F51" s="435">
        <v>231.88</v>
      </c>
      <c r="G51" s="435"/>
      <c r="H51" s="153" t="s">
        <v>431</v>
      </c>
      <c r="I51" s="436"/>
      <c r="J51" s="436"/>
      <c r="K51" s="154"/>
      <c r="L51" s="155"/>
    </row>
    <row r="52" spans="1:12" ht="300" x14ac:dyDescent="0.25">
      <c r="A52" s="151" t="s">
        <v>475</v>
      </c>
      <c r="B52" s="152" t="s">
        <v>482</v>
      </c>
      <c r="C52" s="152" t="s">
        <v>477</v>
      </c>
      <c r="D52" s="152" t="s">
        <v>483</v>
      </c>
      <c r="E52" s="153" t="s">
        <v>430</v>
      </c>
      <c r="F52" s="440">
        <v>1194.8499999999999</v>
      </c>
      <c r="G52" s="440"/>
      <c r="H52" s="153" t="s">
        <v>431</v>
      </c>
      <c r="I52" s="436"/>
      <c r="J52" s="436"/>
      <c r="K52" s="154"/>
      <c r="L52" s="155"/>
    </row>
    <row r="53" spans="1:12" ht="252" x14ac:dyDescent="0.25">
      <c r="A53" s="151" t="s">
        <v>475</v>
      </c>
      <c r="B53" s="152" t="s">
        <v>484</v>
      </c>
      <c r="C53" s="152" t="s">
        <v>477</v>
      </c>
      <c r="D53" s="152" t="s">
        <v>485</v>
      </c>
      <c r="E53" s="153" t="s">
        <v>430</v>
      </c>
      <c r="F53" s="440">
        <v>54000</v>
      </c>
      <c r="G53" s="440"/>
      <c r="H53" s="153" t="s">
        <v>431</v>
      </c>
      <c r="I53" s="436"/>
      <c r="J53" s="436"/>
      <c r="K53" s="154"/>
      <c r="L53" s="155"/>
    </row>
    <row r="54" spans="1:12" ht="192" x14ac:dyDescent="0.25">
      <c r="A54" s="151" t="s">
        <v>475</v>
      </c>
      <c r="B54" s="152" t="s">
        <v>486</v>
      </c>
      <c r="C54" s="152" t="s">
        <v>453</v>
      </c>
      <c r="D54" s="152" t="s">
        <v>487</v>
      </c>
      <c r="E54" s="153" t="s">
        <v>430</v>
      </c>
      <c r="F54" s="435">
        <v>150</v>
      </c>
      <c r="G54" s="435"/>
      <c r="H54" s="153" t="s">
        <v>431</v>
      </c>
      <c r="I54" s="436"/>
      <c r="J54" s="436"/>
      <c r="K54" s="154"/>
      <c r="L54" s="155"/>
    </row>
    <row r="55" spans="1:12" ht="192" x14ac:dyDescent="0.25">
      <c r="A55" s="151" t="s">
        <v>475</v>
      </c>
      <c r="B55" s="152" t="s">
        <v>486</v>
      </c>
      <c r="C55" s="152" t="s">
        <v>453</v>
      </c>
      <c r="D55" s="152" t="s">
        <v>487</v>
      </c>
      <c r="E55" s="153" t="s">
        <v>430</v>
      </c>
      <c r="F55" s="435">
        <v>50</v>
      </c>
      <c r="G55" s="435"/>
      <c r="H55" s="153" t="s">
        <v>431</v>
      </c>
      <c r="I55" s="436"/>
      <c r="J55" s="436"/>
      <c r="K55" s="154"/>
      <c r="L55" s="155"/>
    </row>
    <row r="56" spans="1:12" ht="216" x14ac:dyDescent="0.25">
      <c r="A56" s="151" t="s">
        <v>475</v>
      </c>
      <c r="B56" s="152" t="s">
        <v>488</v>
      </c>
      <c r="C56" s="152" t="s">
        <v>477</v>
      </c>
      <c r="D56" s="152" t="s">
        <v>489</v>
      </c>
      <c r="E56" s="153" t="s">
        <v>430</v>
      </c>
      <c r="F56" s="435">
        <v>43.44</v>
      </c>
      <c r="G56" s="435"/>
      <c r="H56" s="153" t="s">
        <v>431</v>
      </c>
      <c r="I56" s="436"/>
      <c r="J56" s="436"/>
      <c r="K56" s="154"/>
      <c r="L56" s="155"/>
    </row>
    <row r="57" spans="1:12" ht="204" x14ac:dyDescent="0.25">
      <c r="A57" s="151" t="s">
        <v>475</v>
      </c>
      <c r="B57" s="152" t="s">
        <v>490</v>
      </c>
      <c r="C57" s="152" t="s">
        <v>477</v>
      </c>
      <c r="D57" s="152" t="s">
        <v>489</v>
      </c>
      <c r="E57" s="153" t="s">
        <v>430</v>
      </c>
      <c r="F57" s="435">
        <v>173.74</v>
      </c>
      <c r="G57" s="435"/>
      <c r="H57" s="153" t="s">
        <v>431</v>
      </c>
      <c r="I57" s="436"/>
      <c r="J57" s="436"/>
      <c r="K57" s="154"/>
      <c r="L57" s="155"/>
    </row>
    <row r="58" spans="1:12" ht="216" x14ac:dyDescent="0.25">
      <c r="A58" s="151" t="s">
        <v>475</v>
      </c>
      <c r="B58" s="152" t="s">
        <v>491</v>
      </c>
      <c r="C58" s="152" t="s">
        <v>477</v>
      </c>
      <c r="D58" s="152" t="s">
        <v>489</v>
      </c>
      <c r="E58" s="153" t="s">
        <v>430</v>
      </c>
      <c r="F58" s="435">
        <v>86.87</v>
      </c>
      <c r="G58" s="435"/>
      <c r="H58" s="153" t="s">
        <v>431</v>
      </c>
      <c r="I58" s="436"/>
      <c r="J58" s="436"/>
      <c r="K58" s="154"/>
      <c r="L58" s="155"/>
    </row>
    <row r="59" spans="1:12" ht="192" x14ac:dyDescent="0.25">
      <c r="A59" s="151" t="s">
        <v>475</v>
      </c>
      <c r="B59" s="152" t="s">
        <v>492</v>
      </c>
      <c r="C59" s="152" t="s">
        <v>477</v>
      </c>
      <c r="D59" s="152" t="s">
        <v>489</v>
      </c>
      <c r="E59" s="153" t="s">
        <v>430</v>
      </c>
      <c r="F59" s="435">
        <v>157.68</v>
      </c>
      <c r="G59" s="435"/>
      <c r="H59" s="153" t="s">
        <v>431</v>
      </c>
      <c r="I59" s="436"/>
      <c r="J59" s="436"/>
      <c r="K59" s="154"/>
      <c r="L59" s="155"/>
    </row>
    <row r="60" spans="1:12" ht="300" x14ac:dyDescent="0.25">
      <c r="A60" s="151" t="s">
        <v>475</v>
      </c>
      <c r="B60" s="152" t="s">
        <v>493</v>
      </c>
      <c r="C60" s="152" t="s">
        <v>477</v>
      </c>
      <c r="D60" s="152" t="s">
        <v>494</v>
      </c>
      <c r="E60" s="153" t="s">
        <v>430</v>
      </c>
      <c r="F60" s="440">
        <v>1039</v>
      </c>
      <c r="G60" s="440"/>
      <c r="H60" s="153" t="s">
        <v>431</v>
      </c>
      <c r="I60" s="436"/>
      <c r="J60" s="436"/>
      <c r="K60" s="154"/>
      <c r="L60" s="155"/>
    </row>
    <row r="61" spans="1:12" ht="180" x14ac:dyDescent="0.25">
      <c r="A61" s="151" t="s">
        <v>495</v>
      </c>
      <c r="B61" s="152" t="s">
        <v>496</v>
      </c>
      <c r="C61" s="152" t="s">
        <v>477</v>
      </c>
      <c r="D61" s="152" t="s">
        <v>497</v>
      </c>
      <c r="E61" s="153" t="s">
        <v>430</v>
      </c>
      <c r="F61" s="440">
        <v>12951.6</v>
      </c>
      <c r="G61" s="440"/>
      <c r="H61" s="153" t="s">
        <v>431</v>
      </c>
      <c r="I61" s="436"/>
      <c r="J61" s="436"/>
      <c r="K61" s="154"/>
      <c r="L61" s="155"/>
    </row>
    <row r="62" spans="1:12" ht="180" x14ac:dyDescent="0.25">
      <c r="A62" s="151" t="s">
        <v>498</v>
      </c>
      <c r="B62" s="152" t="s">
        <v>499</v>
      </c>
      <c r="C62" s="152" t="s">
        <v>477</v>
      </c>
      <c r="D62" s="152" t="s">
        <v>500</v>
      </c>
      <c r="E62" s="153" t="s">
        <v>430</v>
      </c>
      <c r="F62" s="440">
        <v>1746.8</v>
      </c>
      <c r="G62" s="440"/>
      <c r="H62" s="153" t="s">
        <v>431</v>
      </c>
      <c r="I62" s="436"/>
      <c r="J62" s="436"/>
      <c r="K62" s="154"/>
      <c r="L62" s="155"/>
    </row>
    <row r="63" spans="1:12" ht="180" x14ac:dyDescent="0.25">
      <c r="A63" s="151" t="s">
        <v>498</v>
      </c>
      <c r="B63" s="152" t="s">
        <v>501</v>
      </c>
      <c r="C63" s="152" t="s">
        <v>477</v>
      </c>
      <c r="D63" s="152" t="s">
        <v>502</v>
      </c>
      <c r="E63" s="153" t="s">
        <v>430</v>
      </c>
      <c r="F63" s="440">
        <v>90045.37</v>
      </c>
      <c r="G63" s="440"/>
      <c r="H63" s="153" t="s">
        <v>431</v>
      </c>
      <c r="I63" s="436"/>
      <c r="J63" s="436"/>
      <c r="K63" s="154"/>
      <c r="L63" s="155"/>
    </row>
    <row r="64" spans="1:12" ht="192" x14ac:dyDescent="0.25">
      <c r="A64" s="151" t="s">
        <v>503</v>
      </c>
      <c r="B64" s="152" t="s">
        <v>504</v>
      </c>
      <c r="C64" s="152" t="s">
        <v>505</v>
      </c>
      <c r="D64" s="152" t="s">
        <v>506</v>
      </c>
      <c r="E64" s="153" t="s">
        <v>430</v>
      </c>
      <c r="F64" s="440">
        <v>7085.19</v>
      </c>
      <c r="G64" s="440"/>
      <c r="H64" s="153" t="s">
        <v>507</v>
      </c>
      <c r="I64" s="436"/>
      <c r="J64" s="436"/>
      <c r="K64" s="154"/>
      <c r="L64" s="155"/>
    </row>
    <row r="65" spans="1:12" ht="180" x14ac:dyDescent="0.25">
      <c r="A65" s="151" t="s">
        <v>503</v>
      </c>
      <c r="B65" s="152" t="s">
        <v>504</v>
      </c>
      <c r="C65" s="152" t="s">
        <v>508</v>
      </c>
      <c r="D65" s="152" t="s">
        <v>509</v>
      </c>
      <c r="E65" s="153" t="s">
        <v>430</v>
      </c>
      <c r="F65" s="440">
        <v>1452.37</v>
      </c>
      <c r="G65" s="440"/>
      <c r="H65" s="153" t="s">
        <v>507</v>
      </c>
      <c r="I65" s="436"/>
      <c r="J65" s="436"/>
      <c r="K65" s="154"/>
      <c r="L65" s="155"/>
    </row>
    <row r="66" spans="1:12" ht="204" x14ac:dyDescent="0.25">
      <c r="A66" s="151" t="s">
        <v>503</v>
      </c>
      <c r="B66" s="152" t="s">
        <v>504</v>
      </c>
      <c r="C66" s="152" t="s">
        <v>510</v>
      </c>
      <c r="D66" s="152" t="s">
        <v>511</v>
      </c>
      <c r="E66" s="153" t="s">
        <v>430</v>
      </c>
      <c r="F66" s="435">
        <v>597.91999999999996</v>
      </c>
      <c r="G66" s="435"/>
      <c r="H66" s="153" t="s">
        <v>507</v>
      </c>
      <c r="I66" s="436"/>
      <c r="J66" s="436"/>
      <c r="K66" s="154"/>
      <c r="L66" s="155"/>
    </row>
    <row r="67" spans="1:12" ht="204" x14ac:dyDescent="0.25">
      <c r="A67" s="151" t="s">
        <v>503</v>
      </c>
      <c r="B67" s="152" t="s">
        <v>512</v>
      </c>
      <c r="C67" s="152" t="s">
        <v>513</v>
      </c>
      <c r="D67" s="152" t="s">
        <v>514</v>
      </c>
      <c r="E67" s="153" t="s">
        <v>430</v>
      </c>
      <c r="F67" s="440">
        <v>3092.25</v>
      </c>
      <c r="G67" s="440"/>
      <c r="H67" s="153" t="s">
        <v>515</v>
      </c>
      <c r="I67" s="436"/>
      <c r="J67" s="436"/>
      <c r="K67" s="154"/>
      <c r="L67" s="155"/>
    </row>
    <row r="68" spans="1:12" ht="192" x14ac:dyDescent="0.25">
      <c r="A68" s="151" t="s">
        <v>503</v>
      </c>
      <c r="B68" s="152" t="s">
        <v>512</v>
      </c>
      <c r="C68" s="152" t="s">
        <v>516</v>
      </c>
      <c r="D68" s="152" t="s">
        <v>517</v>
      </c>
      <c r="E68" s="153" t="s">
        <v>430</v>
      </c>
      <c r="F68" s="440">
        <v>2310.81</v>
      </c>
      <c r="G68" s="440"/>
      <c r="H68" s="153" t="s">
        <v>515</v>
      </c>
      <c r="I68" s="436"/>
      <c r="J68" s="436"/>
      <c r="K68" s="154"/>
      <c r="L68" s="155"/>
    </row>
    <row r="69" spans="1:12" ht="204" x14ac:dyDescent="0.25">
      <c r="A69" s="151" t="s">
        <v>503</v>
      </c>
      <c r="B69" s="152" t="s">
        <v>512</v>
      </c>
      <c r="C69" s="152" t="s">
        <v>518</v>
      </c>
      <c r="D69" s="152" t="s">
        <v>519</v>
      </c>
      <c r="E69" s="153" t="s">
        <v>430</v>
      </c>
      <c r="F69" s="440">
        <v>1259.69</v>
      </c>
      <c r="G69" s="440"/>
      <c r="H69" s="153" t="s">
        <v>515</v>
      </c>
      <c r="I69" s="436"/>
      <c r="J69" s="436"/>
      <c r="K69" s="154"/>
      <c r="L69" s="155"/>
    </row>
    <row r="70" spans="1:12" ht="204" x14ac:dyDescent="0.25">
      <c r="A70" s="151" t="s">
        <v>503</v>
      </c>
      <c r="B70" s="152" t="s">
        <v>512</v>
      </c>
      <c r="C70" s="152" t="s">
        <v>520</v>
      </c>
      <c r="D70" s="152" t="s">
        <v>521</v>
      </c>
      <c r="E70" s="153" t="s">
        <v>430</v>
      </c>
      <c r="F70" s="440">
        <v>2503.27</v>
      </c>
      <c r="G70" s="440"/>
      <c r="H70" s="153" t="s">
        <v>515</v>
      </c>
      <c r="I70" s="436"/>
      <c r="J70" s="436"/>
      <c r="K70" s="154"/>
      <c r="L70" s="155"/>
    </row>
    <row r="71" spans="1:12" ht="204" x14ac:dyDescent="0.25">
      <c r="A71" s="151" t="s">
        <v>503</v>
      </c>
      <c r="B71" s="152" t="s">
        <v>512</v>
      </c>
      <c r="C71" s="152" t="s">
        <v>522</v>
      </c>
      <c r="D71" s="152" t="s">
        <v>523</v>
      </c>
      <c r="E71" s="153" t="s">
        <v>430</v>
      </c>
      <c r="F71" s="440">
        <v>4364.12</v>
      </c>
      <c r="G71" s="440"/>
      <c r="H71" s="153" t="s">
        <v>515</v>
      </c>
      <c r="I71" s="436"/>
      <c r="J71" s="436"/>
      <c r="K71" s="154"/>
      <c r="L71" s="155"/>
    </row>
    <row r="72" spans="1:12" ht="204" x14ac:dyDescent="0.25">
      <c r="A72" s="151" t="s">
        <v>503</v>
      </c>
      <c r="B72" s="152" t="s">
        <v>512</v>
      </c>
      <c r="C72" s="152" t="s">
        <v>524</v>
      </c>
      <c r="D72" s="152" t="s">
        <v>525</v>
      </c>
      <c r="E72" s="153" t="s">
        <v>430</v>
      </c>
      <c r="F72" s="440">
        <v>1438.13</v>
      </c>
      <c r="G72" s="440"/>
      <c r="H72" s="153" t="s">
        <v>515</v>
      </c>
      <c r="I72" s="436"/>
      <c r="J72" s="436"/>
      <c r="K72" s="154"/>
      <c r="L72" s="155"/>
    </row>
    <row r="73" spans="1:12" ht="204" x14ac:dyDescent="0.25">
      <c r="A73" s="151" t="s">
        <v>503</v>
      </c>
      <c r="B73" s="152" t="s">
        <v>512</v>
      </c>
      <c r="C73" s="152" t="s">
        <v>526</v>
      </c>
      <c r="D73" s="152" t="s">
        <v>527</v>
      </c>
      <c r="E73" s="153" t="s">
        <v>430</v>
      </c>
      <c r="F73" s="440">
        <v>6916.76</v>
      </c>
      <c r="G73" s="440"/>
      <c r="H73" s="153" t="s">
        <v>515</v>
      </c>
      <c r="I73" s="436"/>
      <c r="J73" s="436"/>
      <c r="K73" s="154"/>
      <c r="L73" s="155"/>
    </row>
    <row r="74" spans="1:12" ht="204" x14ac:dyDescent="0.25">
      <c r="A74" s="151" t="s">
        <v>503</v>
      </c>
      <c r="B74" s="152" t="s">
        <v>512</v>
      </c>
      <c r="C74" s="152" t="s">
        <v>528</v>
      </c>
      <c r="D74" s="152" t="s">
        <v>529</v>
      </c>
      <c r="E74" s="153" t="s">
        <v>430</v>
      </c>
      <c r="F74" s="440">
        <v>6916.76</v>
      </c>
      <c r="G74" s="440"/>
      <c r="H74" s="153" t="s">
        <v>515</v>
      </c>
      <c r="I74" s="436"/>
      <c r="J74" s="436"/>
      <c r="K74" s="154"/>
      <c r="L74" s="155"/>
    </row>
    <row r="75" spans="1:12" ht="204" x14ac:dyDescent="0.25">
      <c r="A75" s="151" t="s">
        <v>503</v>
      </c>
      <c r="B75" s="152" t="s">
        <v>512</v>
      </c>
      <c r="C75" s="152" t="s">
        <v>530</v>
      </c>
      <c r="D75" s="152" t="s">
        <v>531</v>
      </c>
      <c r="E75" s="153" t="s">
        <v>430</v>
      </c>
      <c r="F75" s="440">
        <v>18354.21</v>
      </c>
      <c r="G75" s="440"/>
      <c r="H75" s="153" t="s">
        <v>515</v>
      </c>
      <c r="I75" s="436"/>
      <c r="J75" s="436"/>
      <c r="K75" s="154"/>
      <c r="L75" s="155"/>
    </row>
    <row r="76" spans="1:12" ht="192" x14ac:dyDescent="0.25">
      <c r="A76" s="151" t="s">
        <v>503</v>
      </c>
      <c r="B76" s="152" t="s">
        <v>512</v>
      </c>
      <c r="C76" s="152" t="s">
        <v>532</v>
      </c>
      <c r="D76" s="152" t="s">
        <v>533</v>
      </c>
      <c r="E76" s="153" t="s">
        <v>430</v>
      </c>
      <c r="F76" s="440">
        <v>5702.43</v>
      </c>
      <c r="G76" s="440"/>
      <c r="H76" s="153" t="s">
        <v>515</v>
      </c>
      <c r="I76" s="436"/>
      <c r="J76" s="436"/>
      <c r="K76" s="154"/>
      <c r="L76" s="155"/>
    </row>
    <row r="77" spans="1:12" ht="192" x14ac:dyDescent="0.25">
      <c r="A77" s="151" t="s">
        <v>503</v>
      </c>
      <c r="B77" s="152" t="s">
        <v>512</v>
      </c>
      <c r="C77" s="152" t="s">
        <v>534</v>
      </c>
      <c r="D77" s="152" t="s">
        <v>535</v>
      </c>
      <c r="E77" s="153" t="s">
        <v>430</v>
      </c>
      <c r="F77" s="440">
        <v>5242.88</v>
      </c>
      <c r="G77" s="440"/>
      <c r="H77" s="153" t="s">
        <v>515</v>
      </c>
      <c r="I77" s="436"/>
      <c r="J77" s="436"/>
      <c r="K77" s="154"/>
      <c r="L77" s="155"/>
    </row>
    <row r="78" spans="1:12" ht="192" x14ac:dyDescent="0.25">
      <c r="A78" s="151" t="s">
        <v>503</v>
      </c>
      <c r="B78" s="152" t="s">
        <v>512</v>
      </c>
      <c r="C78" s="152" t="s">
        <v>536</v>
      </c>
      <c r="D78" s="152" t="s">
        <v>537</v>
      </c>
      <c r="E78" s="153" t="s">
        <v>430</v>
      </c>
      <c r="F78" s="440">
        <v>3407.75</v>
      </c>
      <c r="G78" s="440"/>
      <c r="H78" s="153" t="s">
        <v>515</v>
      </c>
      <c r="I78" s="436"/>
      <c r="J78" s="436"/>
      <c r="K78" s="154"/>
      <c r="L78" s="155"/>
    </row>
    <row r="79" spans="1:12" ht="192" x14ac:dyDescent="0.25">
      <c r="A79" s="151" t="s">
        <v>503</v>
      </c>
      <c r="B79" s="152" t="s">
        <v>512</v>
      </c>
      <c r="C79" s="152" t="s">
        <v>538</v>
      </c>
      <c r="D79" s="152" t="s">
        <v>539</v>
      </c>
      <c r="E79" s="153" t="s">
        <v>430</v>
      </c>
      <c r="F79" s="440">
        <v>2349.15</v>
      </c>
      <c r="G79" s="440"/>
      <c r="H79" s="153" t="s">
        <v>515</v>
      </c>
      <c r="I79" s="436"/>
      <c r="J79" s="436"/>
      <c r="K79" s="154"/>
      <c r="L79" s="155"/>
    </row>
    <row r="80" spans="1:12" ht="180" x14ac:dyDescent="0.25">
      <c r="A80" s="151" t="s">
        <v>503</v>
      </c>
      <c r="B80" s="152" t="s">
        <v>512</v>
      </c>
      <c r="C80" s="152" t="s">
        <v>540</v>
      </c>
      <c r="D80" s="152" t="s">
        <v>541</v>
      </c>
      <c r="E80" s="153" t="s">
        <v>430</v>
      </c>
      <c r="F80" s="435">
        <v>886.71</v>
      </c>
      <c r="G80" s="435"/>
      <c r="H80" s="153" t="s">
        <v>515</v>
      </c>
      <c r="I80" s="436"/>
      <c r="J80" s="436"/>
      <c r="K80" s="154"/>
      <c r="L80" s="155"/>
    </row>
    <row r="81" spans="1:12" ht="192" x14ac:dyDescent="0.25">
      <c r="A81" s="151" t="s">
        <v>503</v>
      </c>
      <c r="B81" s="152" t="s">
        <v>512</v>
      </c>
      <c r="C81" s="152" t="s">
        <v>542</v>
      </c>
      <c r="D81" s="152" t="s">
        <v>543</v>
      </c>
      <c r="E81" s="153" t="s">
        <v>430</v>
      </c>
      <c r="F81" s="440">
        <v>13675.78</v>
      </c>
      <c r="G81" s="440"/>
      <c r="H81" s="153" t="s">
        <v>515</v>
      </c>
      <c r="I81" s="436"/>
      <c r="J81" s="436"/>
      <c r="K81" s="154"/>
      <c r="L81" s="155"/>
    </row>
    <row r="82" spans="1:12" ht="180" x14ac:dyDescent="0.25">
      <c r="A82" s="151" t="s">
        <v>503</v>
      </c>
      <c r="B82" s="152" t="s">
        <v>544</v>
      </c>
      <c r="C82" s="152" t="s">
        <v>545</v>
      </c>
      <c r="D82" s="152" t="s">
        <v>546</v>
      </c>
      <c r="E82" s="153" t="s">
        <v>430</v>
      </c>
      <c r="F82" s="435">
        <v>153.88999999999999</v>
      </c>
      <c r="G82" s="435"/>
      <c r="H82" s="153" t="s">
        <v>515</v>
      </c>
      <c r="I82" s="436"/>
      <c r="J82" s="436"/>
      <c r="K82" s="154"/>
      <c r="L82" s="155"/>
    </row>
    <row r="83" spans="1:12" ht="192" x14ac:dyDescent="0.25">
      <c r="A83" s="151" t="s">
        <v>503</v>
      </c>
      <c r="B83" s="152" t="s">
        <v>544</v>
      </c>
      <c r="C83" s="152" t="s">
        <v>547</v>
      </c>
      <c r="D83" s="152" t="s">
        <v>548</v>
      </c>
      <c r="E83" s="153" t="s">
        <v>430</v>
      </c>
      <c r="F83" s="440">
        <v>1344.78</v>
      </c>
      <c r="G83" s="440"/>
      <c r="H83" s="153" t="s">
        <v>515</v>
      </c>
      <c r="I83" s="436"/>
      <c r="J83" s="436"/>
      <c r="K83" s="154"/>
      <c r="L83" s="155"/>
    </row>
    <row r="84" spans="1:12" ht="204" x14ac:dyDescent="0.25">
      <c r="A84" s="151" t="s">
        <v>503</v>
      </c>
      <c r="B84" s="152" t="s">
        <v>544</v>
      </c>
      <c r="C84" s="152" t="s">
        <v>549</v>
      </c>
      <c r="D84" s="152" t="s">
        <v>550</v>
      </c>
      <c r="E84" s="153" t="s">
        <v>430</v>
      </c>
      <c r="F84" s="435">
        <v>445.7</v>
      </c>
      <c r="G84" s="435"/>
      <c r="H84" s="153" t="s">
        <v>515</v>
      </c>
      <c r="I84" s="436"/>
      <c r="J84" s="436"/>
      <c r="K84" s="154"/>
      <c r="L84" s="155"/>
    </row>
    <row r="85" spans="1:12" ht="192" x14ac:dyDescent="0.25">
      <c r="A85" s="151" t="s">
        <v>503</v>
      </c>
      <c r="B85" s="152" t="s">
        <v>544</v>
      </c>
      <c r="C85" s="152" t="s">
        <v>551</v>
      </c>
      <c r="D85" s="152" t="s">
        <v>552</v>
      </c>
      <c r="E85" s="153" t="s">
        <v>430</v>
      </c>
      <c r="F85" s="435">
        <v>375.12</v>
      </c>
      <c r="G85" s="435"/>
      <c r="H85" s="153" t="s">
        <v>515</v>
      </c>
      <c r="I85" s="436"/>
      <c r="J85" s="436"/>
      <c r="K85" s="154"/>
      <c r="L85" s="155"/>
    </row>
    <row r="86" spans="1:12" ht="192" x14ac:dyDescent="0.25">
      <c r="A86" s="151" t="s">
        <v>503</v>
      </c>
      <c r="B86" s="152" t="s">
        <v>544</v>
      </c>
      <c r="C86" s="152" t="s">
        <v>553</v>
      </c>
      <c r="D86" s="152" t="s">
        <v>554</v>
      </c>
      <c r="E86" s="153" t="s">
        <v>430</v>
      </c>
      <c r="F86" s="435">
        <v>96.4</v>
      </c>
      <c r="G86" s="435"/>
      <c r="H86" s="153" t="s">
        <v>515</v>
      </c>
      <c r="I86" s="436"/>
      <c r="J86" s="436"/>
      <c r="K86" s="154"/>
      <c r="L86" s="155"/>
    </row>
    <row r="87" spans="1:12" ht="192" x14ac:dyDescent="0.25">
      <c r="A87" s="151" t="s">
        <v>503</v>
      </c>
      <c r="B87" s="152" t="s">
        <v>544</v>
      </c>
      <c r="C87" s="152" t="s">
        <v>555</v>
      </c>
      <c r="D87" s="152" t="s">
        <v>556</v>
      </c>
      <c r="E87" s="153" t="s">
        <v>430</v>
      </c>
      <c r="F87" s="435">
        <v>563.61</v>
      </c>
      <c r="G87" s="435"/>
      <c r="H87" s="153" t="s">
        <v>515</v>
      </c>
      <c r="I87" s="436"/>
      <c r="J87" s="436"/>
      <c r="K87" s="154"/>
      <c r="L87" s="155"/>
    </row>
    <row r="88" spans="1:12" ht="204" x14ac:dyDescent="0.25">
      <c r="A88" s="151" t="s">
        <v>503</v>
      </c>
      <c r="B88" s="152" t="s">
        <v>544</v>
      </c>
      <c r="C88" s="152" t="s">
        <v>557</v>
      </c>
      <c r="D88" s="152" t="s">
        <v>558</v>
      </c>
      <c r="E88" s="153" t="s">
        <v>430</v>
      </c>
      <c r="F88" s="435">
        <v>978.61</v>
      </c>
      <c r="G88" s="435"/>
      <c r="H88" s="153" t="s">
        <v>515</v>
      </c>
      <c r="I88" s="436"/>
      <c r="J88" s="436"/>
      <c r="K88" s="154"/>
      <c r="L88" s="155"/>
    </row>
    <row r="89" spans="1:12" ht="192" x14ac:dyDescent="0.25">
      <c r="A89" s="151" t="s">
        <v>503</v>
      </c>
      <c r="B89" s="152" t="s">
        <v>544</v>
      </c>
      <c r="C89" s="152" t="s">
        <v>559</v>
      </c>
      <c r="D89" s="152" t="s">
        <v>560</v>
      </c>
      <c r="E89" s="153" t="s">
        <v>430</v>
      </c>
      <c r="F89" s="440">
        <v>1135.72</v>
      </c>
      <c r="G89" s="440"/>
      <c r="H89" s="153" t="s">
        <v>515</v>
      </c>
      <c r="I89" s="436"/>
      <c r="J89" s="436"/>
      <c r="K89" s="154"/>
      <c r="L89" s="155"/>
    </row>
    <row r="90" spans="1:12" ht="192" x14ac:dyDescent="0.25">
      <c r="A90" s="151" t="s">
        <v>503</v>
      </c>
      <c r="B90" s="152" t="s">
        <v>544</v>
      </c>
      <c r="C90" s="152" t="s">
        <v>561</v>
      </c>
      <c r="D90" s="152" t="s">
        <v>562</v>
      </c>
      <c r="E90" s="153" t="s">
        <v>430</v>
      </c>
      <c r="F90" s="435">
        <v>710.8</v>
      </c>
      <c r="G90" s="435"/>
      <c r="H90" s="153" t="s">
        <v>515</v>
      </c>
      <c r="I90" s="436"/>
      <c r="J90" s="436"/>
      <c r="K90" s="154"/>
      <c r="L90" s="155"/>
    </row>
    <row r="91" spans="1:12" ht="204" x14ac:dyDescent="0.25">
      <c r="A91" s="151" t="s">
        <v>503</v>
      </c>
      <c r="B91" s="152" t="s">
        <v>544</v>
      </c>
      <c r="C91" s="152" t="s">
        <v>563</v>
      </c>
      <c r="D91" s="152" t="s">
        <v>564</v>
      </c>
      <c r="E91" s="153" t="s">
        <v>430</v>
      </c>
      <c r="F91" s="440">
        <v>3647</v>
      </c>
      <c r="G91" s="440"/>
      <c r="H91" s="153" t="s">
        <v>515</v>
      </c>
      <c r="I91" s="436"/>
      <c r="J91" s="436"/>
      <c r="K91" s="154"/>
      <c r="L91" s="155"/>
    </row>
    <row r="92" spans="1:12" ht="228" x14ac:dyDescent="0.25">
      <c r="A92" s="151" t="s">
        <v>503</v>
      </c>
      <c r="B92" s="152" t="s">
        <v>565</v>
      </c>
      <c r="C92" s="152" t="s">
        <v>566</v>
      </c>
      <c r="D92" s="152" t="s">
        <v>567</v>
      </c>
      <c r="E92" s="153" t="s">
        <v>430</v>
      </c>
      <c r="F92" s="440">
        <v>4622.5</v>
      </c>
      <c r="G92" s="440"/>
      <c r="H92" s="153" t="s">
        <v>507</v>
      </c>
      <c r="I92" s="436"/>
      <c r="J92" s="436"/>
      <c r="K92" s="154"/>
      <c r="L92" s="155"/>
    </row>
    <row r="93" spans="1:12" ht="216" x14ac:dyDescent="0.25">
      <c r="A93" s="151" t="s">
        <v>503</v>
      </c>
      <c r="B93" s="152" t="s">
        <v>565</v>
      </c>
      <c r="C93" s="152" t="s">
        <v>568</v>
      </c>
      <c r="D93" s="152" t="s">
        <v>569</v>
      </c>
      <c r="E93" s="153" t="s">
        <v>430</v>
      </c>
      <c r="F93" s="440">
        <v>7611</v>
      </c>
      <c r="G93" s="440"/>
      <c r="H93" s="153" t="s">
        <v>507</v>
      </c>
      <c r="I93" s="436"/>
      <c r="J93" s="436"/>
      <c r="K93" s="154"/>
      <c r="L93" s="155"/>
    </row>
    <row r="94" spans="1:12" ht="180" x14ac:dyDescent="0.25">
      <c r="A94" s="151" t="s">
        <v>503</v>
      </c>
      <c r="B94" s="152" t="s">
        <v>570</v>
      </c>
      <c r="C94" s="152" t="s">
        <v>571</v>
      </c>
      <c r="D94" s="152" t="s">
        <v>572</v>
      </c>
      <c r="E94" s="153" t="s">
        <v>430</v>
      </c>
      <c r="F94" s="440">
        <v>30658.52</v>
      </c>
      <c r="G94" s="440"/>
      <c r="H94" s="153" t="s">
        <v>515</v>
      </c>
      <c r="I94" s="436"/>
      <c r="J94" s="436"/>
      <c r="K94" s="154"/>
      <c r="L94" s="155"/>
    </row>
    <row r="95" spans="1:12" ht="180" x14ac:dyDescent="0.25">
      <c r="A95" s="151" t="s">
        <v>573</v>
      </c>
      <c r="B95" s="152" t="s">
        <v>574</v>
      </c>
      <c r="C95" s="152" t="s">
        <v>477</v>
      </c>
      <c r="D95" s="152" t="s">
        <v>575</v>
      </c>
      <c r="E95" s="153" t="s">
        <v>430</v>
      </c>
      <c r="F95" s="440">
        <v>82508.399999999994</v>
      </c>
      <c r="G95" s="440"/>
      <c r="H95" s="153" t="s">
        <v>431</v>
      </c>
      <c r="I95" s="436"/>
      <c r="J95" s="436"/>
      <c r="K95" s="154"/>
      <c r="L95" s="155"/>
    </row>
    <row r="96" spans="1:12" ht="276" x14ac:dyDescent="0.25">
      <c r="A96" s="151" t="s">
        <v>576</v>
      </c>
      <c r="B96" s="152" t="s">
        <v>577</v>
      </c>
      <c r="C96" s="152" t="s">
        <v>578</v>
      </c>
      <c r="D96" s="152" t="s">
        <v>579</v>
      </c>
      <c r="E96" s="153" t="s">
        <v>430</v>
      </c>
      <c r="F96" s="440">
        <v>9805.5</v>
      </c>
      <c r="G96" s="440"/>
      <c r="H96" s="153" t="s">
        <v>580</v>
      </c>
      <c r="I96" s="436"/>
      <c r="J96" s="436"/>
      <c r="K96" s="154"/>
      <c r="L96" s="155"/>
    </row>
    <row r="97" spans="1:12" ht="228" x14ac:dyDescent="0.25">
      <c r="A97" s="151" t="s">
        <v>581</v>
      </c>
      <c r="B97" s="152" t="s">
        <v>582</v>
      </c>
      <c r="C97" s="152" t="s">
        <v>583</v>
      </c>
      <c r="D97" s="152" t="s">
        <v>584</v>
      </c>
      <c r="E97" s="153" t="s">
        <v>430</v>
      </c>
      <c r="F97" s="440">
        <v>1200000</v>
      </c>
      <c r="G97" s="440"/>
      <c r="H97" s="153" t="s">
        <v>580</v>
      </c>
      <c r="I97" s="436"/>
      <c r="J97" s="436"/>
      <c r="K97" s="154"/>
      <c r="L97" s="155"/>
    </row>
    <row r="98" spans="1:12" ht="216" x14ac:dyDescent="0.25">
      <c r="A98" s="151" t="s">
        <v>585</v>
      </c>
      <c r="B98" s="152" t="s">
        <v>586</v>
      </c>
      <c r="C98" s="152" t="s">
        <v>587</v>
      </c>
      <c r="D98" s="152" t="s">
        <v>588</v>
      </c>
      <c r="E98" s="153" t="s">
        <v>430</v>
      </c>
      <c r="F98" s="440">
        <v>744000</v>
      </c>
      <c r="G98" s="440"/>
      <c r="H98" s="153" t="s">
        <v>580</v>
      </c>
      <c r="I98" s="436"/>
      <c r="J98" s="436"/>
      <c r="K98" s="154"/>
      <c r="L98" s="155"/>
    </row>
    <row r="99" spans="1:12" ht="216" x14ac:dyDescent="0.25">
      <c r="A99" s="151" t="s">
        <v>585</v>
      </c>
      <c r="B99" s="152" t="s">
        <v>589</v>
      </c>
      <c r="C99" s="152" t="s">
        <v>587</v>
      </c>
      <c r="D99" s="152" t="s">
        <v>590</v>
      </c>
      <c r="E99" s="153" t="s">
        <v>430</v>
      </c>
      <c r="F99" s="440">
        <v>744000</v>
      </c>
      <c r="G99" s="440"/>
      <c r="H99" s="153" t="s">
        <v>580</v>
      </c>
      <c r="I99" s="436"/>
      <c r="J99" s="436"/>
      <c r="K99" s="154"/>
      <c r="L99" s="155"/>
    </row>
    <row r="100" spans="1:12" ht="204" x14ac:dyDescent="0.25">
      <c r="A100" s="151" t="s">
        <v>591</v>
      </c>
      <c r="B100" s="152" t="s">
        <v>592</v>
      </c>
      <c r="C100" s="152" t="s">
        <v>593</v>
      </c>
      <c r="D100" s="152" t="s">
        <v>594</v>
      </c>
      <c r="E100" s="153" t="s">
        <v>430</v>
      </c>
      <c r="F100" s="440">
        <v>5922577.7800000003</v>
      </c>
      <c r="G100" s="440"/>
      <c r="H100" s="153" t="s">
        <v>580</v>
      </c>
      <c r="I100" s="436"/>
      <c r="J100" s="436"/>
      <c r="K100" s="154"/>
      <c r="L100" s="155"/>
    </row>
    <row r="101" spans="1:12" ht="216" x14ac:dyDescent="0.25">
      <c r="A101" s="151" t="s">
        <v>591</v>
      </c>
      <c r="B101" s="152" t="s">
        <v>595</v>
      </c>
      <c r="C101" s="152" t="s">
        <v>587</v>
      </c>
      <c r="D101" s="152" t="s">
        <v>596</v>
      </c>
      <c r="E101" s="153" t="s">
        <v>430</v>
      </c>
      <c r="F101" s="440">
        <v>592257.77</v>
      </c>
      <c r="G101" s="440"/>
      <c r="H101" s="153" t="s">
        <v>580</v>
      </c>
      <c r="I101" s="436"/>
      <c r="J101" s="436"/>
      <c r="K101" s="154"/>
      <c r="L101" s="155"/>
    </row>
    <row r="102" spans="1:12" ht="192" x14ac:dyDescent="0.25">
      <c r="A102" s="151" t="s">
        <v>597</v>
      </c>
      <c r="B102" s="152" t="s">
        <v>598</v>
      </c>
      <c r="C102" s="152" t="s">
        <v>599</v>
      </c>
      <c r="D102" s="152" t="s">
        <v>600</v>
      </c>
      <c r="E102" s="153" t="s">
        <v>430</v>
      </c>
      <c r="F102" s="440">
        <v>2372.2399999999998</v>
      </c>
      <c r="G102" s="440"/>
      <c r="H102" s="153" t="s">
        <v>515</v>
      </c>
      <c r="I102" s="436"/>
      <c r="J102" s="436"/>
      <c r="K102" s="154"/>
      <c r="L102" s="155"/>
    </row>
    <row r="103" spans="1:12" ht="204" x14ac:dyDescent="0.25">
      <c r="A103" s="151" t="s">
        <v>597</v>
      </c>
      <c r="B103" s="152" t="s">
        <v>598</v>
      </c>
      <c r="C103" s="152" t="s">
        <v>601</v>
      </c>
      <c r="D103" s="152" t="s">
        <v>602</v>
      </c>
      <c r="E103" s="153" t="s">
        <v>430</v>
      </c>
      <c r="F103" s="440">
        <v>17077.5</v>
      </c>
      <c r="G103" s="440"/>
      <c r="H103" s="153" t="s">
        <v>515</v>
      </c>
      <c r="I103" s="436"/>
      <c r="J103" s="436"/>
      <c r="K103" s="154"/>
      <c r="L103" s="155"/>
    </row>
    <row r="104" spans="1:12" ht="180" x14ac:dyDescent="0.25">
      <c r="A104" s="151" t="s">
        <v>597</v>
      </c>
      <c r="B104" s="152" t="s">
        <v>598</v>
      </c>
      <c r="C104" s="152" t="s">
        <v>545</v>
      </c>
      <c r="D104" s="152" t="s">
        <v>603</v>
      </c>
      <c r="E104" s="153" t="s">
        <v>430</v>
      </c>
      <c r="F104" s="435">
        <v>655.29</v>
      </c>
      <c r="G104" s="435"/>
      <c r="H104" s="153" t="s">
        <v>515</v>
      </c>
      <c r="I104" s="436"/>
      <c r="J104" s="436"/>
      <c r="K104" s="154"/>
      <c r="L104" s="155"/>
    </row>
    <row r="105" spans="1:12" ht="192" x14ac:dyDescent="0.25">
      <c r="A105" s="151" t="s">
        <v>597</v>
      </c>
      <c r="B105" s="152" t="s">
        <v>598</v>
      </c>
      <c r="C105" s="152" t="s">
        <v>553</v>
      </c>
      <c r="D105" s="152" t="s">
        <v>604</v>
      </c>
      <c r="E105" s="153" t="s">
        <v>430</v>
      </c>
      <c r="F105" s="435">
        <v>241</v>
      </c>
      <c r="G105" s="435"/>
      <c r="H105" s="153" t="s">
        <v>515</v>
      </c>
      <c r="I105" s="436"/>
      <c r="J105" s="436"/>
      <c r="K105" s="154"/>
      <c r="L105" s="155"/>
    </row>
    <row r="106" spans="1:12" ht="180" x14ac:dyDescent="0.25">
      <c r="A106" s="151" t="s">
        <v>597</v>
      </c>
      <c r="B106" s="152" t="s">
        <v>598</v>
      </c>
      <c r="C106" s="152" t="s">
        <v>605</v>
      </c>
      <c r="D106" s="152" t="s">
        <v>606</v>
      </c>
      <c r="E106" s="153" t="s">
        <v>430</v>
      </c>
      <c r="F106" s="440">
        <v>21736.18</v>
      </c>
      <c r="G106" s="440"/>
      <c r="H106" s="153" t="s">
        <v>515</v>
      </c>
      <c r="I106" s="436"/>
      <c r="J106" s="436"/>
      <c r="K106" s="154"/>
      <c r="L106" s="155"/>
    </row>
    <row r="107" spans="1:12" ht="228" x14ac:dyDescent="0.25">
      <c r="A107" s="151" t="s">
        <v>597</v>
      </c>
      <c r="B107" s="152" t="s">
        <v>598</v>
      </c>
      <c r="C107" s="152" t="s">
        <v>566</v>
      </c>
      <c r="D107" s="152" t="s">
        <v>607</v>
      </c>
      <c r="E107" s="153" t="s">
        <v>430</v>
      </c>
      <c r="F107" s="440">
        <v>4622.5</v>
      </c>
      <c r="G107" s="440"/>
      <c r="H107" s="153" t="s">
        <v>507</v>
      </c>
      <c r="I107" s="436"/>
      <c r="J107" s="436"/>
      <c r="K107" s="154"/>
      <c r="L107" s="155"/>
    </row>
    <row r="108" spans="1:12" ht="180" x14ac:dyDescent="0.25">
      <c r="A108" s="151" t="s">
        <v>597</v>
      </c>
      <c r="B108" s="152" t="s">
        <v>598</v>
      </c>
      <c r="C108" s="152" t="s">
        <v>608</v>
      </c>
      <c r="D108" s="152" t="s">
        <v>609</v>
      </c>
      <c r="E108" s="153" t="s">
        <v>430</v>
      </c>
      <c r="F108" s="440">
        <v>6448.3</v>
      </c>
      <c r="G108" s="440"/>
      <c r="H108" s="153" t="s">
        <v>515</v>
      </c>
      <c r="I108" s="436"/>
      <c r="J108" s="436"/>
      <c r="K108" s="154"/>
      <c r="L108" s="155"/>
    </row>
    <row r="109" spans="1:12" ht="204" x14ac:dyDescent="0.25">
      <c r="A109" s="151" t="s">
        <v>597</v>
      </c>
      <c r="B109" s="152" t="s">
        <v>598</v>
      </c>
      <c r="C109" s="152" t="s">
        <v>610</v>
      </c>
      <c r="D109" s="152" t="s">
        <v>611</v>
      </c>
      <c r="E109" s="153" t="s">
        <v>430</v>
      </c>
      <c r="F109" s="440">
        <v>1420.01</v>
      </c>
      <c r="G109" s="440"/>
      <c r="H109" s="153" t="s">
        <v>515</v>
      </c>
      <c r="I109" s="436"/>
      <c r="J109" s="436"/>
      <c r="K109" s="154"/>
      <c r="L109" s="155"/>
    </row>
    <row r="110" spans="1:12" ht="204" x14ac:dyDescent="0.25">
      <c r="A110" s="151" t="s">
        <v>597</v>
      </c>
      <c r="B110" s="152" t="s">
        <v>598</v>
      </c>
      <c r="C110" s="152" t="s">
        <v>612</v>
      </c>
      <c r="D110" s="152" t="s">
        <v>613</v>
      </c>
      <c r="E110" s="153" t="s">
        <v>430</v>
      </c>
      <c r="F110" s="435">
        <v>871.31</v>
      </c>
      <c r="G110" s="435"/>
      <c r="H110" s="153" t="s">
        <v>515</v>
      </c>
      <c r="I110" s="436"/>
      <c r="J110" s="436"/>
      <c r="K110" s="154"/>
      <c r="L110" s="155"/>
    </row>
    <row r="111" spans="1:12" ht="192" x14ac:dyDescent="0.25">
      <c r="A111" s="151" t="s">
        <v>597</v>
      </c>
      <c r="B111" s="152" t="s">
        <v>598</v>
      </c>
      <c r="C111" s="152" t="s">
        <v>614</v>
      </c>
      <c r="D111" s="152" t="s">
        <v>615</v>
      </c>
      <c r="E111" s="153" t="s">
        <v>430</v>
      </c>
      <c r="F111" s="440">
        <v>2373.66</v>
      </c>
      <c r="G111" s="440"/>
      <c r="H111" s="153" t="s">
        <v>515</v>
      </c>
      <c r="I111" s="436"/>
      <c r="J111" s="436"/>
      <c r="K111" s="154"/>
      <c r="L111" s="155"/>
    </row>
    <row r="112" spans="1:12" ht="204" x14ac:dyDescent="0.25">
      <c r="A112" s="151" t="s">
        <v>597</v>
      </c>
      <c r="B112" s="152" t="s">
        <v>598</v>
      </c>
      <c r="C112" s="152" t="s">
        <v>616</v>
      </c>
      <c r="D112" s="152" t="s">
        <v>617</v>
      </c>
      <c r="E112" s="153" t="s">
        <v>430</v>
      </c>
      <c r="F112" s="435">
        <v>793.89</v>
      </c>
      <c r="G112" s="435"/>
      <c r="H112" s="153" t="s">
        <v>515</v>
      </c>
      <c r="I112" s="436"/>
      <c r="J112" s="436"/>
      <c r="K112" s="154"/>
      <c r="L112" s="155"/>
    </row>
    <row r="113" spans="1:12" ht="204" x14ac:dyDescent="0.25">
      <c r="A113" s="151" t="s">
        <v>597</v>
      </c>
      <c r="B113" s="152" t="s">
        <v>598</v>
      </c>
      <c r="C113" s="152" t="s">
        <v>618</v>
      </c>
      <c r="D113" s="152" t="s">
        <v>619</v>
      </c>
      <c r="E113" s="153" t="s">
        <v>430</v>
      </c>
      <c r="F113" s="440">
        <v>7280.93</v>
      </c>
      <c r="G113" s="440"/>
      <c r="H113" s="153" t="s">
        <v>515</v>
      </c>
      <c r="I113" s="436"/>
      <c r="J113" s="436"/>
      <c r="K113" s="154"/>
      <c r="L113" s="155"/>
    </row>
    <row r="114" spans="1:12" ht="192" x14ac:dyDescent="0.25">
      <c r="A114" s="151" t="s">
        <v>597</v>
      </c>
      <c r="B114" s="152" t="s">
        <v>598</v>
      </c>
      <c r="C114" s="152" t="s">
        <v>620</v>
      </c>
      <c r="D114" s="152" t="s">
        <v>621</v>
      </c>
      <c r="E114" s="153" t="s">
        <v>430</v>
      </c>
      <c r="F114" s="440">
        <v>9672.84</v>
      </c>
      <c r="G114" s="440"/>
      <c r="H114" s="153" t="s">
        <v>515</v>
      </c>
      <c r="I114" s="436"/>
      <c r="J114" s="436"/>
      <c r="K114" s="154"/>
      <c r="L114" s="155"/>
    </row>
    <row r="115" spans="1:12" ht="192" x14ac:dyDescent="0.25">
      <c r="A115" s="151" t="s">
        <v>597</v>
      </c>
      <c r="B115" s="152" t="s">
        <v>598</v>
      </c>
      <c r="C115" s="152" t="s">
        <v>622</v>
      </c>
      <c r="D115" s="152" t="s">
        <v>623</v>
      </c>
      <c r="E115" s="153" t="s">
        <v>430</v>
      </c>
      <c r="F115" s="440">
        <v>9672.84</v>
      </c>
      <c r="G115" s="440"/>
      <c r="H115" s="153" t="s">
        <v>515</v>
      </c>
      <c r="I115" s="436"/>
      <c r="J115" s="436"/>
      <c r="K115" s="154"/>
      <c r="L115" s="155"/>
    </row>
    <row r="116" spans="1:12" ht="180" x14ac:dyDescent="0.25">
      <c r="A116" s="151" t="s">
        <v>597</v>
      </c>
      <c r="B116" s="152" t="s">
        <v>598</v>
      </c>
      <c r="C116" s="152" t="s">
        <v>624</v>
      </c>
      <c r="D116" s="152" t="s">
        <v>625</v>
      </c>
      <c r="E116" s="153" t="s">
        <v>430</v>
      </c>
      <c r="F116" s="440">
        <v>4128.1899999999996</v>
      </c>
      <c r="G116" s="440"/>
      <c r="H116" s="153" t="s">
        <v>515</v>
      </c>
      <c r="I116" s="436"/>
      <c r="J116" s="436"/>
      <c r="K116" s="154"/>
      <c r="L116" s="155"/>
    </row>
    <row r="117" spans="1:12" ht="180" x14ac:dyDescent="0.25">
      <c r="A117" s="151" t="s">
        <v>597</v>
      </c>
      <c r="B117" s="152" t="s">
        <v>598</v>
      </c>
      <c r="C117" s="152" t="s">
        <v>626</v>
      </c>
      <c r="D117" s="152" t="s">
        <v>627</v>
      </c>
      <c r="E117" s="153" t="s">
        <v>430</v>
      </c>
      <c r="F117" s="440">
        <v>1672.35</v>
      </c>
      <c r="G117" s="440"/>
      <c r="H117" s="153" t="s">
        <v>515</v>
      </c>
      <c r="I117" s="436"/>
      <c r="J117" s="436"/>
      <c r="K117" s="154"/>
      <c r="L117" s="155"/>
    </row>
    <row r="118" spans="1:12" ht="180" x14ac:dyDescent="0.25">
      <c r="A118" s="151" t="s">
        <v>597</v>
      </c>
      <c r="B118" s="152" t="s">
        <v>598</v>
      </c>
      <c r="C118" s="152" t="s">
        <v>626</v>
      </c>
      <c r="D118" s="152" t="s">
        <v>627</v>
      </c>
      <c r="E118" s="153" t="s">
        <v>430</v>
      </c>
      <c r="F118" s="440">
        <v>5017.0600000000004</v>
      </c>
      <c r="G118" s="440"/>
      <c r="H118" s="153" t="s">
        <v>515</v>
      </c>
      <c r="I118" s="436"/>
      <c r="J118" s="436"/>
      <c r="K118" s="154"/>
      <c r="L118" s="155"/>
    </row>
    <row r="119" spans="1:12" ht="204" x14ac:dyDescent="0.25">
      <c r="A119" s="151" t="s">
        <v>597</v>
      </c>
      <c r="B119" s="152" t="s">
        <v>598</v>
      </c>
      <c r="C119" s="152" t="s">
        <v>549</v>
      </c>
      <c r="D119" s="152" t="s">
        <v>628</v>
      </c>
      <c r="E119" s="153" t="s">
        <v>430</v>
      </c>
      <c r="F119" s="435">
        <v>713.12</v>
      </c>
      <c r="G119" s="435"/>
      <c r="H119" s="153" t="s">
        <v>515</v>
      </c>
      <c r="I119" s="436"/>
      <c r="J119" s="436"/>
      <c r="K119" s="154"/>
      <c r="L119" s="155"/>
    </row>
    <row r="120" spans="1:12" ht="204" x14ac:dyDescent="0.25">
      <c r="A120" s="151" t="s">
        <v>597</v>
      </c>
      <c r="B120" s="152" t="s">
        <v>598</v>
      </c>
      <c r="C120" s="152" t="s">
        <v>629</v>
      </c>
      <c r="D120" s="152" t="s">
        <v>630</v>
      </c>
      <c r="E120" s="153" t="s">
        <v>430</v>
      </c>
      <c r="F120" s="440">
        <v>2093.34</v>
      </c>
      <c r="G120" s="440"/>
      <c r="H120" s="153" t="s">
        <v>515</v>
      </c>
      <c r="I120" s="436"/>
      <c r="J120" s="436"/>
      <c r="K120" s="154"/>
      <c r="L120" s="155"/>
    </row>
    <row r="121" spans="1:12" ht="180" x14ac:dyDescent="0.25">
      <c r="A121" s="151" t="s">
        <v>597</v>
      </c>
      <c r="B121" s="152" t="s">
        <v>598</v>
      </c>
      <c r="C121" s="152" t="s">
        <v>631</v>
      </c>
      <c r="D121" s="152" t="s">
        <v>632</v>
      </c>
      <c r="E121" s="153" t="s">
        <v>430</v>
      </c>
      <c r="F121" s="435">
        <v>563.61</v>
      </c>
      <c r="G121" s="435"/>
      <c r="H121" s="153" t="s">
        <v>515</v>
      </c>
      <c r="I121" s="436"/>
      <c r="J121" s="436"/>
      <c r="K121" s="154"/>
      <c r="L121" s="155"/>
    </row>
    <row r="122" spans="1:12" ht="180" x14ac:dyDescent="0.25">
      <c r="A122" s="151" t="s">
        <v>597</v>
      </c>
      <c r="B122" s="152" t="s">
        <v>598</v>
      </c>
      <c r="C122" s="152" t="s">
        <v>633</v>
      </c>
      <c r="D122" s="152" t="s">
        <v>634</v>
      </c>
      <c r="E122" s="153" t="s">
        <v>430</v>
      </c>
      <c r="F122" s="440">
        <v>43150.22</v>
      </c>
      <c r="G122" s="440"/>
      <c r="H122" s="153" t="s">
        <v>515</v>
      </c>
      <c r="I122" s="436"/>
      <c r="J122" s="436"/>
      <c r="K122" s="154"/>
      <c r="L122" s="155"/>
    </row>
    <row r="123" spans="1:12" ht="204" x14ac:dyDescent="0.25">
      <c r="A123" s="151" t="s">
        <v>597</v>
      </c>
      <c r="B123" s="152" t="s">
        <v>598</v>
      </c>
      <c r="C123" s="152" t="s">
        <v>635</v>
      </c>
      <c r="D123" s="152" t="s">
        <v>636</v>
      </c>
      <c r="E123" s="153" t="s">
        <v>430</v>
      </c>
      <c r="F123" s="435">
        <v>866.42</v>
      </c>
      <c r="G123" s="435"/>
      <c r="H123" s="153" t="s">
        <v>515</v>
      </c>
      <c r="I123" s="436"/>
      <c r="J123" s="436"/>
      <c r="K123" s="154"/>
      <c r="L123" s="155"/>
    </row>
    <row r="124" spans="1:12" ht="204" x14ac:dyDescent="0.25">
      <c r="A124" s="151" t="s">
        <v>597</v>
      </c>
      <c r="B124" s="152" t="s">
        <v>598</v>
      </c>
      <c r="C124" s="152" t="s">
        <v>637</v>
      </c>
      <c r="D124" s="152" t="s">
        <v>638</v>
      </c>
      <c r="E124" s="153" t="s">
        <v>430</v>
      </c>
      <c r="F124" s="435">
        <v>873.42</v>
      </c>
      <c r="G124" s="435"/>
      <c r="H124" s="153" t="s">
        <v>515</v>
      </c>
      <c r="I124" s="436"/>
      <c r="J124" s="436"/>
      <c r="K124" s="154"/>
      <c r="L124" s="155"/>
    </row>
    <row r="125" spans="1:12" ht="204" x14ac:dyDescent="0.25">
      <c r="A125" s="151" t="s">
        <v>597</v>
      </c>
      <c r="B125" s="152" t="s">
        <v>598</v>
      </c>
      <c r="C125" s="152" t="s">
        <v>639</v>
      </c>
      <c r="D125" s="152" t="s">
        <v>640</v>
      </c>
      <c r="E125" s="153" t="s">
        <v>430</v>
      </c>
      <c r="F125" s="440">
        <v>3050.35</v>
      </c>
      <c r="G125" s="440"/>
      <c r="H125" s="153" t="s">
        <v>515</v>
      </c>
      <c r="I125" s="436"/>
      <c r="J125" s="436"/>
      <c r="K125" s="154"/>
      <c r="L125" s="155"/>
    </row>
    <row r="126" spans="1:12" ht="216" x14ac:dyDescent="0.25">
      <c r="A126" s="151" t="s">
        <v>597</v>
      </c>
      <c r="B126" s="152" t="s">
        <v>598</v>
      </c>
      <c r="C126" s="152" t="s">
        <v>641</v>
      </c>
      <c r="D126" s="152" t="s">
        <v>642</v>
      </c>
      <c r="E126" s="153" t="s">
        <v>430</v>
      </c>
      <c r="F126" s="440">
        <v>2854</v>
      </c>
      <c r="G126" s="440"/>
      <c r="H126" s="153" t="s">
        <v>515</v>
      </c>
      <c r="I126" s="436"/>
      <c r="J126" s="436"/>
      <c r="K126" s="154"/>
      <c r="L126" s="155"/>
    </row>
    <row r="127" spans="1:12" ht="216" x14ac:dyDescent="0.25">
      <c r="A127" s="151" t="s">
        <v>597</v>
      </c>
      <c r="B127" s="152" t="s">
        <v>598</v>
      </c>
      <c r="C127" s="152" t="s">
        <v>643</v>
      </c>
      <c r="D127" s="152" t="s">
        <v>644</v>
      </c>
      <c r="E127" s="153" t="s">
        <v>430</v>
      </c>
      <c r="F127" s="440">
        <v>3565.28</v>
      </c>
      <c r="G127" s="440"/>
      <c r="H127" s="153" t="s">
        <v>515</v>
      </c>
      <c r="I127" s="436"/>
      <c r="J127" s="436"/>
      <c r="K127" s="154"/>
      <c r="L127" s="155"/>
    </row>
    <row r="128" spans="1:12" ht="204" x14ac:dyDescent="0.25">
      <c r="A128" s="151" t="s">
        <v>645</v>
      </c>
      <c r="B128" s="152" t="s">
        <v>646</v>
      </c>
      <c r="C128" s="152" t="s">
        <v>647</v>
      </c>
      <c r="D128" s="152" t="s">
        <v>648</v>
      </c>
      <c r="E128" s="153" t="s">
        <v>430</v>
      </c>
      <c r="F128" s="440">
        <v>1028.57</v>
      </c>
      <c r="G128" s="440"/>
      <c r="H128" s="153" t="s">
        <v>431</v>
      </c>
      <c r="I128" s="436"/>
      <c r="J128" s="436"/>
      <c r="K128" s="154"/>
      <c r="L128" s="155"/>
    </row>
    <row r="129" spans="1:12" ht="180" x14ac:dyDescent="0.25">
      <c r="A129" s="151" t="s">
        <v>649</v>
      </c>
      <c r="B129" s="152" t="s">
        <v>650</v>
      </c>
      <c r="C129" s="152" t="s">
        <v>453</v>
      </c>
      <c r="D129" s="152" t="s">
        <v>487</v>
      </c>
      <c r="E129" s="153" t="s">
        <v>430</v>
      </c>
      <c r="F129" s="441">
        <v>-200</v>
      </c>
      <c r="G129" s="441"/>
      <c r="H129" s="153" t="s">
        <v>431</v>
      </c>
      <c r="I129" s="436"/>
      <c r="J129" s="436"/>
      <c r="K129" s="154"/>
      <c r="L129" s="155"/>
    </row>
    <row r="130" spans="1:12" ht="180" x14ac:dyDescent="0.25">
      <c r="A130" s="151" t="s">
        <v>651</v>
      </c>
      <c r="B130" s="152" t="s">
        <v>652</v>
      </c>
      <c r="C130" s="152" t="s">
        <v>477</v>
      </c>
      <c r="D130" s="152" t="s">
        <v>489</v>
      </c>
      <c r="E130" s="153" t="s">
        <v>430</v>
      </c>
      <c r="F130" s="441">
        <v>-43.44</v>
      </c>
      <c r="G130" s="441"/>
      <c r="H130" s="153" t="s">
        <v>431</v>
      </c>
      <c r="I130" s="436"/>
      <c r="J130" s="436"/>
      <c r="K130" s="154"/>
      <c r="L130" s="155"/>
    </row>
    <row r="131" spans="1:12" ht="180" x14ac:dyDescent="0.25">
      <c r="A131" s="151" t="s">
        <v>651</v>
      </c>
      <c r="B131" s="152" t="s">
        <v>653</v>
      </c>
      <c r="C131" s="152" t="s">
        <v>477</v>
      </c>
      <c r="D131" s="152" t="s">
        <v>489</v>
      </c>
      <c r="E131" s="153" t="s">
        <v>430</v>
      </c>
      <c r="F131" s="441">
        <v>-173.74</v>
      </c>
      <c r="G131" s="441"/>
      <c r="H131" s="153" t="s">
        <v>431</v>
      </c>
      <c r="I131" s="436"/>
      <c r="J131" s="436"/>
      <c r="K131" s="154"/>
      <c r="L131" s="155"/>
    </row>
    <row r="132" spans="1:12" ht="180" x14ac:dyDescent="0.25">
      <c r="A132" s="151" t="s">
        <v>651</v>
      </c>
      <c r="B132" s="152" t="s">
        <v>654</v>
      </c>
      <c r="C132" s="152" t="s">
        <v>477</v>
      </c>
      <c r="D132" s="152" t="s">
        <v>489</v>
      </c>
      <c r="E132" s="153" t="s">
        <v>430</v>
      </c>
      <c r="F132" s="441">
        <v>-86.87</v>
      </c>
      <c r="G132" s="441"/>
      <c r="H132" s="153" t="s">
        <v>431</v>
      </c>
      <c r="I132" s="436"/>
      <c r="J132" s="436"/>
      <c r="K132" s="154"/>
      <c r="L132" s="155"/>
    </row>
    <row r="133" spans="1:12" ht="180" x14ac:dyDescent="0.25">
      <c r="A133" s="151" t="s">
        <v>651</v>
      </c>
      <c r="B133" s="152" t="s">
        <v>655</v>
      </c>
      <c r="C133" s="152" t="s">
        <v>477</v>
      </c>
      <c r="D133" s="152" t="s">
        <v>489</v>
      </c>
      <c r="E133" s="153" t="s">
        <v>430</v>
      </c>
      <c r="F133" s="441">
        <v>-157.68</v>
      </c>
      <c r="G133" s="441"/>
      <c r="H133" s="153" t="s">
        <v>431</v>
      </c>
      <c r="I133" s="436"/>
      <c r="J133" s="436"/>
      <c r="K133" s="154"/>
      <c r="L133" s="155"/>
    </row>
    <row r="134" spans="1:12" ht="180" x14ac:dyDescent="0.25">
      <c r="A134" s="151" t="s">
        <v>656</v>
      </c>
      <c r="B134" s="152" t="s">
        <v>657</v>
      </c>
      <c r="C134" s="152" t="s">
        <v>658</v>
      </c>
      <c r="D134" s="152" t="s">
        <v>659</v>
      </c>
      <c r="E134" s="153" t="s">
        <v>430</v>
      </c>
      <c r="F134" s="440">
        <v>2849</v>
      </c>
      <c r="G134" s="440"/>
      <c r="H134" s="153" t="s">
        <v>660</v>
      </c>
      <c r="I134" s="436"/>
      <c r="J134" s="436"/>
      <c r="K134" s="154"/>
      <c r="L134" s="155"/>
    </row>
    <row r="135" spans="1:12" ht="192" x14ac:dyDescent="0.25">
      <c r="A135" s="151" t="s">
        <v>661</v>
      </c>
      <c r="B135" s="152" t="s">
        <v>662</v>
      </c>
      <c r="C135" s="152" t="s">
        <v>663</v>
      </c>
      <c r="D135" s="152" t="s">
        <v>664</v>
      </c>
      <c r="E135" s="153" t="s">
        <v>430</v>
      </c>
      <c r="F135" s="440">
        <v>1020</v>
      </c>
      <c r="G135" s="440"/>
      <c r="H135" s="153" t="s">
        <v>580</v>
      </c>
      <c r="I135" s="436"/>
      <c r="J135" s="436"/>
      <c r="K135" s="154"/>
      <c r="L135" s="155"/>
    </row>
    <row r="136" spans="1:12" ht="180" x14ac:dyDescent="0.25">
      <c r="A136" s="151" t="s">
        <v>665</v>
      </c>
      <c r="B136" s="152" t="s">
        <v>666</v>
      </c>
      <c r="C136" s="152" t="s">
        <v>658</v>
      </c>
      <c r="D136" s="152" t="s">
        <v>667</v>
      </c>
      <c r="E136" s="153" t="s">
        <v>430</v>
      </c>
      <c r="F136" s="435">
        <v>18</v>
      </c>
      <c r="G136" s="435"/>
      <c r="H136" s="153" t="s">
        <v>660</v>
      </c>
      <c r="I136" s="436"/>
      <c r="J136" s="436"/>
      <c r="K136" s="154"/>
      <c r="L136" s="155"/>
    </row>
    <row r="137" spans="1:12" ht="192" x14ac:dyDescent="0.25">
      <c r="A137" s="151" t="s">
        <v>668</v>
      </c>
      <c r="B137" s="152" t="s">
        <v>669</v>
      </c>
      <c r="C137" s="152" t="s">
        <v>670</v>
      </c>
      <c r="D137" s="152" t="s">
        <v>671</v>
      </c>
      <c r="E137" s="153" t="s">
        <v>430</v>
      </c>
      <c r="F137" s="440">
        <v>129017.87</v>
      </c>
      <c r="G137" s="440"/>
      <c r="H137" s="153" t="s">
        <v>431</v>
      </c>
      <c r="I137" s="436"/>
      <c r="J137" s="436"/>
      <c r="K137" s="154"/>
      <c r="L137" s="155"/>
    </row>
    <row r="138" spans="1:12" ht="180" x14ac:dyDescent="0.25">
      <c r="A138" s="151" t="s">
        <v>672</v>
      </c>
      <c r="B138" s="152" t="s">
        <v>673</v>
      </c>
      <c r="C138" s="152" t="s">
        <v>658</v>
      </c>
      <c r="D138" s="152" t="s">
        <v>667</v>
      </c>
      <c r="E138" s="153" t="s">
        <v>430</v>
      </c>
      <c r="F138" s="440">
        <v>1250</v>
      </c>
      <c r="G138" s="440"/>
      <c r="H138" s="153" t="s">
        <v>660</v>
      </c>
      <c r="I138" s="436"/>
      <c r="J138" s="436"/>
      <c r="K138" s="154"/>
      <c r="L138" s="155"/>
    </row>
    <row r="139" spans="1:12" ht="264" x14ac:dyDescent="0.25">
      <c r="A139" s="151" t="s">
        <v>674</v>
      </c>
      <c r="B139" s="152" t="s">
        <v>675</v>
      </c>
      <c r="C139" s="152" t="s">
        <v>676</v>
      </c>
      <c r="D139" s="152" t="s">
        <v>677</v>
      </c>
      <c r="E139" s="153" t="s">
        <v>430</v>
      </c>
      <c r="F139" s="440">
        <v>9960000</v>
      </c>
      <c r="G139" s="440"/>
      <c r="H139" s="153" t="s">
        <v>580</v>
      </c>
      <c r="I139" s="436"/>
      <c r="J139" s="436"/>
      <c r="K139" s="154"/>
      <c r="L139" s="155"/>
    </row>
    <row r="140" spans="1:12" ht="264" x14ac:dyDescent="0.25">
      <c r="A140" s="151" t="s">
        <v>674</v>
      </c>
      <c r="B140" s="152" t="s">
        <v>678</v>
      </c>
      <c r="C140" s="152" t="s">
        <v>676</v>
      </c>
      <c r="D140" s="152" t="s">
        <v>679</v>
      </c>
      <c r="E140" s="153" t="s">
        <v>430</v>
      </c>
      <c r="F140" s="440">
        <v>970000</v>
      </c>
      <c r="G140" s="440"/>
      <c r="H140" s="153" t="s">
        <v>580</v>
      </c>
      <c r="I140" s="436"/>
      <c r="J140" s="436"/>
      <c r="K140" s="154"/>
      <c r="L140" s="155"/>
    </row>
    <row r="141" spans="1:12" ht="264" x14ac:dyDescent="0.25">
      <c r="A141" s="151" t="s">
        <v>674</v>
      </c>
      <c r="B141" s="152" t="s">
        <v>680</v>
      </c>
      <c r="C141" s="152" t="s">
        <v>676</v>
      </c>
      <c r="D141" s="152" t="s">
        <v>681</v>
      </c>
      <c r="E141" s="153" t="s">
        <v>430</v>
      </c>
      <c r="F141" s="440">
        <v>970000</v>
      </c>
      <c r="G141" s="440"/>
      <c r="H141" s="153" t="s">
        <v>580</v>
      </c>
      <c r="I141" s="436"/>
      <c r="J141" s="436"/>
      <c r="K141" s="154"/>
      <c r="L141" s="155"/>
    </row>
    <row r="142" spans="1:12" ht="264" x14ac:dyDescent="0.25">
      <c r="A142" s="151" t="s">
        <v>674</v>
      </c>
      <c r="B142" s="152" t="s">
        <v>682</v>
      </c>
      <c r="C142" s="152" t="s">
        <v>676</v>
      </c>
      <c r="D142" s="152" t="s">
        <v>683</v>
      </c>
      <c r="E142" s="153" t="s">
        <v>430</v>
      </c>
      <c r="F142" s="440">
        <v>970000</v>
      </c>
      <c r="G142" s="440"/>
      <c r="H142" s="153" t="s">
        <v>580</v>
      </c>
      <c r="I142" s="436"/>
      <c r="J142" s="436"/>
      <c r="K142" s="154"/>
      <c r="L142" s="155"/>
    </row>
    <row r="143" spans="1:12" ht="264" x14ac:dyDescent="0.25">
      <c r="A143" s="151" t="s">
        <v>674</v>
      </c>
      <c r="B143" s="152" t="s">
        <v>684</v>
      </c>
      <c r="C143" s="152" t="s">
        <v>676</v>
      </c>
      <c r="D143" s="152" t="s">
        <v>685</v>
      </c>
      <c r="E143" s="153" t="s">
        <v>430</v>
      </c>
      <c r="F143" s="440">
        <v>970000</v>
      </c>
      <c r="G143" s="440"/>
      <c r="H143" s="153" t="s">
        <v>580</v>
      </c>
      <c r="I143" s="436"/>
      <c r="J143" s="436"/>
      <c r="K143" s="154"/>
      <c r="L143" s="155"/>
    </row>
    <row r="144" spans="1:12" ht="264" x14ac:dyDescent="0.25">
      <c r="A144" s="151" t="s">
        <v>674</v>
      </c>
      <c r="B144" s="152" t="s">
        <v>686</v>
      </c>
      <c r="C144" s="152" t="s">
        <v>676</v>
      </c>
      <c r="D144" s="152" t="s">
        <v>687</v>
      </c>
      <c r="E144" s="153" t="s">
        <v>430</v>
      </c>
      <c r="F144" s="440">
        <v>970000</v>
      </c>
      <c r="G144" s="440"/>
      <c r="H144" s="153" t="s">
        <v>580</v>
      </c>
      <c r="I144" s="436"/>
      <c r="J144" s="436"/>
      <c r="K144" s="154"/>
      <c r="L144" s="155"/>
    </row>
    <row r="145" spans="1:12" ht="264" x14ac:dyDescent="0.25">
      <c r="A145" s="151" t="s">
        <v>674</v>
      </c>
      <c r="B145" s="152" t="s">
        <v>688</v>
      </c>
      <c r="C145" s="152" t="s">
        <v>676</v>
      </c>
      <c r="D145" s="152" t="s">
        <v>689</v>
      </c>
      <c r="E145" s="153" t="s">
        <v>430</v>
      </c>
      <c r="F145" s="440">
        <v>970000</v>
      </c>
      <c r="G145" s="440"/>
      <c r="H145" s="153" t="s">
        <v>580</v>
      </c>
      <c r="I145" s="436"/>
      <c r="J145" s="436"/>
      <c r="K145" s="154"/>
      <c r="L145" s="155"/>
    </row>
    <row r="146" spans="1:12" ht="264" x14ac:dyDescent="0.25">
      <c r="A146" s="151" t="s">
        <v>674</v>
      </c>
      <c r="B146" s="152" t="s">
        <v>690</v>
      </c>
      <c r="C146" s="152" t="s">
        <v>676</v>
      </c>
      <c r="D146" s="152" t="s">
        <v>691</v>
      </c>
      <c r="E146" s="153" t="s">
        <v>430</v>
      </c>
      <c r="F146" s="440">
        <v>1992000</v>
      </c>
      <c r="G146" s="440"/>
      <c r="H146" s="153" t="s">
        <v>580</v>
      </c>
      <c r="I146" s="436"/>
      <c r="J146" s="436"/>
      <c r="K146" s="154"/>
      <c r="L146" s="155"/>
    </row>
    <row r="147" spans="1:12" ht="264" x14ac:dyDescent="0.25">
      <c r="A147" s="151" t="s">
        <v>674</v>
      </c>
      <c r="B147" s="152" t="s">
        <v>692</v>
      </c>
      <c r="C147" s="152" t="s">
        <v>676</v>
      </c>
      <c r="D147" s="152" t="s">
        <v>693</v>
      </c>
      <c r="E147" s="153" t="s">
        <v>430</v>
      </c>
      <c r="F147" s="440">
        <v>1992000</v>
      </c>
      <c r="G147" s="440"/>
      <c r="H147" s="153" t="s">
        <v>580</v>
      </c>
      <c r="I147" s="436"/>
      <c r="J147" s="436"/>
      <c r="K147" s="154"/>
      <c r="L147" s="155"/>
    </row>
    <row r="148" spans="1:12" ht="264" x14ac:dyDescent="0.25">
      <c r="A148" s="151" t="s">
        <v>674</v>
      </c>
      <c r="B148" s="152" t="s">
        <v>694</v>
      </c>
      <c r="C148" s="152" t="s">
        <v>676</v>
      </c>
      <c r="D148" s="152" t="s">
        <v>695</v>
      </c>
      <c r="E148" s="153" t="s">
        <v>430</v>
      </c>
      <c r="F148" s="440">
        <v>1992000</v>
      </c>
      <c r="G148" s="440"/>
      <c r="H148" s="153" t="s">
        <v>580</v>
      </c>
      <c r="I148" s="436"/>
      <c r="J148" s="436"/>
      <c r="K148" s="154"/>
      <c r="L148" s="155"/>
    </row>
    <row r="149" spans="1:12" ht="264" x14ac:dyDescent="0.25">
      <c r="A149" s="151" t="s">
        <v>674</v>
      </c>
      <c r="B149" s="152" t="s">
        <v>696</v>
      </c>
      <c r="C149" s="152" t="s">
        <v>676</v>
      </c>
      <c r="D149" s="152" t="s">
        <v>697</v>
      </c>
      <c r="E149" s="153" t="s">
        <v>430</v>
      </c>
      <c r="F149" s="440">
        <v>1992000</v>
      </c>
      <c r="G149" s="440"/>
      <c r="H149" s="153" t="s">
        <v>580</v>
      </c>
      <c r="I149" s="436"/>
      <c r="J149" s="436"/>
      <c r="K149" s="154"/>
      <c r="L149" s="155"/>
    </row>
    <row r="150" spans="1:12" ht="264" x14ac:dyDescent="0.25">
      <c r="A150" s="151" t="s">
        <v>674</v>
      </c>
      <c r="B150" s="152" t="s">
        <v>698</v>
      </c>
      <c r="C150" s="152" t="s">
        <v>676</v>
      </c>
      <c r="D150" s="152" t="s">
        <v>699</v>
      </c>
      <c r="E150" s="153" t="s">
        <v>430</v>
      </c>
      <c r="F150" s="440">
        <v>1992000</v>
      </c>
      <c r="G150" s="440"/>
      <c r="H150" s="153" t="s">
        <v>580</v>
      </c>
      <c r="I150" s="436"/>
      <c r="J150" s="436"/>
      <c r="K150" s="154"/>
      <c r="L150" s="155"/>
    </row>
    <row r="151" spans="1:12" ht="264" x14ac:dyDescent="0.25">
      <c r="A151" s="151" t="s">
        <v>674</v>
      </c>
      <c r="B151" s="152" t="s">
        <v>700</v>
      </c>
      <c r="C151" s="152" t="s">
        <v>676</v>
      </c>
      <c r="D151" s="152" t="s">
        <v>701</v>
      </c>
      <c r="E151" s="153" t="s">
        <v>430</v>
      </c>
      <c r="F151" s="440">
        <v>1992000</v>
      </c>
      <c r="G151" s="440"/>
      <c r="H151" s="153" t="s">
        <v>580</v>
      </c>
      <c r="I151" s="436"/>
      <c r="J151" s="436"/>
      <c r="K151" s="154"/>
      <c r="L151" s="155"/>
    </row>
    <row r="152" spans="1:12" ht="228" x14ac:dyDescent="0.25">
      <c r="A152" s="151" t="s">
        <v>674</v>
      </c>
      <c r="B152" s="152" t="s">
        <v>702</v>
      </c>
      <c r="C152" s="152" t="s">
        <v>703</v>
      </c>
      <c r="D152" s="152" t="s">
        <v>704</v>
      </c>
      <c r="E152" s="153" t="s">
        <v>430</v>
      </c>
      <c r="F152" s="440">
        <v>2520000</v>
      </c>
      <c r="G152" s="440"/>
      <c r="H152" s="153" t="s">
        <v>580</v>
      </c>
      <c r="I152" s="436"/>
      <c r="J152" s="436"/>
      <c r="K152" s="154"/>
      <c r="L152" s="155"/>
    </row>
    <row r="153" spans="1:12" ht="192" x14ac:dyDescent="0.25">
      <c r="A153" s="151" t="s">
        <v>674</v>
      </c>
      <c r="B153" s="152" t="s">
        <v>705</v>
      </c>
      <c r="C153" s="152" t="s">
        <v>670</v>
      </c>
      <c r="D153" s="152" t="s">
        <v>706</v>
      </c>
      <c r="E153" s="153" t="s">
        <v>430</v>
      </c>
      <c r="F153" s="440">
        <v>14408.63</v>
      </c>
      <c r="G153" s="440"/>
      <c r="H153" s="153" t="s">
        <v>431</v>
      </c>
      <c r="I153" s="436"/>
      <c r="J153" s="436"/>
      <c r="K153" s="154"/>
      <c r="L153" s="155"/>
    </row>
    <row r="154" spans="1:12" ht="192" x14ac:dyDescent="0.25">
      <c r="A154" s="151" t="s">
        <v>707</v>
      </c>
      <c r="B154" s="152" t="s">
        <v>708</v>
      </c>
      <c r="C154" s="152" t="s">
        <v>670</v>
      </c>
      <c r="D154" s="152" t="s">
        <v>709</v>
      </c>
      <c r="E154" s="153" t="s">
        <v>430</v>
      </c>
      <c r="F154" s="440">
        <v>23364.33</v>
      </c>
      <c r="G154" s="440"/>
      <c r="H154" s="153" t="s">
        <v>431</v>
      </c>
      <c r="I154" s="436"/>
      <c r="J154" s="436"/>
      <c r="K154" s="154"/>
      <c r="L154" s="155"/>
    </row>
    <row r="155" spans="1:12" ht="216" x14ac:dyDescent="0.25">
      <c r="A155" s="151" t="s">
        <v>710</v>
      </c>
      <c r="B155" s="152" t="s">
        <v>711</v>
      </c>
      <c r="C155" s="152" t="s">
        <v>587</v>
      </c>
      <c r="D155" s="152" t="s">
        <v>712</v>
      </c>
      <c r="E155" s="153" t="s">
        <v>430</v>
      </c>
      <c r="F155" s="440">
        <v>3320000</v>
      </c>
      <c r="G155" s="440"/>
      <c r="H155" s="153" t="s">
        <v>580</v>
      </c>
      <c r="I155" s="436"/>
      <c r="J155" s="436"/>
      <c r="K155" s="154"/>
      <c r="L155" s="155"/>
    </row>
    <row r="156" spans="1:12" ht="216" x14ac:dyDescent="0.25">
      <c r="A156" s="151" t="s">
        <v>710</v>
      </c>
      <c r="B156" s="152" t="s">
        <v>713</v>
      </c>
      <c r="C156" s="152" t="s">
        <v>587</v>
      </c>
      <c r="D156" s="152" t="s">
        <v>714</v>
      </c>
      <c r="E156" s="153" t="s">
        <v>430</v>
      </c>
      <c r="F156" s="440">
        <v>2500000</v>
      </c>
      <c r="G156" s="440"/>
      <c r="H156" s="153" t="s">
        <v>580</v>
      </c>
      <c r="I156" s="436"/>
      <c r="J156" s="436"/>
      <c r="K156" s="154"/>
      <c r="L156" s="155"/>
    </row>
    <row r="157" spans="1:12" ht="288" x14ac:dyDescent="0.25">
      <c r="A157" s="151" t="s">
        <v>710</v>
      </c>
      <c r="B157" s="152" t="s">
        <v>715</v>
      </c>
      <c r="C157" s="152" t="s">
        <v>716</v>
      </c>
      <c r="D157" s="152" t="s">
        <v>717</v>
      </c>
      <c r="E157" s="153" t="s">
        <v>430</v>
      </c>
      <c r="F157" s="440">
        <v>2500000</v>
      </c>
      <c r="G157" s="440"/>
      <c r="H157" s="153" t="s">
        <v>580</v>
      </c>
      <c r="I157" s="436"/>
      <c r="J157" s="436"/>
      <c r="K157" s="154"/>
      <c r="L157" s="155"/>
    </row>
    <row r="158" spans="1:12" ht="216" x14ac:dyDescent="0.25">
      <c r="A158" s="151" t="s">
        <v>710</v>
      </c>
      <c r="B158" s="152" t="s">
        <v>718</v>
      </c>
      <c r="C158" s="152" t="s">
        <v>587</v>
      </c>
      <c r="D158" s="152" t="s">
        <v>719</v>
      </c>
      <c r="E158" s="153" t="s">
        <v>430</v>
      </c>
      <c r="F158" s="440">
        <v>2500000</v>
      </c>
      <c r="G158" s="440"/>
      <c r="H158" s="153" t="s">
        <v>580</v>
      </c>
      <c r="I158" s="436"/>
      <c r="J158" s="436"/>
      <c r="K158" s="154"/>
      <c r="L158" s="155"/>
    </row>
    <row r="159" spans="1:12" ht="216" x14ac:dyDescent="0.25">
      <c r="A159" s="151" t="s">
        <v>710</v>
      </c>
      <c r="B159" s="152" t="s">
        <v>720</v>
      </c>
      <c r="C159" s="152" t="s">
        <v>587</v>
      </c>
      <c r="D159" s="152" t="s">
        <v>721</v>
      </c>
      <c r="E159" s="153" t="s">
        <v>430</v>
      </c>
      <c r="F159" s="440">
        <v>2500000</v>
      </c>
      <c r="G159" s="440"/>
      <c r="H159" s="153" t="s">
        <v>580</v>
      </c>
      <c r="I159" s="436"/>
      <c r="J159" s="436"/>
      <c r="K159" s="154"/>
      <c r="L159" s="155"/>
    </row>
    <row r="160" spans="1:12" ht="216" x14ac:dyDescent="0.25">
      <c r="A160" s="151" t="s">
        <v>710</v>
      </c>
      <c r="B160" s="152" t="s">
        <v>722</v>
      </c>
      <c r="C160" s="152" t="s">
        <v>587</v>
      </c>
      <c r="D160" s="152" t="s">
        <v>723</v>
      </c>
      <c r="E160" s="153" t="s">
        <v>430</v>
      </c>
      <c r="F160" s="440">
        <v>3000000</v>
      </c>
      <c r="G160" s="440"/>
      <c r="H160" s="153" t="s">
        <v>580</v>
      </c>
      <c r="I160" s="436"/>
      <c r="J160" s="436"/>
      <c r="K160" s="154"/>
      <c r="L160" s="155"/>
    </row>
    <row r="161" spans="1:12" ht="216" x14ac:dyDescent="0.25">
      <c r="A161" s="151" t="s">
        <v>710</v>
      </c>
      <c r="B161" s="152" t="s">
        <v>724</v>
      </c>
      <c r="C161" s="152" t="s">
        <v>587</v>
      </c>
      <c r="D161" s="152" t="s">
        <v>725</v>
      </c>
      <c r="E161" s="153" t="s">
        <v>430</v>
      </c>
      <c r="F161" s="440">
        <v>4441933.33</v>
      </c>
      <c r="G161" s="440"/>
      <c r="H161" s="153" t="s">
        <v>580</v>
      </c>
      <c r="I161" s="436"/>
      <c r="J161" s="436"/>
      <c r="K161" s="154"/>
      <c r="L161" s="155"/>
    </row>
    <row r="162" spans="1:12" ht="180" x14ac:dyDescent="0.25">
      <c r="A162" s="151" t="s">
        <v>726</v>
      </c>
      <c r="B162" s="152" t="s">
        <v>727</v>
      </c>
      <c r="C162" s="152" t="s">
        <v>670</v>
      </c>
      <c r="D162" s="152" t="s">
        <v>667</v>
      </c>
      <c r="E162" s="153" t="s">
        <v>430</v>
      </c>
      <c r="F162" s="435">
        <v>1</v>
      </c>
      <c r="G162" s="435"/>
      <c r="H162" s="153" t="s">
        <v>660</v>
      </c>
      <c r="I162" s="436"/>
      <c r="J162" s="436"/>
      <c r="K162" s="154"/>
      <c r="L162" s="155"/>
    </row>
    <row r="163" spans="1:12" x14ac:dyDescent="0.25">
      <c r="A163" s="437" t="s">
        <v>728</v>
      </c>
      <c r="B163" s="437"/>
      <c r="C163" s="437"/>
      <c r="D163" s="437"/>
      <c r="E163" s="438">
        <v>61134837.969999999</v>
      </c>
      <c r="F163" s="438"/>
      <c r="G163" s="438"/>
      <c r="H163" s="439">
        <v>0</v>
      </c>
      <c r="I163" s="439"/>
      <c r="J163" s="439"/>
      <c r="K163" s="156"/>
      <c r="L163" s="157">
        <v>0</v>
      </c>
    </row>
  </sheetData>
  <autoFilter ref="A7:L163">
    <filterColumn colId="3">
      <filters>
        <filter val="УСС Екатеринбург_x000a_ПРОМСТРОЙ АО ФИЛИАЛ Г СВОБОДНЫЙ_x000a_Договор № ФГУП-ПС/1001 от 10.01.2020_x000a_Реализация (акт, накладная, УПД) 73ОУ-000011729 от 31.12.2020 23:59:59"/>
        <filter val="УСС Екатеринбург_x000a_ПРОМСТРОЙ АО ФИЛИАЛ Г СВОБОДНЫЙ_x000a_Договор № ФГУП-ПС/1001 от 10.01.2020_x000a_Реализация (акт, накладная, УПД) 73ОУ-000011754 от 31.12.2020 23:59:59"/>
        <filter val="УСС Киров_x000a_ГАЗПРОМБАНК АО_x000a_Договор № 11-и/20. от 01.03.2020_x000a_Реализация (акт, накладная, УПД) 27ОУ-000000210 от 31.01.2020 20:04:30"/>
      </filters>
    </filterColumn>
    <filterColumn colId="4" showButton="0"/>
    <filterColumn colId="5" showButton="0"/>
    <filterColumn colId="7" showButton="0"/>
    <filterColumn colId="8" showButton="0"/>
    <filterColumn colId="10" showButton="0"/>
  </autoFilter>
  <customSheetViews>
    <customSheetView guid="{38D37C3F-FD9B-4DF6-A86F-8343B05C36EA}" filter="1" showAutoFilter="1" state="hidden" topLeftCell="B25">
      <selection activeCell="D5" sqref="D5"/>
      <pageMargins left="0.7" right="0.7" top="0.75" bottom="0.75" header="0.3" footer="0.3"/>
      <autoFilter ref="A7:L163">
        <filterColumn colId="3">
          <filters>
            <filter val="УСС Екатеринбург_x000a_ПРОМСТРОЙ АО ФИЛИАЛ Г СВОБОДНЫЙ_x000a_Договор № ФГУП-ПС/1001 от 10.01.2020_x000a_Реализация (акт, накладная, УПД) 73ОУ-000011729 от 31.12.2020 23:59:59"/>
            <filter val="УСС Екатеринбург_x000a_ПРОМСТРОЙ АО ФИЛИАЛ Г СВОБОДНЫЙ_x000a_Договор № ФГУП-ПС/1001 от 10.01.2020_x000a_Реализация (акт, накладная, УПД) 73ОУ-000011754 от 31.12.2020 23:59:59"/>
            <filter val="УСС Киров_x000a_ГАЗПРОМБАНК АО_x000a_Договор № 11-и/20. от 01.03.2020_x000a_Реализация (акт, накладная, УПД) 27ОУ-000000210 от 31.01.2020 20:04:30"/>
          </filters>
        </filterColumn>
        <filterColumn colId="4" showButton="0"/>
        <filterColumn colId="5" showButton="0"/>
        <filterColumn colId="7" showButton="0"/>
        <filterColumn colId="8" showButton="0"/>
        <filterColumn colId="10" showButton="0"/>
      </autoFilter>
    </customSheetView>
  </customSheetViews>
  <mergeCells count="316">
    <mergeCell ref="K7:L7"/>
    <mergeCell ref="F8:G8"/>
    <mergeCell ref="I8:J8"/>
    <mergeCell ref="E7:G7"/>
    <mergeCell ref="H7:J7"/>
    <mergeCell ref="F12:G12"/>
    <mergeCell ref="I12:J12"/>
    <mergeCell ref="F13:G13"/>
    <mergeCell ref="I13:J13"/>
    <mergeCell ref="F14:G14"/>
    <mergeCell ref="I14:J14"/>
    <mergeCell ref="F9:G9"/>
    <mergeCell ref="I9:J9"/>
    <mergeCell ref="F10:G10"/>
    <mergeCell ref="I10:J10"/>
    <mergeCell ref="F11:G11"/>
    <mergeCell ref="I11:J11"/>
    <mergeCell ref="F18:G18"/>
    <mergeCell ref="I18:J18"/>
    <mergeCell ref="F19:G19"/>
    <mergeCell ref="I19:J19"/>
    <mergeCell ref="F20:G20"/>
    <mergeCell ref="I20:J20"/>
    <mergeCell ref="F15:G15"/>
    <mergeCell ref="I15:J15"/>
    <mergeCell ref="F16:G16"/>
    <mergeCell ref="I16:J16"/>
    <mergeCell ref="F17:G17"/>
    <mergeCell ref="I17:J17"/>
    <mergeCell ref="F24:G24"/>
    <mergeCell ref="I24:J24"/>
    <mergeCell ref="F25:G25"/>
    <mergeCell ref="I25:J25"/>
    <mergeCell ref="F26:G26"/>
    <mergeCell ref="I26:J26"/>
    <mergeCell ref="F21:G21"/>
    <mergeCell ref="I21:J21"/>
    <mergeCell ref="F22:G22"/>
    <mergeCell ref="I22:J22"/>
    <mergeCell ref="F23:G23"/>
    <mergeCell ref="I23:J23"/>
    <mergeCell ref="F30:G30"/>
    <mergeCell ref="I30:J30"/>
    <mergeCell ref="F31:G31"/>
    <mergeCell ref="I31:J31"/>
    <mergeCell ref="F32:G32"/>
    <mergeCell ref="I32:J32"/>
    <mergeCell ref="F27:G27"/>
    <mergeCell ref="I27:J27"/>
    <mergeCell ref="F28:G28"/>
    <mergeCell ref="I28:J28"/>
    <mergeCell ref="F29:G29"/>
    <mergeCell ref="I29:J29"/>
    <mergeCell ref="F36:G36"/>
    <mergeCell ref="I36:J36"/>
    <mergeCell ref="F37:G37"/>
    <mergeCell ref="I37:J37"/>
    <mergeCell ref="F38:G38"/>
    <mergeCell ref="I38:J38"/>
    <mergeCell ref="F33:G33"/>
    <mergeCell ref="I33:J33"/>
    <mergeCell ref="F34:G34"/>
    <mergeCell ref="I34:J34"/>
    <mergeCell ref="F35:G35"/>
    <mergeCell ref="I35:J35"/>
    <mergeCell ref="F42:G42"/>
    <mergeCell ref="I42:J42"/>
    <mergeCell ref="F43:G43"/>
    <mergeCell ref="I43:J43"/>
    <mergeCell ref="F44:G44"/>
    <mergeCell ref="I44:J44"/>
    <mergeCell ref="F39:G39"/>
    <mergeCell ref="I39:J39"/>
    <mergeCell ref="F40:G40"/>
    <mergeCell ref="I40:J40"/>
    <mergeCell ref="F41:G41"/>
    <mergeCell ref="I41:J41"/>
    <mergeCell ref="F48:G48"/>
    <mergeCell ref="I48:J48"/>
    <mergeCell ref="F49:G49"/>
    <mergeCell ref="I49:J49"/>
    <mergeCell ref="F50:G50"/>
    <mergeCell ref="I50:J50"/>
    <mergeCell ref="F45:G45"/>
    <mergeCell ref="I45:J45"/>
    <mergeCell ref="F46:G46"/>
    <mergeCell ref="I46:J46"/>
    <mergeCell ref="F47:G47"/>
    <mergeCell ref="I47:J47"/>
    <mergeCell ref="F54:G54"/>
    <mergeCell ref="I54:J54"/>
    <mergeCell ref="F55:G55"/>
    <mergeCell ref="I55:J55"/>
    <mergeCell ref="F56:G56"/>
    <mergeCell ref="I56:J56"/>
    <mergeCell ref="F51:G51"/>
    <mergeCell ref="I51:J51"/>
    <mergeCell ref="F52:G52"/>
    <mergeCell ref="I52:J52"/>
    <mergeCell ref="F53:G53"/>
    <mergeCell ref="I53:J53"/>
    <mergeCell ref="F60:G60"/>
    <mergeCell ref="I60:J60"/>
    <mergeCell ref="F61:G61"/>
    <mergeCell ref="I61:J61"/>
    <mergeCell ref="F62:G62"/>
    <mergeCell ref="I62:J62"/>
    <mergeCell ref="F57:G57"/>
    <mergeCell ref="I57:J57"/>
    <mergeCell ref="F58:G58"/>
    <mergeCell ref="I58:J58"/>
    <mergeCell ref="F59:G59"/>
    <mergeCell ref="I59:J59"/>
    <mergeCell ref="F66:G66"/>
    <mergeCell ref="I66:J66"/>
    <mergeCell ref="F67:G67"/>
    <mergeCell ref="I67:J67"/>
    <mergeCell ref="F68:G68"/>
    <mergeCell ref="I68:J68"/>
    <mergeCell ref="F63:G63"/>
    <mergeCell ref="I63:J63"/>
    <mergeCell ref="F64:G64"/>
    <mergeCell ref="I64:J64"/>
    <mergeCell ref="F65:G65"/>
    <mergeCell ref="I65:J65"/>
    <mergeCell ref="F72:G72"/>
    <mergeCell ref="I72:J72"/>
    <mergeCell ref="F73:G73"/>
    <mergeCell ref="I73:J73"/>
    <mergeCell ref="F74:G74"/>
    <mergeCell ref="I74:J74"/>
    <mergeCell ref="F69:G69"/>
    <mergeCell ref="I69:J69"/>
    <mergeCell ref="F70:G70"/>
    <mergeCell ref="I70:J70"/>
    <mergeCell ref="F71:G71"/>
    <mergeCell ref="I71:J71"/>
    <mergeCell ref="F78:G78"/>
    <mergeCell ref="I78:J78"/>
    <mergeCell ref="F79:G79"/>
    <mergeCell ref="I79:J79"/>
    <mergeCell ref="F80:G80"/>
    <mergeCell ref="I80:J80"/>
    <mergeCell ref="F75:G75"/>
    <mergeCell ref="I75:J75"/>
    <mergeCell ref="F76:G76"/>
    <mergeCell ref="I76:J76"/>
    <mergeCell ref="F77:G77"/>
    <mergeCell ref="I77:J77"/>
    <mergeCell ref="F84:G84"/>
    <mergeCell ref="I84:J84"/>
    <mergeCell ref="F85:G85"/>
    <mergeCell ref="I85:J85"/>
    <mergeCell ref="F86:G86"/>
    <mergeCell ref="I86:J86"/>
    <mergeCell ref="F81:G81"/>
    <mergeCell ref="I81:J81"/>
    <mergeCell ref="F82:G82"/>
    <mergeCell ref="I82:J82"/>
    <mergeCell ref="F83:G83"/>
    <mergeCell ref="I83:J83"/>
    <mergeCell ref="F90:G90"/>
    <mergeCell ref="I90:J90"/>
    <mergeCell ref="F91:G91"/>
    <mergeCell ref="I91:J91"/>
    <mergeCell ref="F92:G92"/>
    <mergeCell ref="I92:J92"/>
    <mergeCell ref="F87:G87"/>
    <mergeCell ref="I87:J87"/>
    <mergeCell ref="F88:G88"/>
    <mergeCell ref="I88:J88"/>
    <mergeCell ref="F89:G89"/>
    <mergeCell ref="I89:J89"/>
    <mergeCell ref="F96:G96"/>
    <mergeCell ref="I96:J96"/>
    <mergeCell ref="F97:G97"/>
    <mergeCell ref="I97:J97"/>
    <mergeCell ref="F98:G98"/>
    <mergeCell ref="I98:J98"/>
    <mergeCell ref="F93:G93"/>
    <mergeCell ref="I93:J93"/>
    <mergeCell ref="F94:G94"/>
    <mergeCell ref="I94:J94"/>
    <mergeCell ref="F95:G95"/>
    <mergeCell ref="I95:J95"/>
    <mergeCell ref="F102:G102"/>
    <mergeCell ref="I102:J102"/>
    <mergeCell ref="F103:G103"/>
    <mergeCell ref="I103:J103"/>
    <mergeCell ref="F104:G104"/>
    <mergeCell ref="I104:J104"/>
    <mergeCell ref="F99:G99"/>
    <mergeCell ref="I99:J99"/>
    <mergeCell ref="F100:G100"/>
    <mergeCell ref="I100:J100"/>
    <mergeCell ref="F101:G101"/>
    <mergeCell ref="I101:J101"/>
    <mergeCell ref="F108:G108"/>
    <mergeCell ref="I108:J108"/>
    <mergeCell ref="F109:G109"/>
    <mergeCell ref="I109:J109"/>
    <mergeCell ref="F110:G110"/>
    <mergeCell ref="I110:J110"/>
    <mergeCell ref="F105:G105"/>
    <mergeCell ref="I105:J105"/>
    <mergeCell ref="F106:G106"/>
    <mergeCell ref="I106:J106"/>
    <mergeCell ref="F107:G107"/>
    <mergeCell ref="I107:J107"/>
    <mergeCell ref="F114:G114"/>
    <mergeCell ref="I114:J114"/>
    <mergeCell ref="F115:G115"/>
    <mergeCell ref="I115:J115"/>
    <mergeCell ref="F116:G116"/>
    <mergeCell ref="I116:J116"/>
    <mergeCell ref="F111:G111"/>
    <mergeCell ref="I111:J111"/>
    <mergeCell ref="F112:G112"/>
    <mergeCell ref="I112:J112"/>
    <mergeCell ref="F113:G113"/>
    <mergeCell ref="I113:J113"/>
    <mergeCell ref="F120:G120"/>
    <mergeCell ref="I120:J120"/>
    <mergeCell ref="F121:G121"/>
    <mergeCell ref="I121:J121"/>
    <mergeCell ref="F122:G122"/>
    <mergeCell ref="I122:J122"/>
    <mergeCell ref="F117:G117"/>
    <mergeCell ref="I117:J117"/>
    <mergeCell ref="F118:G118"/>
    <mergeCell ref="I118:J118"/>
    <mergeCell ref="F119:G119"/>
    <mergeCell ref="I119:J119"/>
    <mergeCell ref="F126:G126"/>
    <mergeCell ref="I126:J126"/>
    <mergeCell ref="F127:G127"/>
    <mergeCell ref="I127:J127"/>
    <mergeCell ref="F128:G128"/>
    <mergeCell ref="I128:J128"/>
    <mergeCell ref="F123:G123"/>
    <mergeCell ref="I123:J123"/>
    <mergeCell ref="F124:G124"/>
    <mergeCell ref="I124:J124"/>
    <mergeCell ref="F125:G125"/>
    <mergeCell ref="I125:J125"/>
    <mergeCell ref="F132:G132"/>
    <mergeCell ref="I132:J132"/>
    <mergeCell ref="F133:G133"/>
    <mergeCell ref="I133:J133"/>
    <mergeCell ref="F134:G134"/>
    <mergeCell ref="I134:J134"/>
    <mergeCell ref="F129:G129"/>
    <mergeCell ref="I129:J129"/>
    <mergeCell ref="F130:G130"/>
    <mergeCell ref="I130:J130"/>
    <mergeCell ref="F131:G131"/>
    <mergeCell ref="I131:J131"/>
    <mergeCell ref="F138:G138"/>
    <mergeCell ref="I138:J138"/>
    <mergeCell ref="F139:G139"/>
    <mergeCell ref="I139:J139"/>
    <mergeCell ref="F140:G140"/>
    <mergeCell ref="I140:J140"/>
    <mergeCell ref="F135:G135"/>
    <mergeCell ref="I135:J135"/>
    <mergeCell ref="F136:G136"/>
    <mergeCell ref="I136:J136"/>
    <mergeCell ref="F137:G137"/>
    <mergeCell ref="I137:J137"/>
    <mergeCell ref="F144:G144"/>
    <mergeCell ref="I144:J144"/>
    <mergeCell ref="F145:G145"/>
    <mergeCell ref="I145:J145"/>
    <mergeCell ref="F146:G146"/>
    <mergeCell ref="I146:J146"/>
    <mergeCell ref="F141:G141"/>
    <mergeCell ref="I141:J141"/>
    <mergeCell ref="F142:G142"/>
    <mergeCell ref="I142:J142"/>
    <mergeCell ref="F143:G143"/>
    <mergeCell ref="I143:J143"/>
    <mergeCell ref="F150:G150"/>
    <mergeCell ref="I150:J150"/>
    <mergeCell ref="F151:G151"/>
    <mergeCell ref="I151:J151"/>
    <mergeCell ref="F152:G152"/>
    <mergeCell ref="I152:J152"/>
    <mergeCell ref="F147:G147"/>
    <mergeCell ref="I147:J147"/>
    <mergeCell ref="F148:G148"/>
    <mergeCell ref="I148:J148"/>
    <mergeCell ref="F149:G149"/>
    <mergeCell ref="I149:J149"/>
    <mergeCell ref="F156:G156"/>
    <mergeCell ref="I156:J156"/>
    <mergeCell ref="F157:G157"/>
    <mergeCell ref="I157:J157"/>
    <mergeCell ref="F158:G158"/>
    <mergeCell ref="I158:J158"/>
    <mergeCell ref="F153:G153"/>
    <mergeCell ref="I153:J153"/>
    <mergeCell ref="F154:G154"/>
    <mergeCell ref="I154:J154"/>
    <mergeCell ref="F155:G155"/>
    <mergeCell ref="I155:J155"/>
    <mergeCell ref="F162:G162"/>
    <mergeCell ref="I162:J162"/>
    <mergeCell ref="A163:D163"/>
    <mergeCell ref="E163:G163"/>
    <mergeCell ref="H163:J163"/>
    <mergeCell ref="F159:G159"/>
    <mergeCell ref="I159:J159"/>
    <mergeCell ref="F160:G160"/>
    <mergeCell ref="I160:J160"/>
    <mergeCell ref="F161:G161"/>
    <mergeCell ref="I161:J1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47" sqref="A47:XFD80"/>
    </sheetView>
  </sheetViews>
  <sheetFormatPr defaultRowHeight="15" x14ac:dyDescent="0.25"/>
  <cols>
    <col min="1" max="1" width="71.140625" customWidth="1"/>
    <col min="2" max="2" width="37.85546875" customWidth="1"/>
    <col min="3" max="3" width="12.85546875" customWidth="1"/>
    <col min="5" max="5" width="23.7109375" customWidth="1"/>
    <col min="6" max="6" width="49.28515625" customWidth="1"/>
  </cols>
  <sheetData>
    <row r="1" spans="1:6" x14ac:dyDescent="0.25">
      <c r="A1" s="1"/>
      <c r="B1" s="1"/>
    </row>
    <row r="2" spans="1:6" ht="23.25" x14ac:dyDescent="0.25">
      <c r="A2" s="14" t="s">
        <v>0</v>
      </c>
      <c r="B2" s="14"/>
    </row>
    <row r="3" spans="1:6" x14ac:dyDescent="0.25">
      <c r="A3" s="1"/>
      <c r="B3" s="1"/>
    </row>
    <row r="4" spans="1:6" x14ac:dyDescent="0.25">
      <c r="A4" s="15" t="s">
        <v>1</v>
      </c>
      <c r="B4" s="15"/>
      <c r="C4">
        <v>1000</v>
      </c>
    </row>
    <row r="5" spans="1:6" x14ac:dyDescent="0.25">
      <c r="A5" s="1"/>
      <c r="B5" s="1"/>
    </row>
    <row r="6" spans="1:6" ht="25.5" x14ac:dyDescent="0.25">
      <c r="A6" s="21"/>
      <c r="B6" s="22" t="s">
        <v>375</v>
      </c>
      <c r="C6" s="22" t="s">
        <v>376</v>
      </c>
      <c r="D6" s="22" t="s">
        <v>377</v>
      </c>
      <c r="E6" s="22"/>
      <c r="F6" s="22"/>
    </row>
    <row r="7" spans="1:6" ht="28.5" customHeight="1" x14ac:dyDescent="0.25">
      <c r="A7" s="18" t="s">
        <v>357</v>
      </c>
      <c r="B7" s="17">
        <f>VLOOKUP(A7,'слайд 3 и 5'!$A$32:$D$39,4,0)/1000</f>
        <v>182.84819055</v>
      </c>
      <c r="C7" s="25">
        <v>0</v>
      </c>
      <c r="D7" s="25">
        <v>0</v>
      </c>
      <c r="E7" s="11"/>
      <c r="F7" s="11"/>
    </row>
    <row r="8" spans="1:6" ht="22.5" x14ac:dyDescent="0.25">
      <c r="A8" s="19" t="s">
        <v>297</v>
      </c>
      <c r="B8" s="17">
        <f>VLOOKUP(A8,'слайд 3 и 5'!$A$32:$D$39,4,0)/1000</f>
        <v>150.11096733000002</v>
      </c>
      <c r="C8" s="17">
        <f>данные!U26/1000</f>
        <v>106.19023989</v>
      </c>
      <c r="D8" s="17">
        <f>данные!U31/C4</f>
        <v>0.75675482999999999</v>
      </c>
      <c r="E8" s="16" t="s">
        <v>298</v>
      </c>
      <c r="F8" s="16" t="str">
        <f>данные!A31</f>
        <v>УСС по Новгородской области</v>
      </c>
    </row>
    <row r="9" spans="1:6" x14ac:dyDescent="0.25">
      <c r="A9" s="19" t="s">
        <v>327</v>
      </c>
      <c r="B9" s="17">
        <f>VLOOKUP(A9,'слайд 3 и 5'!$A$32:$D$39,4,0)/1000</f>
        <v>113.63744145</v>
      </c>
      <c r="C9" s="17">
        <f>данные!U62/1000</f>
        <v>48.989005720000002</v>
      </c>
      <c r="D9" s="17">
        <f>данные!U59/C4</f>
        <v>0.18021482999999996</v>
      </c>
      <c r="E9" s="16" t="s">
        <v>332</v>
      </c>
      <c r="F9" s="16" t="str">
        <f>данные!A59</f>
        <v>УСС по Кировской области</v>
      </c>
    </row>
    <row r="10" spans="1:6" x14ac:dyDescent="0.25">
      <c r="A10" s="19" t="s">
        <v>280</v>
      </c>
      <c r="B10" s="17">
        <f>VLOOKUP(A10,'слайд 3 и 5'!$A$32:$D$39,4,0)/1000</f>
        <v>104.68727681</v>
      </c>
      <c r="C10" s="17">
        <f>данные!U15/1000</f>
        <v>41.580020159999997</v>
      </c>
      <c r="D10" s="17">
        <f>данные!U21/'слайд 6'!C4</f>
        <v>-5.7425290000000004E-2</v>
      </c>
      <c r="E10" s="16" t="s">
        <v>287</v>
      </c>
      <c r="F10" s="16" t="str">
        <f>данные!A21</f>
        <v>УСС по Тамбовской области</v>
      </c>
    </row>
    <row r="11" spans="1:6" x14ac:dyDescent="0.25">
      <c r="A11" s="19" t="s">
        <v>316</v>
      </c>
      <c r="B11" s="17">
        <f>VLOOKUP(A11,'слайд 3 и 5'!$A$32:$D$39,4,0)/1000</f>
        <v>43.29720082</v>
      </c>
      <c r="C11" s="17">
        <f>данные!U48/1000</f>
        <v>16.872471619999999</v>
      </c>
      <c r="D11" s="17">
        <f>данные!U50/1000</f>
        <v>0.72195155</v>
      </c>
      <c r="E11" s="16" t="str">
        <f>данные!A48</f>
        <v>УСС по Пензенской области</v>
      </c>
      <c r="F11" s="16" t="str">
        <f>данные!A50</f>
        <v>УСС по Республике Марий Эл</v>
      </c>
    </row>
    <row r="12" spans="1:6" ht="22.5" x14ac:dyDescent="0.25">
      <c r="A12" s="19" t="s">
        <v>348</v>
      </c>
      <c r="B12" s="17">
        <f>VLOOKUP(A12,'слайд 3 и 5'!$A$32:$D$39,4,0)/1000</f>
        <v>38.023199329999997</v>
      </c>
      <c r="C12" s="17">
        <f>данные!U86/1000</f>
        <v>14.31318055</v>
      </c>
      <c r="D12" s="17">
        <f>данные!U84/C4</f>
        <v>0.17812469</v>
      </c>
      <c r="E12" s="16" t="str">
        <f>данные!A86</f>
        <v>УСС по Республике Саха (Якутия)</v>
      </c>
      <c r="F12" s="16" t="str">
        <f>данные!A84</f>
        <v>УСС по Сахалинской области</v>
      </c>
    </row>
    <row r="13" spans="1:6" x14ac:dyDescent="0.25">
      <c r="A13" s="19" t="s">
        <v>306</v>
      </c>
      <c r="B13" s="17">
        <f>VLOOKUP(A13,'слайд 3 и 5'!$A$32:$D$39,4,0)/1000</f>
        <v>27.332272199999998</v>
      </c>
      <c r="C13" s="17">
        <f>данные!U41/1000</f>
        <v>13.46591531</v>
      </c>
      <c r="D13" s="17">
        <f>данные!U36/'слайд 6'!C4</f>
        <v>1.5696433200000002</v>
      </c>
      <c r="E13" s="16" t="str">
        <f>данные!A41</f>
        <v>УСС по Республике Дагестан</v>
      </c>
      <c r="F13" s="16" t="str">
        <f>данные!A36</f>
        <v>УСС по Астраханской области</v>
      </c>
    </row>
    <row r="14" spans="1:6" x14ac:dyDescent="0.25">
      <c r="A14" s="19" t="s">
        <v>337</v>
      </c>
      <c r="B14" s="17">
        <f>VLOOKUP(A14,'слайд 3 и 5'!$A$32:$D$39,4,0)/1000</f>
        <v>-1.3380232699999999</v>
      </c>
      <c r="C14" s="17">
        <f>данные!U73/1000</f>
        <v>16.337885369999999</v>
      </c>
      <c r="D14" s="17">
        <f>данные!U74/1000</f>
        <v>5.9245595700000004</v>
      </c>
      <c r="E14" s="16" t="s">
        <v>343</v>
      </c>
      <c r="F14" s="16" t="str">
        <f>данные!A74</f>
        <v>УСС по Омской области</v>
      </c>
    </row>
    <row r="16" spans="1:6" x14ac:dyDescent="0.25">
      <c r="A16" s="204" t="s">
        <v>769</v>
      </c>
      <c r="B16" s="205" t="s">
        <v>788</v>
      </c>
    </row>
    <row r="17" spans="1:2" x14ac:dyDescent="0.25">
      <c r="A17" s="445" t="s">
        <v>280</v>
      </c>
      <c r="B17" s="446"/>
    </row>
    <row r="18" spans="1:2" x14ac:dyDescent="0.25">
      <c r="A18" s="202" t="s">
        <v>289</v>
      </c>
      <c r="B18" s="200">
        <v>-5.9648139999999995E-2</v>
      </c>
    </row>
    <row r="19" spans="1:2" x14ac:dyDescent="0.25">
      <c r="A19" s="203" t="s">
        <v>290</v>
      </c>
      <c r="B19" s="201">
        <v>-0.62353634999999996</v>
      </c>
    </row>
    <row r="20" spans="1:2" x14ac:dyDescent="0.25">
      <c r="A20" s="203" t="s">
        <v>293</v>
      </c>
      <c r="B20" s="201">
        <v>-0.40984186</v>
      </c>
    </row>
    <row r="21" spans="1:2" x14ac:dyDescent="0.25">
      <c r="A21" s="445" t="s">
        <v>297</v>
      </c>
      <c r="B21" s="446"/>
    </row>
    <row r="22" spans="1:2" x14ac:dyDescent="0.25">
      <c r="A22" s="202" t="s">
        <v>299</v>
      </c>
      <c r="B22" s="200">
        <v>-2.5558118799999998</v>
      </c>
    </row>
    <row r="23" spans="1:2" x14ac:dyDescent="0.25">
      <c r="A23" s="202" t="s">
        <v>300</v>
      </c>
      <c r="B23" s="200">
        <v>-0.42668028999999996</v>
      </c>
    </row>
    <row r="24" spans="1:2" x14ac:dyDescent="0.25">
      <c r="A24" s="445" t="s">
        <v>306</v>
      </c>
      <c r="B24" s="446"/>
    </row>
    <row r="25" spans="1:2" x14ac:dyDescent="0.25">
      <c r="A25" s="203" t="s">
        <v>307</v>
      </c>
      <c r="B25" s="201">
        <v>-8.2003134100000015</v>
      </c>
    </row>
    <row r="26" spans="1:2" x14ac:dyDescent="0.25">
      <c r="A26" s="445" t="s">
        <v>316</v>
      </c>
      <c r="B26" s="446"/>
    </row>
    <row r="27" spans="1:2" x14ac:dyDescent="0.25">
      <c r="A27" s="202" t="s">
        <v>321</v>
      </c>
      <c r="B27" s="200">
        <v>-0.14834023999999998</v>
      </c>
    </row>
    <row r="28" spans="1:2" x14ac:dyDescent="0.25">
      <c r="A28" s="203" t="s">
        <v>322</v>
      </c>
      <c r="B28" s="201">
        <v>-4.04342969</v>
      </c>
    </row>
    <row r="29" spans="1:2" x14ac:dyDescent="0.25">
      <c r="A29" s="202" t="s">
        <v>323</v>
      </c>
      <c r="B29" s="200">
        <v>-0.20774756999999999</v>
      </c>
    </row>
    <row r="30" spans="1:2" x14ac:dyDescent="0.25">
      <c r="A30" s="203" t="s">
        <v>326</v>
      </c>
      <c r="B30" s="201">
        <v>-0.17986549999999998</v>
      </c>
    </row>
    <row r="31" spans="1:2" x14ac:dyDescent="0.25">
      <c r="A31" s="445" t="s">
        <v>337</v>
      </c>
      <c r="B31" s="446"/>
    </row>
    <row r="32" spans="1:2" x14ac:dyDescent="0.25">
      <c r="A32" s="203" t="s">
        <v>338</v>
      </c>
      <c r="B32" s="201">
        <v>-2.8157244799999996</v>
      </c>
    </row>
    <row r="33" spans="1:2" x14ac:dyDescent="0.25">
      <c r="A33" s="202" t="s">
        <v>339</v>
      </c>
      <c r="B33" s="200">
        <v>-2.04472349</v>
      </c>
    </row>
    <row r="34" spans="1:2" x14ac:dyDescent="0.25">
      <c r="A34" s="203" t="s">
        <v>340</v>
      </c>
      <c r="B34" s="201">
        <v>-3.7256254700000002</v>
      </c>
    </row>
    <row r="35" spans="1:2" x14ac:dyDescent="0.25">
      <c r="A35" s="202" t="s">
        <v>341</v>
      </c>
      <c r="B35" s="200">
        <v>-0.98430481999999997</v>
      </c>
    </row>
    <row r="36" spans="1:2" x14ac:dyDescent="0.25">
      <c r="A36" s="203" t="s">
        <v>342</v>
      </c>
      <c r="B36" s="201">
        <v>-2.7989309500000004</v>
      </c>
    </row>
    <row r="37" spans="1:2" x14ac:dyDescent="0.25">
      <c r="A37" s="202" t="s">
        <v>345</v>
      </c>
      <c r="B37" s="200">
        <v>-0.29919544000000003</v>
      </c>
    </row>
    <row r="38" spans="1:2" x14ac:dyDescent="0.25">
      <c r="A38" s="202" t="s">
        <v>346</v>
      </c>
      <c r="B38" s="200">
        <v>-4.3258534700000002</v>
      </c>
    </row>
    <row r="39" spans="1:2" x14ac:dyDescent="0.25">
      <c r="A39" s="203" t="s">
        <v>347</v>
      </c>
      <c r="B39" s="201">
        <v>-3.1699157400000004</v>
      </c>
    </row>
    <row r="40" spans="1:2" x14ac:dyDescent="0.25">
      <c r="A40" s="445" t="s">
        <v>348</v>
      </c>
      <c r="B40" s="446"/>
    </row>
    <row r="41" spans="1:2" x14ac:dyDescent="0.25">
      <c r="A41" s="203" t="s">
        <v>352</v>
      </c>
      <c r="B41" s="201">
        <v>-5.9025542199999999</v>
      </c>
    </row>
    <row r="42" spans="1:2" ht="15.75" customHeight="1" x14ac:dyDescent="0.25">
      <c r="A42" s="202" t="s">
        <v>354</v>
      </c>
      <c r="B42" s="200">
        <v>-0.75767349000000006</v>
      </c>
    </row>
    <row r="43" spans="1:2" x14ac:dyDescent="0.25">
      <c r="A43" s="202" t="s">
        <v>355</v>
      </c>
      <c r="B43" s="200">
        <v>-0.70564158999999993</v>
      </c>
    </row>
  </sheetData>
  <autoFilter ref="A6:F6">
    <sortState ref="A7:F14">
      <sortCondition descending="1" ref="B6"/>
    </sortState>
  </autoFilter>
  <customSheetViews>
    <customSheetView guid="{38D37C3F-FD9B-4DF6-A86F-8343B05C36EA}" showAutoFilter="1" topLeftCell="A27">
      <selection activeCell="A41" sqref="A41"/>
      <pageMargins left="0.7" right="0.7" top="0.75" bottom="0.75" header="0.3" footer="0.3"/>
      <pageSetup paperSize="9" orientation="portrait" r:id="rId1"/>
      <autoFilter ref="A6:F6">
        <sortState ref="A7:F14">
          <sortCondition descending="1" ref="B6"/>
        </sortState>
      </autoFilter>
    </customSheetView>
  </customSheetViews>
  <mergeCells count="6">
    <mergeCell ref="A40:B40"/>
    <mergeCell ref="A17:B17"/>
    <mergeCell ref="A21:B21"/>
    <mergeCell ref="A24:B24"/>
    <mergeCell ref="A26:B26"/>
    <mergeCell ref="A31:B31"/>
  </mergeCell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zoomScale="80" zoomScaleNormal="80" workbookViewId="0">
      <selection activeCell="K36" sqref="K36"/>
    </sheetView>
  </sheetViews>
  <sheetFormatPr defaultRowHeight="15.75" x14ac:dyDescent="0.25"/>
  <cols>
    <col min="1" max="1" width="37.140625" style="187" customWidth="1"/>
    <col min="2" max="2" width="17.140625" style="187" customWidth="1"/>
    <col min="3" max="3" width="15.28515625" style="187" customWidth="1"/>
    <col min="4" max="4" width="14.140625" style="187" customWidth="1"/>
    <col min="5" max="5" width="14.28515625" style="187" customWidth="1"/>
    <col min="6" max="6" width="15" style="187" customWidth="1"/>
    <col min="7" max="7" width="13.140625" style="187" customWidth="1"/>
    <col min="8" max="8" width="10.140625" style="187" customWidth="1"/>
    <col min="9" max="9" width="9.85546875" style="187" customWidth="1"/>
    <col min="10" max="10" width="18.140625" style="187" customWidth="1"/>
    <col min="11" max="11" width="14.85546875" style="187" customWidth="1"/>
    <col min="12" max="12" width="12.28515625" customWidth="1"/>
    <col min="13" max="13" width="11.5703125" customWidth="1"/>
    <col min="14" max="16" width="15.28515625" customWidth="1"/>
    <col min="17" max="19" width="13.85546875" customWidth="1"/>
  </cols>
  <sheetData>
    <row r="1" spans="1:19" x14ac:dyDescent="0.25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1"/>
      <c r="M1" s="1"/>
      <c r="N1" s="1"/>
      <c r="O1" s="1"/>
      <c r="P1" s="1"/>
      <c r="Q1" s="1"/>
      <c r="R1" s="1"/>
      <c r="S1" s="1"/>
    </row>
    <row r="2" spans="1:19" ht="23.25" x14ac:dyDescent="0.25">
      <c r="A2" s="207" t="s">
        <v>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1"/>
      <c r="M3" s="1"/>
      <c r="N3" s="1"/>
      <c r="O3" s="1"/>
      <c r="P3" s="1"/>
      <c r="Q3" s="1"/>
      <c r="R3" s="1"/>
      <c r="S3" s="1"/>
    </row>
    <row r="4" spans="1:19" ht="15" x14ac:dyDescent="0.25">
      <c r="A4" s="208" t="s">
        <v>1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1"/>
      <c r="M5" s="1"/>
      <c r="N5" s="1"/>
      <c r="O5" s="1"/>
      <c r="P5" s="1"/>
      <c r="Q5" s="1"/>
      <c r="R5" s="1"/>
      <c r="S5" s="1"/>
    </row>
    <row r="6" spans="1:19" s="187" customFormat="1" ht="15" x14ac:dyDescent="0.2">
      <c r="A6" s="430" t="s">
        <v>277</v>
      </c>
      <c r="B6" s="425" t="s">
        <v>365</v>
      </c>
      <c r="C6" s="425"/>
      <c r="D6" s="425"/>
      <c r="E6" s="425"/>
      <c r="F6" s="425"/>
      <c r="G6" s="425"/>
      <c r="H6" s="425" t="s">
        <v>367</v>
      </c>
      <c r="I6" s="425"/>
      <c r="J6" s="447" t="s">
        <v>911</v>
      </c>
      <c r="K6" s="448"/>
      <c r="L6" s="448"/>
      <c r="M6" s="449"/>
    </row>
    <row r="7" spans="1:19" s="187" customFormat="1" ht="45" x14ac:dyDescent="0.2">
      <c r="A7" s="430"/>
      <c r="B7" s="330" t="s">
        <v>389</v>
      </c>
      <c r="C7" s="330" t="s">
        <v>915</v>
      </c>
      <c r="D7" s="330" t="s">
        <v>908</v>
      </c>
      <c r="E7" s="330" t="s">
        <v>916</v>
      </c>
      <c r="F7" s="330" t="s">
        <v>909</v>
      </c>
      <c r="G7" s="330" t="s">
        <v>907</v>
      </c>
      <c r="H7" s="330" t="s">
        <v>912</v>
      </c>
      <c r="I7" s="330" t="s">
        <v>913</v>
      </c>
      <c r="J7" s="330" t="str">
        <f>D7</f>
        <v>факт январь-июль 2022</v>
      </c>
      <c r="K7" s="330" t="str">
        <f t="shared" ref="K7:L8" si="0">E7</f>
        <v>план август-декабрь 2022*</v>
      </c>
      <c r="L7" s="330" t="str">
        <f t="shared" si="0"/>
        <v>прогноз август-декабрь 2022</v>
      </c>
      <c r="M7" s="330" t="s">
        <v>912</v>
      </c>
    </row>
    <row r="8" spans="1:19" s="187" customFormat="1" ht="18" customHeight="1" x14ac:dyDescent="0.2">
      <c r="A8" s="192" t="s">
        <v>280</v>
      </c>
      <c r="B8" s="385">
        <f>выручка!F12/1000</f>
        <v>1157605.01911</v>
      </c>
      <c r="C8" s="385">
        <f>выручка!L12/1000</f>
        <v>1206925.9762299999</v>
      </c>
      <c r="D8" s="386">
        <f>'слайд 3 и 5'!D8</f>
        <v>646412.64230999991</v>
      </c>
      <c r="E8" s="385">
        <f>выручка!G12/1000</f>
        <v>562804.6603300001</v>
      </c>
      <c r="F8" s="385">
        <f>выручка!H12/1000</f>
        <v>513777.44905</v>
      </c>
      <c r="G8" s="385">
        <f>D8+F8</f>
        <v>1160190.09136</v>
      </c>
      <c r="H8" s="195">
        <f t="shared" ref="H8:H15" si="1">G8/C8-100%</f>
        <v>-3.8723074811916725E-2</v>
      </c>
      <c r="I8" s="199">
        <f t="shared" ref="I8:I15" si="2">G8/B8-100%</f>
        <v>2.2331211486863456E-3</v>
      </c>
      <c r="J8" s="193">
        <f>D8</f>
        <v>646412.64230999991</v>
      </c>
      <c r="K8" s="385">
        <f t="shared" si="0"/>
        <v>562804.6603300001</v>
      </c>
      <c r="L8" s="385">
        <f t="shared" si="0"/>
        <v>513777.44905</v>
      </c>
      <c r="M8" s="199">
        <f>L8/K8-100%</f>
        <v>-8.7112305095791154E-2</v>
      </c>
    </row>
    <row r="9" spans="1:19" s="187" customFormat="1" ht="18" customHeight="1" x14ac:dyDescent="0.2">
      <c r="A9" s="192" t="s">
        <v>297</v>
      </c>
      <c r="B9" s="385">
        <f>выручка!F13/1000</f>
        <v>1575165.4470899999</v>
      </c>
      <c r="C9" s="385">
        <f>выручка!L13/1000</f>
        <v>1818956.1087</v>
      </c>
      <c r="D9" s="386">
        <f>'слайд 3 и 5'!D9</f>
        <v>875510.91902999999</v>
      </c>
      <c r="E9" s="385">
        <f>выручка!G13/1000</f>
        <v>848678.90598000004</v>
      </c>
      <c r="F9" s="385">
        <f>выручка!H13/1000</f>
        <v>761518.41680000001</v>
      </c>
      <c r="G9" s="385">
        <f t="shared" ref="G9:G15" si="3">D9+F9</f>
        <v>1637029.33583</v>
      </c>
      <c r="H9" s="199">
        <f t="shared" si="1"/>
        <v>-0.10001713180425353</v>
      </c>
      <c r="I9" s="199">
        <f t="shared" si="2"/>
        <v>3.9274533893749908E-2</v>
      </c>
      <c r="J9" s="193">
        <f t="shared" ref="J9:J15" si="4">D9</f>
        <v>875510.91902999999</v>
      </c>
      <c r="K9" s="385">
        <f t="shared" ref="K9:K15" si="5">E9</f>
        <v>848678.90598000004</v>
      </c>
      <c r="L9" s="385">
        <f t="shared" ref="L9:L15" si="6">F9</f>
        <v>761518.41680000001</v>
      </c>
      <c r="M9" s="199">
        <f t="shared" ref="M9:M15" si="7">L9/K9-100%</f>
        <v>-0.1027013733531561</v>
      </c>
    </row>
    <row r="10" spans="1:19" s="187" customFormat="1" ht="18" customHeight="1" x14ac:dyDescent="0.2">
      <c r="A10" s="192" t="s">
        <v>306</v>
      </c>
      <c r="B10" s="385">
        <f>выручка!F14/1000</f>
        <v>798603.96017999994</v>
      </c>
      <c r="C10" s="385">
        <f>выручка!L14/1000</f>
        <v>861325.72357000003</v>
      </c>
      <c r="D10" s="386">
        <f>'слайд 3 и 5'!D10</f>
        <v>454012.51432999998</v>
      </c>
      <c r="E10" s="385">
        <f>выручка!G14/1000</f>
        <v>391739.92116000003</v>
      </c>
      <c r="F10" s="385">
        <f>выручка!H14/1000</f>
        <v>382003.72563</v>
      </c>
      <c r="G10" s="385">
        <f t="shared" si="3"/>
        <v>836016.23995999992</v>
      </c>
      <c r="H10" s="199">
        <f t="shared" si="1"/>
        <v>-2.9384335005226636E-2</v>
      </c>
      <c r="I10" s="199">
        <f t="shared" si="2"/>
        <v>4.6847100246744988E-2</v>
      </c>
      <c r="J10" s="193">
        <f t="shared" si="4"/>
        <v>454012.51432999998</v>
      </c>
      <c r="K10" s="385">
        <f t="shared" si="5"/>
        <v>391739.92116000003</v>
      </c>
      <c r="L10" s="385">
        <f t="shared" si="6"/>
        <v>382003.72563</v>
      </c>
      <c r="M10" s="199">
        <f t="shared" si="7"/>
        <v>-2.4853723105803693E-2</v>
      </c>
    </row>
    <row r="11" spans="1:19" s="187" customFormat="1" ht="18" customHeight="1" x14ac:dyDescent="0.2">
      <c r="A11" s="192" t="s">
        <v>316</v>
      </c>
      <c r="B11" s="385">
        <f>выручка!F15/1000</f>
        <v>840637.05822999997</v>
      </c>
      <c r="C11" s="385">
        <f>выручка!L15/1000</f>
        <v>878358.93133000005</v>
      </c>
      <c r="D11" s="386">
        <f>'слайд 3 и 5'!D11</f>
        <v>450783.46025</v>
      </c>
      <c r="E11" s="385">
        <f>выручка!G15/1000</f>
        <v>406634.54875999998</v>
      </c>
      <c r="F11" s="385">
        <f>выручка!H15/1000</f>
        <v>411364.62562000001</v>
      </c>
      <c r="G11" s="385">
        <f t="shared" si="3"/>
        <v>862148.08587000007</v>
      </c>
      <c r="H11" s="199">
        <f t="shared" si="1"/>
        <v>-1.8455832669059036E-2</v>
      </c>
      <c r="I11" s="199">
        <f t="shared" si="2"/>
        <v>2.5588959503275444E-2</v>
      </c>
      <c r="J11" s="193">
        <f t="shared" si="4"/>
        <v>450783.46025</v>
      </c>
      <c r="K11" s="385">
        <f t="shared" si="5"/>
        <v>406634.54875999998</v>
      </c>
      <c r="L11" s="385">
        <f t="shared" si="6"/>
        <v>411364.62562000001</v>
      </c>
      <c r="M11" s="199">
        <f t="shared" si="7"/>
        <v>1.1632255238577249E-2</v>
      </c>
    </row>
    <row r="12" spans="1:19" s="187" customFormat="1" ht="18" customHeight="1" x14ac:dyDescent="0.2">
      <c r="A12" s="192" t="s">
        <v>327</v>
      </c>
      <c r="B12" s="385">
        <f>выручка!F16/1000</f>
        <v>1256903.5942899999</v>
      </c>
      <c r="C12" s="385">
        <f>выручка!L16/1000</f>
        <v>1304081.0698499999</v>
      </c>
      <c r="D12" s="386">
        <f>'слайд 3 и 5'!D12</f>
        <v>744733.09148000006</v>
      </c>
      <c r="E12" s="385">
        <f>выручка!G16/1000</f>
        <v>597298.22714999993</v>
      </c>
      <c r="F12" s="385">
        <f>выручка!H16/1000</f>
        <v>588995.96597999998</v>
      </c>
      <c r="G12" s="385">
        <f t="shared" si="3"/>
        <v>1333729.05746</v>
      </c>
      <c r="H12" s="199">
        <f t="shared" si="1"/>
        <v>2.2734773393658925E-2</v>
      </c>
      <c r="I12" s="199">
        <f t="shared" si="2"/>
        <v>6.1122796942431723E-2</v>
      </c>
      <c r="J12" s="193">
        <f t="shared" si="4"/>
        <v>744733.09148000006</v>
      </c>
      <c r="K12" s="385">
        <f t="shared" si="5"/>
        <v>597298.22714999993</v>
      </c>
      <c r="L12" s="385">
        <f t="shared" si="6"/>
        <v>588995.96597999998</v>
      </c>
      <c r="M12" s="199">
        <f t="shared" si="7"/>
        <v>-1.3899691632459854E-2</v>
      </c>
    </row>
    <row r="13" spans="1:19" s="187" customFormat="1" ht="18" customHeight="1" x14ac:dyDescent="0.2">
      <c r="A13" s="192" t="s">
        <v>337</v>
      </c>
      <c r="B13" s="385">
        <f>выручка!F17/1000</f>
        <v>1067240.8980399999</v>
      </c>
      <c r="C13" s="385">
        <f>выручка!L17/1000</f>
        <v>1130867.2707499999</v>
      </c>
      <c r="D13" s="386">
        <f>'слайд 3 и 5'!D13</f>
        <v>570520.16610999999</v>
      </c>
      <c r="E13" s="385">
        <f>выручка!G17/1000</f>
        <v>529247.16560000007</v>
      </c>
      <c r="F13" s="385">
        <f>выручка!H17/1000</f>
        <v>485791.00302999996</v>
      </c>
      <c r="G13" s="385">
        <f t="shared" si="3"/>
        <v>1056311.1691399999</v>
      </c>
      <c r="H13" s="199">
        <f t="shared" si="1"/>
        <v>-6.5928251297390439E-2</v>
      </c>
      <c r="I13" s="199">
        <f t="shared" si="2"/>
        <v>-1.0241107626284385E-2</v>
      </c>
      <c r="J13" s="193">
        <f t="shared" si="4"/>
        <v>570520.16610999999</v>
      </c>
      <c r="K13" s="385">
        <f t="shared" si="5"/>
        <v>529247.16560000007</v>
      </c>
      <c r="L13" s="385">
        <f t="shared" si="6"/>
        <v>485791.00302999996</v>
      </c>
      <c r="M13" s="199">
        <f t="shared" si="7"/>
        <v>-8.2109391215604233E-2</v>
      </c>
    </row>
    <row r="14" spans="1:19" s="187" customFormat="1" ht="18" customHeight="1" x14ac:dyDescent="0.2">
      <c r="A14" s="192" t="s">
        <v>348</v>
      </c>
      <c r="B14" s="385">
        <f>выручка!F18/1000</f>
        <v>764446.61567999993</v>
      </c>
      <c r="C14" s="385">
        <f>выручка!L18/1000</f>
        <v>860533.20280999993</v>
      </c>
      <c r="D14" s="386">
        <f>'слайд 3 и 5'!D14</f>
        <v>453099.64322000003</v>
      </c>
      <c r="E14" s="385">
        <f>выручка!G18/1000</f>
        <v>399383.85048999998</v>
      </c>
      <c r="F14" s="385">
        <f>выручка!H18/1000</f>
        <v>381672.3798</v>
      </c>
      <c r="G14" s="385">
        <f t="shared" si="3"/>
        <v>834772.02301999996</v>
      </c>
      <c r="H14" s="199">
        <f t="shared" si="1"/>
        <v>-2.9936299617352335E-2</v>
      </c>
      <c r="I14" s="199">
        <f t="shared" si="2"/>
        <v>9.1995184356259196E-2</v>
      </c>
      <c r="J14" s="193">
        <f t="shared" si="4"/>
        <v>453099.64322000003</v>
      </c>
      <c r="K14" s="385">
        <f t="shared" si="5"/>
        <v>399383.85048999998</v>
      </c>
      <c r="L14" s="385">
        <f t="shared" si="6"/>
        <v>381672.3798</v>
      </c>
      <c r="M14" s="199">
        <f t="shared" si="7"/>
        <v>-4.4346987661794457E-2</v>
      </c>
    </row>
    <row r="15" spans="1:19" s="187" customFormat="1" ht="18" customHeight="1" x14ac:dyDescent="0.2">
      <c r="A15" s="192" t="s">
        <v>357</v>
      </c>
      <c r="B15" s="385">
        <f>(выручка!F19+выручка!F21)/1000</f>
        <v>2720900.1366599998</v>
      </c>
      <c r="C15" s="385">
        <f>выручка!L19/1000</f>
        <v>2934498.3260400002</v>
      </c>
      <c r="D15" s="386">
        <f>'слайд 3 и 5'!D15</f>
        <v>1944103.9206899998</v>
      </c>
      <c r="E15" s="385">
        <f>выручка!G19/1000</f>
        <v>1310216.1305500001</v>
      </c>
      <c r="F15" s="385">
        <f>выручка!H19/1000+200</f>
        <v>1310241.52024</v>
      </c>
      <c r="G15" s="385">
        <f t="shared" si="3"/>
        <v>3254345.4409299996</v>
      </c>
      <c r="H15" s="199">
        <f t="shared" si="1"/>
        <v>0.10899550088400334</v>
      </c>
      <c r="I15" s="199">
        <f t="shared" si="2"/>
        <v>0.19605471626195836</v>
      </c>
      <c r="J15" s="193">
        <f t="shared" si="4"/>
        <v>1944103.9206899998</v>
      </c>
      <c r="K15" s="385">
        <f t="shared" si="5"/>
        <v>1310216.1305500001</v>
      </c>
      <c r="L15" s="385">
        <f t="shared" si="6"/>
        <v>1310241.52024</v>
      </c>
      <c r="M15" s="214">
        <f t="shared" si="7"/>
        <v>1.9378245625256696E-5</v>
      </c>
    </row>
    <row r="18" spans="1:13" s="187" customFormat="1" ht="15" hidden="1" x14ac:dyDescent="0.2">
      <c r="A18" s="426" t="s">
        <v>277</v>
      </c>
      <c r="B18" s="427" t="s">
        <v>366</v>
      </c>
      <c r="C18" s="428"/>
      <c r="D18" s="428"/>
      <c r="E18" s="428"/>
      <c r="F18" s="428"/>
      <c r="G18" s="429"/>
      <c r="H18" s="427" t="s">
        <v>367</v>
      </c>
      <c r="I18" s="429"/>
      <c r="J18" s="384"/>
      <c r="K18" s="384"/>
      <c r="L18" s="196"/>
      <c r="M18" s="196"/>
    </row>
    <row r="19" spans="1:13" s="187" customFormat="1" ht="45" hidden="1" x14ac:dyDescent="0.2">
      <c r="A19" s="426"/>
      <c r="B19" s="198" t="str">
        <f>B7</f>
        <v>факт 2021</v>
      </c>
      <c r="C19" s="198" t="str">
        <f t="shared" ref="C19:G19" si="8">C7</f>
        <v>план 2022*</v>
      </c>
      <c r="D19" s="198" t="str">
        <f>D7</f>
        <v>факт январь-июль 2022</v>
      </c>
      <c r="E19" s="198" t="str">
        <f t="shared" ref="E19:F19" si="9">E7</f>
        <v>план август-декабрь 2022*</v>
      </c>
      <c r="F19" s="198" t="str">
        <f t="shared" si="9"/>
        <v>прогноз август-декабрь 2022</v>
      </c>
      <c r="G19" s="198" t="str">
        <f t="shared" si="8"/>
        <v>прогноз 2022</v>
      </c>
      <c r="H19" s="198" t="str">
        <f>H7</f>
        <v>прогноз 22 /план 22</v>
      </c>
      <c r="I19" s="198" t="str">
        <f>I7</f>
        <v>прогноз 22 /факт 21</v>
      </c>
      <c r="J19" s="198"/>
      <c r="K19" s="198"/>
      <c r="L19" s="197"/>
      <c r="M19" s="197" t="s">
        <v>368</v>
      </c>
    </row>
    <row r="20" spans="1:13" s="187" customFormat="1" ht="15" hidden="1" x14ac:dyDescent="0.2">
      <c r="A20" s="192" t="s">
        <v>280</v>
      </c>
      <c r="B20" s="193">
        <f>данные!O8</f>
        <v>472696.84729000001</v>
      </c>
      <c r="C20" s="193">
        <f>данные!P8</f>
        <v>523817.15717999998</v>
      </c>
      <c r="D20" s="193"/>
      <c r="E20" s="193"/>
      <c r="F20" s="193"/>
      <c r="G20" s="193">
        <f>данные!Q8</f>
        <v>534843.54539999994</v>
      </c>
      <c r="H20" s="199">
        <f t="shared" ref="H20:H27" si="10">G20/C20-100%</f>
        <v>2.1050070752476335E-2</v>
      </c>
      <c r="I20" s="199">
        <f t="shared" ref="I20:I27" si="11">G20/B20-100%</f>
        <v>0.13147263085482952</v>
      </c>
      <c r="J20" s="199"/>
      <c r="K20" s="199"/>
      <c r="L20" s="194">
        <f t="shared" ref="L20:L27" si="12">G20-C20</f>
        <v>11026.388219999964</v>
      </c>
      <c r="M20" s="195">
        <f t="shared" ref="M20:M27" si="13">G20/C20</f>
        <v>1.0210500707524763</v>
      </c>
    </row>
    <row r="21" spans="1:13" s="187" customFormat="1" ht="15" hidden="1" x14ac:dyDescent="0.2">
      <c r="A21" s="192" t="s">
        <v>297</v>
      </c>
      <c r="B21" s="193">
        <f>данные!O25</f>
        <v>687838.44638999994</v>
      </c>
      <c r="C21" s="193">
        <f>данные!P25</f>
        <v>807739.57551999995</v>
      </c>
      <c r="D21" s="193"/>
      <c r="E21" s="193"/>
      <c r="F21" s="193"/>
      <c r="G21" s="193">
        <f>данные!Q25</f>
        <v>706306.16942999989</v>
      </c>
      <c r="H21" s="199">
        <f t="shared" si="10"/>
        <v>-0.12557686804524848</v>
      </c>
      <c r="I21" s="199">
        <f t="shared" si="11"/>
        <v>2.6848925262791923E-2</v>
      </c>
      <c r="J21" s="199"/>
      <c r="K21" s="199"/>
      <c r="L21" s="194">
        <f t="shared" si="12"/>
        <v>-101433.40609000006</v>
      </c>
      <c r="M21" s="195">
        <f t="shared" si="13"/>
        <v>0.87442313195475152</v>
      </c>
    </row>
    <row r="22" spans="1:13" s="187" customFormat="1" ht="15" hidden="1" x14ac:dyDescent="0.2">
      <c r="A22" s="192" t="s">
        <v>306</v>
      </c>
      <c r="B22" s="193">
        <f>данные!O34</f>
        <v>420934.99612999998</v>
      </c>
      <c r="C22" s="193">
        <f>данные!P34</f>
        <v>461819.93680000002</v>
      </c>
      <c r="D22" s="193"/>
      <c r="E22" s="193"/>
      <c r="F22" s="193"/>
      <c r="G22" s="193">
        <f>данные!Q34</f>
        <v>453399.39257999999</v>
      </c>
      <c r="H22" s="199">
        <f t="shared" si="10"/>
        <v>-1.8233392603937526E-2</v>
      </c>
      <c r="I22" s="199">
        <f t="shared" si="11"/>
        <v>7.7124488931715751E-2</v>
      </c>
      <c r="J22" s="199"/>
      <c r="K22" s="199"/>
      <c r="L22" s="194">
        <f t="shared" si="12"/>
        <v>-8420.5442200000398</v>
      </c>
      <c r="M22" s="195">
        <f t="shared" si="13"/>
        <v>0.98176660739606247</v>
      </c>
    </row>
    <row r="23" spans="1:13" s="187" customFormat="1" ht="15" hidden="1" x14ac:dyDescent="0.2">
      <c r="A23" s="192" t="s">
        <v>316</v>
      </c>
      <c r="B23" s="193">
        <f>данные!O46</f>
        <v>411082.25293999998</v>
      </c>
      <c r="C23" s="193">
        <f>данные!P46</f>
        <v>419784.35294999997</v>
      </c>
      <c r="D23" s="193"/>
      <c r="E23" s="193"/>
      <c r="F23" s="193"/>
      <c r="G23" s="193">
        <f>данные!Q46</f>
        <v>408134.61582000001</v>
      </c>
      <c r="H23" s="199">
        <f t="shared" si="10"/>
        <v>-2.7751718348081322E-2</v>
      </c>
      <c r="I23" s="199">
        <f t="shared" si="11"/>
        <v>-7.1704314621195975E-3</v>
      </c>
      <c r="J23" s="199"/>
      <c r="K23" s="199"/>
      <c r="L23" s="194">
        <f t="shared" si="12"/>
        <v>-11649.737129999965</v>
      </c>
      <c r="M23" s="195">
        <f t="shared" si="13"/>
        <v>0.97224828165191868</v>
      </c>
    </row>
    <row r="24" spans="1:13" s="187" customFormat="1" ht="15" hidden="1" x14ac:dyDescent="0.2">
      <c r="A24" s="192" t="s">
        <v>327</v>
      </c>
      <c r="B24" s="193">
        <f>данные!O57</f>
        <v>548291.12202000001</v>
      </c>
      <c r="C24" s="193">
        <f>данные!P57</f>
        <v>603213.81808</v>
      </c>
      <c r="D24" s="193"/>
      <c r="E24" s="193"/>
      <c r="F24" s="193"/>
      <c r="G24" s="193">
        <f>данные!Q57</f>
        <v>613149.77014000004</v>
      </c>
      <c r="H24" s="199">
        <f t="shared" si="10"/>
        <v>1.6471691732171667E-2</v>
      </c>
      <c r="I24" s="199">
        <f t="shared" si="11"/>
        <v>0.11829235512887659</v>
      </c>
      <c r="J24" s="199"/>
      <c r="K24" s="199"/>
      <c r="L24" s="194">
        <f t="shared" si="12"/>
        <v>9935.9520600000396</v>
      </c>
      <c r="M24" s="195">
        <f t="shared" si="13"/>
        <v>1.0164716917321717</v>
      </c>
    </row>
    <row r="25" spans="1:13" s="187" customFormat="1" ht="15" hidden="1" x14ac:dyDescent="0.2">
      <c r="A25" s="192" t="s">
        <v>337</v>
      </c>
      <c r="B25" s="193">
        <f>данные!O67</f>
        <v>553970.04579</v>
      </c>
      <c r="C25" s="193">
        <f>данные!P67</f>
        <v>591783.65197000001</v>
      </c>
      <c r="D25" s="193"/>
      <c r="E25" s="193"/>
      <c r="F25" s="193"/>
      <c r="G25" s="193">
        <f>данные!Q67</f>
        <v>573203.44053000002</v>
      </c>
      <c r="H25" s="199">
        <f t="shared" si="10"/>
        <v>-3.1396966405117799E-2</v>
      </c>
      <c r="I25" s="199">
        <f t="shared" si="11"/>
        <v>3.4719196256490559E-2</v>
      </c>
      <c r="J25" s="199"/>
      <c r="K25" s="199"/>
      <c r="L25" s="194">
        <f t="shared" si="12"/>
        <v>-18580.211439999985</v>
      </c>
      <c r="M25" s="195">
        <f t="shared" si="13"/>
        <v>0.9686030335948822</v>
      </c>
    </row>
    <row r="26" spans="1:13" s="187" customFormat="1" ht="15" hidden="1" x14ac:dyDescent="0.2">
      <c r="A26" s="192" t="s">
        <v>348</v>
      </c>
      <c r="B26" s="193">
        <f>данные!O78</f>
        <v>401895.65057</v>
      </c>
      <c r="C26" s="193">
        <f>данные!P78</f>
        <v>439055.85616000002</v>
      </c>
      <c r="D26" s="193"/>
      <c r="E26" s="193"/>
      <c r="F26" s="193"/>
      <c r="G26" s="193">
        <f>данные!Q78</f>
        <v>409756.06851000001</v>
      </c>
      <c r="H26" s="199">
        <f t="shared" si="10"/>
        <v>-6.6733622246283431E-2</v>
      </c>
      <c r="I26" s="199">
        <f t="shared" si="11"/>
        <v>1.9558355331419364E-2</v>
      </c>
      <c r="J26" s="199"/>
      <c r="K26" s="199"/>
      <c r="L26" s="194">
        <f t="shared" si="12"/>
        <v>-29299.787650000013</v>
      </c>
      <c r="M26" s="195">
        <f t="shared" si="13"/>
        <v>0.93326637775371657</v>
      </c>
    </row>
    <row r="27" spans="1:13" s="187" customFormat="1" ht="30" hidden="1" x14ac:dyDescent="0.2">
      <c r="A27" s="192" t="s">
        <v>357</v>
      </c>
      <c r="B27" s="193">
        <f>данные!O87+данные!O89</f>
        <v>1457423.11659</v>
      </c>
      <c r="C27" s="193">
        <f>данные!P87+данные!P89</f>
        <v>1545169.8327000001</v>
      </c>
      <c r="D27" s="193"/>
      <c r="E27" s="193"/>
      <c r="F27" s="193"/>
      <c r="G27" s="193">
        <f>данные!Q87+данные!Q89</f>
        <v>1746598.6298399998</v>
      </c>
      <c r="H27" s="199">
        <f t="shared" si="10"/>
        <v>0.1303602962452528</v>
      </c>
      <c r="I27" s="199">
        <f t="shared" si="11"/>
        <v>0.19841562135133217</v>
      </c>
      <c r="J27" s="199"/>
      <c r="K27" s="199"/>
      <c r="L27" s="194">
        <f t="shared" si="12"/>
        <v>201428.79713999969</v>
      </c>
      <c r="M27" s="195">
        <f t="shared" si="13"/>
        <v>1.1303602962452528</v>
      </c>
    </row>
    <row r="28" spans="1:13" s="187" customFormat="1" ht="15" x14ac:dyDescent="0.2"/>
    <row r="29" spans="1:13" s="187" customFormat="1" ht="15" x14ac:dyDescent="0.2"/>
    <row r="30" spans="1:13" s="187" customFormat="1" ht="15" x14ac:dyDescent="0.2">
      <c r="A30" s="430" t="s">
        <v>277</v>
      </c>
      <c r="B30" s="425" t="s">
        <v>7</v>
      </c>
      <c r="C30" s="425"/>
      <c r="D30" s="425"/>
      <c r="E30" s="425"/>
      <c r="F30" s="425"/>
      <c r="G30" s="425"/>
      <c r="H30" s="425" t="s">
        <v>367</v>
      </c>
      <c r="I30" s="425"/>
      <c r="J30" s="447" t="s">
        <v>911</v>
      </c>
      <c r="K30" s="448"/>
      <c r="L30" s="448"/>
      <c r="M30" s="449"/>
    </row>
    <row r="31" spans="1:13" s="187" customFormat="1" ht="45" x14ac:dyDescent="0.2">
      <c r="A31" s="430"/>
      <c r="B31" s="330" t="str">
        <f>B19</f>
        <v>факт 2021</v>
      </c>
      <c r="C31" s="330" t="str">
        <f t="shared" ref="C31:I31" si="14">C19</f>
        <v>план 2022*</v>
      </c>
      <c r="D31" s="330" t="str">
        <f>D7</f>
        <v>факт январь-июль 2022</v>
      </c>
      <c r="E31" s="330" t="str">
        <f t="shared" ref="E31:F31" si="15">E7</f>
        <v>план август-декабрь 2022*</v>
      </c>
      <c r="F31" s="330" t="str">
        <f t="shared" si="15"/>
        <v>прогноз август-декабрь 2022</v>
      </c>
      <c r="G31" s="330" t="str">
        <f t="shared" si="14"/>
        <v>прогноз 2022</v>
      </c>
      <c r="H31" s="330" t="str">
        <f t="shared" si="14"/>
        <v>прогноз 22 /план 22</v>
      </c>
      <c r="I31" s="330" t="str">
        <f t="shared" si="14"/>
        <v>прогноз 22 /факт 21</v>
      </c>
      <c r="J31" s="330" t="str">
        <f>D31</f>
        <v>факт январь-июль 2022</v>
      </c>
      <c r="K31" s="330" t="str">
        <f t="shared" ref="K31:K32" si="16">E31</f>
        <v>план август-декабрь 2022*</v>
      </c>
      <c r="L31" s="330" t="str">
        <f t="shared" ref="L31:L32" si="17">F31</f>
        <v>прогноз август-декабрь 2022</v>
      </c>
      <c r="M31" s="330" t="str">
        <f>M7</f>
        <v>прогноз 22 /план 22</v>
      </c>
    </row>
    <row r="32" spans="1:13" s="187" customFormat="1" ht="18" customHeight="1" x14ac:dyDescent="0.2">
      <c r="A32" s="192" t="s">
        <v>280</v>
      </c>
      <c r="B32" s="385">
        <f>ЧП!G10/1000</f>
        <v>241695.57768000002</v>
      </c>
      <c r="C32" s="385">
        <f>ЧП!O10/1000</f>
        <v>249869.75334999998</v>
      </c>
      <c r="D32" s="386">
        <f>'слайд 3 и 5'!D32</f>
        <v>104687.27681</v>
      </c>
      <c r="E32" s="385">
        <f>ЧП!I10/1000</f>
        <v>151246.13673</v>
      </c>
      <c r="F32" s="385">
        <f>ЧП!J10/1000</f>
        <v>118902.03467000001</v>
      </c>
      <c r="G32" s="385">
        <f>D32+F32</f>
        <v>223589.31148</v>
      </c>
      <c r="H32" s="199">
        <f t="shared" ref="H32:H39" si="18">G32/C32-100%</f>
        <v>-0.10517656305998824</v>
      </c>
      <c r="I32" s="199">
        <f t="shared" ref="I32:I36" si="19">G32/B32-100%</f>
        <v>-7.4913518790039046E-2</v>
      </c>
      <c r="J32" s="193">
        <f>D32</f>
        <v>104687.27681</v>
      </c>
      <c r="K32" s="385">
        <f t="shared" si="16"/>
        <v>151246.13673</v>
      </c>
      <c r="L32" s="385">
        <f t="shared" si="17"/>
        <v>118902.03467000001</v>
      </c>
      <c r="M32" s="199">
        <f>L32/K32-100%</f>
        <v>-0.21385076511236578</v>
      </c>
    </row>
    <row r="33" spans="1:13" s="187" customFormat="1" ht="18" customHeight="1" x14ac:dyDescent="0.2">
      <c r="A33" s="192" t="s">
        <v>297</v>
      </c>
      <c r="B33" s="385">
        <f>ЧП!G11/1000</f>
        <v>285801.22724000004</v>
      </c>
      <c r="C33" s="385">
        <f>ЧП!O11/1000</f>
        <v>294747.31138999999</v>
      </c>
      <c r="D33" s="386">
        <f>'слайд 3 и 5'!D33</f>
        <v>150110.96733000001</v>
      </c>
      <c r="E33" s="385">
        <f>ЧП!I11/1000</f>
        <v>161747.35655000003</v>
      </c>
      <c r="F33" s="385">
        <f>ЧП!J11/1000</f>
        <v>138736.21283999999</v>
      </c>
      <c r="G33" s="385">
        <f t="shared" ref="G33:G39" si="20">D33+F33</f>
        <v>288847.18017000001</v>
      </c>
      <c r="H33" s="199">
        <f t="shared" si="18"/>
        <v>-2.00175913129641E-2</v>
      </c>
      <c r="I33" s="199">
        <f t="shared" si="19"/>
        <v>1.0657592199357913E-2</v>
      </c>
      <c r="J33" s="193">
        <f t="shared" ref="J33:J39" si="21">D33</f>
        <v>150110.96733000001</v>
      </c>
      <c r="K33" s="385">
        <f t="shared" ref="K33:K39" si="22">E33</f>
        <v>161747.35655000003</v>
      </c>
      <c r="L33" s="385">
        <f t="shared" ref="L33:L39" si="23">F33</f>
        <v>138736.21283999999</v>
      </c>
      <c r="M33" s="199">
        <f t="shared" ref="M33:M39" si="24">L33/K33-100%</f>
        <v>-0.14226596465511154</v>
      </c>
    </row>
    <row r="34" spans="1:13" s="187" customFormat="1" ht="18" customHeight="1" x14ac:dyDescent="0.2">
      <c r="A34" s="192" t="s">
        <v>306</v>
      </c>
      <c r="B34" s="385">
        <f>ЧП!G12/1000</f>
        <v>64893.620040000002</v>
      </c>
      <c r="C34" s="385">
        <f>ЧП!O12/1000</f>
        <v>73783.897299999997</v>
      </c>
      <c r="D34" s="386">
        <f>'слайд 3 и 5'!D34</f>
        <v>27332.272199999999</v>
      </c>
      <c r="E34" s="385">
        <f>ЧП!I12/1000</f>
        <v>49801.97133</v>
      </c>
      <c r="F34" s="385">
        <f>ЧП!J12/1000</f>
        <v>40414.954859999998</v>
      </c>
      <c r="G34" s="385">
        <f t="shared" si="20"/>
        <v>67747.227060000005</v>
      </c>
      <c r="H34" s="199">
        <f t="shared" si="18"/>
        <v>-8.1815551372345197E-2</v>
      </c>
      <c r="I34" s="199">
        <f t="shared" si="19"/>
        <v>4.3973614328204569E-2</v>
      </c>
      <c r="J34" s="193">
        <f t="shared" si="21"/>
        <v>27332.272199999999</v>
      </c>
      <c r="K34" s="385">
        <f t="shared" si="22"/>
        <v>49801.97133</v>
      </c>
      <c r="L34" s="385">
        <f t="shared" si="23"/>
        <v>40414.954859999998</v>
      </c>
      <c r="M34" s="199">
        <f t="shared" si="24"/>
        <v>-0.18848684538608607</v>
      </c>
    </row>
    <row r="35" spans="1:13" s="187" customFormat="1" ht="18" customHeight="1" x14ac:dyDescent="0.2">
      <c r="A35" s="192" t="s">
        <v>316</v>
      </c>
      <c r="B35" s="385">
        <f>ЧП!G13/1000</f>
        <v>100412.65916</v>
      </c>
      <c r="C35" s="385">
        <f>ЧП!O13/1000</f>
        <v>121606.13013999999</v>
      </c>
      <c r="D35" s="386">
        <f>'слайд 3 и 5'!D35</f>
        <v>43297.200819999998</v>
      </c>
      <c r="E35" s="385">
        <f>ЧП!I13/1000</f>
        <v>74215.617019999991</v>
      </c>
      <c r="F35" s="385">
        <f>ЧП!J13/1000</f>
        <v>65773.889410000003</v>
      </c>
      <c r="G35" s="385">
        <f t="shared" si="20"/>
        <v>109071.09023</v>
      </c>
      <c r="H35" s="199">
        <f t="shared" si="18"/>
        <v>-0.10307901333237834</v>
      </c>
      <c r="I35" s="199">
        <f>(G35/B35-100%)</f>
        <v>8.6228480974728905E-2</v>
      </c>
      <c r="J35" s="193">
        <f t="shared" si="21"/>
        <v>43297.200819999998</v>
      </c>
      <c r="K35" s="385">
        <f t="shared" si="22"/>
        <v>74215.617019999991</v>
      </c>
      <c r="L35" s="385">
        <f t="shared" si="23"/>
        <v>65773.889410000003</v>
      </c>
      <c r="M35" s="199">
        <f t="shared" si="24"/>
        <v>-0.11374597354253713</v>
      </c>
    </row>
    <row r="36" spans="1:13" s="187" customFormat="1" ht="18" customHeight="1" x14ac:dyDescent="0.2">
      <c r="A36" s="192" t="s">
        <v>327</v>
      </c>
      <c r="B36" s="385">
        <f>ЧП!G14/1000</f>
        <v>189055.94416999997</v>
      </c>
      <c r="C36" s="385">
        <f>ЧП!O14/1000</f>
        <v>215672.54130000001</v>
      </c>
      <c r="D36" s="386">
        <f>'слайд 3 и 5'!D36</f>
        <v>113637.44145</v>
      </c>
      <c r="E36" s="385">
        <f>ЧП!I14/1000</f>
        <v>119392.39448</v>
      </c>
      <c r="F36" s="385">
        <f>ЧП!J14/1000</f>
        <v>108716.11631</v>
      </c>
      <c r="G36" s="385">
        <f t="shared" si="20"/>
        <v>222353.55776</v>
      </c>
      <c r="H36" s="199">
        <f t="shared" si="18"/>
        <v>3.0977594179254941E-2</v>
      </c>
      <c r="I36" s="214">
        <f t="shared" si="19"/>
        <v>0.17612571631209151</v>
      </c>
      <c r="J36" s="193">
        <f t="shared" si="21"/>
        <v>113637.44145</v>
      </c>
      <c r="K36" s="385">
        <f t="shared" si="22"/>
        <v>119392.39448</v>
      </c>
      <c r="L36" s="385">
        <f t="shared" si="23"/>
        <v>108716.11631</v>
      </c>
      <c r="M36" s="199">
        <f t="shared" si="24"/>
        <v>-8.9421761046834858E-2</v>
      </c>
    </row>
    <row r="37" spans="1:13" s="187" customFormat="1" ht="18" customHeight="1" x14ac:dyDescent="0.2">
      <c r="A37" s="192" t="s">
        <v>337</v>
      </c>
      <c r="B37" s="385">
        <f>ЧП!G15/1000</f>
        <v>59839.070570000003</v>
      </c>
      <c r="C37" s="385">
        <f>ЧП!O15/1000</f>
        <v>89700.156189999994</v>
      </c>
      <c r="D37" s="386">
        <f>'слайд 3 и 5'!D37</f>
        <v>-1338.0232699999999</v>
      </c>
      <c r="E37" s="385">
        <f>ЧП!I15/1000</f>
        <v>77908.175310000006</v>
      </c>
      <c r="F37" s="385">
        <f>ЧП!J15/1000</f>
        <v>42740.645750000003</v>
      </c>
      <c r="G37" s="385">
        <f t="shared" si="20"/>
        <v>41402.622480000005</v>
      </c>
      <c r="H37" s="199">
        <f>(G37/C37-100%)</f>
        <v>-0.53843310604384786</v>
      </c>
      <c r="I37" s="199">
        <f>(G37/B37-100%)</f>
        <v>-0.3081005088211215</v>
      </c>
      <c r="J37" s="193">
        <f t="shared" si="21"/>
        <v>-1338.0232699999999</v>
      </c>
      <c r="K37" s="385">
        <f t="shared" si="22"/>
        <v>77908.175310000006</v>
      </c>
      <c r="L37" s="385">
        <f t="shared" si="23"/>
        <v>42740.645750000003</v>
      </c>
      <c r="M37" s="199">
        <f t="shared" si="24"/>
        <v>-0.4513971662160855</v>
      </c>
    </row>
    <row r="38" spans="1:13" s="187" customFormat="1" ht="18" customHeight="1" x14ac:dyDescent="0.2">
      <c r="A38" s="192" t="s">
        <v>348</v>
      </c>
      <c r="B38" s="385">
        <f>ЧП!G16/1000</f>
        <v>58739.328110000002</v>
      </c>
      <c r="C38" s="385">
        <f>ЧП!O16/1000</f>
        <v>73861.113680000009</v>
      </c>
      <c r="D38" s="386">
        <f>'слайд 3 и 5'!D38</f>
        <v>38023.199329999996</v>
      </c>
      <c r="E38" s="385">
        <f>ЧП!I16/1000</f>
        <v>53408.064880000005</v>
      </c>
      <c r="F38" s="385">
        <f>ЧП!J16/1000</f>
        <v>45573.809399999998</v>
      </c>
      <c r="G38" s="385">
        <f t="shared" si="20"/>
        <v>83597.008730000001</v>
      </c>
      <c r="H38" s="199">
        <f>(G38/C38-100%)</f>
        <v>0.13181354253850452</v>
      </c>
      <c r="I38" s="199">
        <f>(G38/B38-100%)</f>
        <v>0.42318632881618101</v>
      </c>
      <c r="J38" s="193">
        <f t="shared" si="21"/>
        <v>38023.199329999996</v>
      </c>
      <c r="K38" s="385">
        <f t="shared" si="22"/>
        <v>53408.064880000005</v>
      </c>
      <c r="L38" s="385">
        <f t="shared" si="23"/>
        <v>45573.809399999998</v>
      </c>
      <c r="M38" s="199">
        <f t="shared" si="24"/>
        <v>-0.14668675035507117</v>
      </c>
    </row>
    <row r="39" spans="1:13" s="187" customFormat="1" ht="18" customHeight="1" x14ac:dyDescent="0.2">
      <c r="A39" s="192" t="s">
        <v>357</v>
      </c>
      <c r="B39" s="385">
        <f>(ЧП!F17+ЧП!F19)/1000</f>
        <v>163589.05729999999</v>
      </c>
      <c r="C39" s="385">
        <f>ЧП!O17/1000</f>
        <v>279430.42408999999</v>
      </c>
      <c r="D39" s="386">
        <f>'слайд 3 и 5'!D39</f>
        <v>182848.19055</v>
      </c>
      <c r="E39" s="385">
        <f>ЧП!I17/1000</f>
        <v>168220.83439999999</v>
      </c>
      <c r="F39" s="385">
        <f>ЧП!J17/1000</f>
        <v>172995.97586999999</v>
      </c>
      <c r="G39" s="385">
        <f t="shared" si="20"/>
        <v>355844.16642000002</v>
      </c>
      <c r="H39" s="199">
        <f t="shared" si="18"/>
        <v>0.27346249993661531</v>
      </c>
      <c r="I39" s="199">
        <f>(G39/B39-100%)</f>
        <v>1.1752320863823456</v>
      </c>
      <c r="J39" s="193">
        <f t="shared" si="21"/>
        <v>182848.19055</v>
      </c>
      <c r="K39" s="385">
        <f t="shared" si="22"/>
        <v>168220.83439999999</v>
      </c>
      <c r="L39" s="385">
        <f t="shared" si="23"/>
        <v>172995.97586999999</v>
      </c>
      <c r="M39" s="199">
        <f t="shared" si="24"/>
        <v>2.8386147810000484E-2</v>
      </c>
    </row>
    <row r="43" spans="1:13" ht="19.5" customHeight="1" x14ac:dyDescent="0.25"/>
  </sheetData>
  <mergeCells count="11">
    <mergeCell ref="A30:A31"/>
    <mergeCell ref="B30:G30"/>
    <mergeCell ref="H30:I30"/>
    <mergeCell ref="J6:M6"/>
    <mergeCell ref="J30:M30"/>
    <mergeCell ref="A6:A7"/>
    <mergeCell ref="B6:G6"/>
    <mergeCell ref="H6:I6"/>
    <mergeCell ref="A18:A19"/>
    <mergeCell ref="B18:G18"/>
    <mergeCell ref="H18:I18"/>
  </mergeCells>
  <conditionalFormatting sqref="H8:I15">
    <cfRule type="cellIs" dxfId="75" priority="16" operator="lessThan">
      <formula>0</formula>
    </cfRule>
    <cfRule type="cellIs" dxfId="74" priority="17" operator="greaterThan">
      <formula>0</formula>
    </cfRule>
  </conditionalFormatting>
  <conditionalFormatting sqref="H32:I39">
    <cfRule type="cellIs" dxfId="73" priority="14" operator="lessThan">
      <formula>0</formula>
    </cfRule>
    <cfRule type="cellIs" dxfId="72" priority="15" operator="greaterThan">
      <formula>0</formula>
    </cfRule>
  </conditionalFormatting>
  <conditionalFormatting sqref="H20:K27">
    <cfRule type="cellIs" dxfId="71" priority="12" operator="lessThan">
      <formula>0</formula>
    </cfRule>
    <cfRule type="cellIs" dxfId="70" priority="13" operator="greaterThan">
      <formula>0</formula>
    </cfRule>
  </conditionalFormatting>
  <conditionalFormatting sqref="M8:M15">
    <cfRule type="cellIs" dxfId="69" priority="8" operator="lessThan">
      <formula>0</formula>
    </cfRule>
    <cfRule type="cellIs" dxfId="68" priority="9" operator="greaterThan">
      <formula>0</formula>
    </cfRule>
  </conditionalFormatting>
  <conditionalFormatting sqref="M32:M39">
    <cfRule type="cellIs" dxfId="67" priority="2" operator="lessThan">
      <formula>0</formula>
    </cfRule>
    <cfRule type="cellIs" dxfId="66" priority="3" operator="greaterThan">
      <formula>0</formula>
    </cfRule>
  </conditionalFormatting>
  <pageMargins left="0.7" right="0.7" top="0.75" bottom="0.75" header="0.3" footer="0.3"/>
  <pageSetup paperSize="9" scale="2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1B20637-ACEA-48E0-A5C2-F5CD9BE0D4B1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2"/>
              <x14:cfIcon iconSet="3Arrows" iconId="2"/>
              <x14:cfIcon iconSet="3Arrows" iconId="0"/>
            </x14:iconSet>
          </x14:cfRule>
          <xm:sqref>H20:K27</xm:sqref>
        </x14:conditionalFormatting>
        <x14:conditionalFormatting xmlns:xm="http://schemas.microsoft.com/office/excel/2006/main">
          <x14:cfRule type="iconSet" priority="11" id="{12253759-C270-48E7-AC34-99B4210DD327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H8:I15 H32:I39</xm:sqref>
        </x14:conditionalFormatting>
        <x14:conditionalFormatting xmlns:xm="http://schemas.microsoft.com/office/excel/2006/main">
          <x14:cfRule type="iconSet" priority="7" id="{8AAF6E03-4DF0-45D9-8377-A16E5B308B7F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M8:M15</xm:sqref>
        </x14:conditionalFormatting>
        <x14:conditionalFormatting xmlns:xm="http://schemas.microsoft.com/office/excel/2006/main">
          <x14:cfRule type="iconSet" priority="1" id="{B4A48AE2-C625-41E6-937A-F01DEC4E4260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M32:M39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L23"/>
  <sheetViews>
    <sheetView topLeftCell="A4" workbookViewId="0">
      <selection activeCell="A29" sqref="A29:XFD40"/>
    </sheetView>
  </sheetViews>
  <sheetFormatPr defaultColWidth="9" defaultRowHeight="11.45" customHeight="1" outlineLevelRow="2" outlineLevelCol="1" x14ac:dyDescent="0.2"/>
  <cols>
    <col min="1" max="1" width="8.140625" style="370" customWidth="1"/>
    <col min="2" max="2" width="0.85546875" style="370" customWidth="1"/>
    <col min="3" max="3" width="43.140625" style="370" customWidth="1"/>
    <col min="4" max="4" width="7.85546875" style="370" customWidth="1"/>
    <col min="5" max="5" width="12" style="370" customWidth="1"/>
    <col min="6" max="9" width="18" style="370" customWidth="1" outlineLevel="1"/>
    <col min="10" max="10" width="9" style="372"/>
    <col min="11" max="11" width="16.5703125" style="372" customWidth="1"/>
    <col min="12" max="12" width="21" style="372" customWidth="1"/>
    <col min="13" max="16384" width="9" style="372"/>
  </cols>
  <sheetData>
    <row r="1" spans="1:12" s="370" customFormat="1" ht="9.9499999999999993" customHeight="1" x14ac:dyDescent="0.2"/>
    <row r="2" spans="1:12" ht="24.95" customHeight="1" x14ac:dyDescent="0.2">
      <c r="A2" s="371" t="s">
        <v>0</v>
      </c>
      <c r="B2" s="371"/>
      <c r="C2" s="371"/>
      <c r="D2" s="371"/>
    </row>
    <row r="3" spans="1:12" s="370" customFormat="1" ht="9.9499999999999993" customHeight="1" x14ac:dyDescent="0.2"/>
    <row r="4" spans="1:12" ht="12.95" customHeight="1" outlineLevel="1" x14ac:dyDescent="0.2">
      <c r="A4" s="373" t="s">
        <v>1</v>
      </c>
      <c r="B4" s="373" t="s">
        <v>903</v>
      </c>
      <c r="C4" s="373"/>
    </row>
    <row r="5" spans="1:12" s="370" customFormat="1" ht="9.9499999999999993" customHeight="1" x14ac:dyDescent="0.2"/>
    <row r="6" spans="1:12" ht="12.95" customHeight="1" x14ac:dyDescent="0.2">
      <c r="A6" s="455" t="s">
        <v>277</v>
      </c>
      <c r="B6" s="455"/>
      <c r="C6" s="455"/>
      <c r="D6" s="455"/>
      <c r="E6" s="455"/>
      <c r="F6" s="374" t="s">
        <v>904</v>
      </c>
      <c r="G6" s="374" t="s">
        <v>905</v>
      </c>
      <c r="H6" s="374" t="s">
        <v>905</v>
      </c>
      <c r="I6" s="374" t="s">
        <v>905</v>
      </c>
    </row>
    <row r="7" spans="1:12" ht="12.95" customHeight="1" x14ac:dyDescent="0.2">
      <c r="A7" s="456"/>
      <c r="B7" s="457"/>
      <c r="C7" s="457"/>
      <c r="D7" s="457"/>
      <c r="E7" s="458"/>
      <c r="F7" s="374" t="s">
        <v>5</v>
      </c>
      <c r="G7" s="374" t="s">
        <v>910</v>
      </c>
      <c r="H7" s="374" t="s">
        <v>770</v>
      </c>
      <c r="I7" s="374" t="s">
        <v>5</v>
      </c>
    </row>
    <row r="8" spans="1:12" ht="26.1" customHeight="1" x14ac:dyDescent="0.2">
      <c r="A8" s="459"/>
      <c r="B8" s="460"/>
      <c r="C8" s="460"/>
      <c r="D8" s="460"/>
      <c r="E8" s="461"/>
      <c r="F8" s="374" t="s">
        <v>906</v>
      </c>
      <c r="G8" s="374" t="s">
        <v>906</v>
      </c>
      <c r="H8" s="374" t="s">
        <v>906</v>
      </c>
      <c r="I8" s="374" t="s">
        <v>906</v>
      </c>
      <c r="K8" s="451" t="s">
        <v>277</v>
      </c>
      <c r="L8" s="387" t="s">
        <v>905</v>
      </c>
    </row>
    <row r="9" spans="1:12" ht="11.1" customHeight="1" x14ac:dyDescent="0.2">
      <c r="A9" s="375"/>
      <c r="B9" s="376"/>
      <c r="C9" s="376"/>
      <c r="D9" s="376"/>
      <c r="E9" s="377"/>
      <c r="F9" s="379"/>
      <c r="G9" s="379"/>
      <c r="H9" s="379"/>
      <c r="I9" s="379"/>
      <c r="K9" s="452"/>
      <c r="L9" s="387" t="s">
        <v>914</v>
      </c>
    </row>
    <row r="10" spans="1:12" ht="11.1" customHeight="1" x14ac:dyDescent="0.2">
      <c r="A10" s="462" t="s">
        <v>278</v>
      </c>
      <c r="B10" s="462"/>
      <c r="C10" s="462"/>
      <c r="D10" s="462"/>
      <c r="E10" s="462"/>
      <c r="F10" s="380">
        <v>10275966568.08</v>
      </c>
      <c r="G10" s="389">
        <v>5222289591.2400007</v>
      </c>
      <c r="H10" s="380">
        <v>4835165086.1499996</v>
      </c>
      <c r="I10" s="380">
        <v>6263515130.3000002</v>
      </c>
      <c r="K10" s="388" t="s">
        <v>278</v>
      </c>
      <c r="L10" s="389">
        <v>11262624779.6</v>
      </c>
    </row>
    <row r="11" spans="1:12" ht="11.1" customHeight="1" outlineLevel="1" x14ac:dyDescent="0.2">
      <c r="A11" s="454" t="s">
        <v>279</v>
      </c>
      <c r="B11" s="454"/>
      <c r="C11" s="454"/>
      <c r="D11" s="454"/>
      <c r="E11" s="454"/>
      <c r="F11" s="380">
        <v>7460602592.6199999</v>
      </c>
      <c r="G11" s="389">
        <v>3735787279.4700003</v>
      </c>
      <c r="H11" s="380">
        <v>3525123565.9099998</v>
      </c>
      <c r="I11" s="380">
        <v>4195072436.73</v>
      </c>
      <c r="K11" s="390" t="s">
        <v>279</v>
      </c>
      <c r="L11" s="389">
        <v>8061048283.2400007</v>
      </c>
    </row>
    <row r="12" spans="1:12" ht="11.1" customHeight="1" outlineLevel="2" x14ac:dyDescent="0.2">
      <c r="A12" s="453" t="s">
        <v>280</v>
      </c>
      <c r="B12" s="453"/>
      <c r="C12" s="453"/>
      <c r="D12" s="453"/>
      <c r="E12" s="453"/>
      <c r="F12" s="380">
        <v>1157605019.1099999</v>
      </c>
      <c r="G12" s="389">
        <v>562804660.33000004</v>
      </c>
      <c r="H12" s="380">
        <v>513777449.05000001</v>
      </c>
      <c r="I12" s="380">
        <v>646412642.30999994</v>
      </c>
      <c r="K12" s="391" t="s">
        <v>280</v>
      </c>
      <c r="L12" s="389">
        <v>1206925976.23</v>
      </c>
    </row>
    <row r="13" spans="1:12" ht="11.1" customHeight="1" outlineLevel="2" x14ac:dyDescent="0.2">
      <c r="A13" s="453" t="s">
        <v>297</v>
      </c>
      <c r="B13" s="453"/>
      <c r="C13" s="453"/>
      <c r="D13" s="453"/>
      <c r="E13" s="453"/>
      <c r="F13" s="380">
        <v>1575165447.0899999</v>
      </c>
      <c r="G13" s="389">
        <v>848678905.98000002</v>
      </c>
      <c r="H13" s="380">
        <v>761518416.79999995</v>
      </c>
      <c r="I13" s="380">
        <v>875510919.02999997</v>
      </c>
      <c r="K13" s="391" t="s">
        <v>297</v>
      </c>
      <c r="L13" s="389">
        <v>1818956108.7</v>
      </c>
    </row>
    <row r="14" spans="1:12" ht="11.1" customHeight="1" outlineLevel="2" x14ac:dyDescent="0.2">
      <c r="A14" s="453" t="s">
        <v>306</v>
      </c>
      <c r="B14" s="453"/>
      <c r="C14" s="453"/>
      <c r="D14" s="453"/>
      <c r="E14" s="453"/>
      <c r="F14" s="380">
        <v>798603960.17999995</v>
      </c>
      <c r="G14" s="389">
        <v>391739921.16000003</v>
      </c>
      <c r="H14" s="380">
        <v>382003725.63</v>
      </c>
      <c r="I14" s="380">
        <v>454012514.32999998</v>
      </c>
      <c r="K14" s="391" t="s">
        <v>306</v>
      </c>
      <c r="L14" s="389">
        <v>861325723.57000005</v>
      </c>
    </row>
    <row r="15" spans="1:12" ht="11.1" customHeight="1" outlineLevel="2" x14ac:dyDescent="0.2">
      <c r="A15" s="453" t="s">
        <v>316</v>
      </c>
      <c r="B15" s="453"/>
      <c r="C15" s="453"/>
      <c r="D15" s="453"/>
      <c r="E15" s="453"/>
      <c r="F15" s="380">
        <v>840637058.23000002</v>
      </c>
      <c r="G15" s="389">
        <v>406634548.75999999</v>
      </c>
      <c r="H15" s="380">
        <v>411364625.62</v>
      </c>
      <c r="I15" s="380">
        <v>450783460.25</v>
      </c>
      <c r="K15" s="391" t="s">
        <v>316</v>
      </c>
      <c r="L15" s="389">
        <v>878358931.33000004</v>
      </c>
    </row>
    <row r="16" spans="1:12" ht="11.1" customHeight="1" outlineLevel="2" x14ac:dyDescent="0.2">
      <c r="A16" s="453" t="s">
        <v>327</v>
      </c>
      <c r="B16" s="453"/>
      <c r="C16" s="453"/>
      <c r="D16" s="453"/>
      <c r="E16" s="453"/>
      <c r="F16" s="380">
        <v>1256903594.29</v>
      </c>
      <c r="G16" s="389">
        <v>597298227.14999998</v>
      </c>
      <c r="H16" s="380">
        <v>588995965.98000002</v>
      </c>
      <c r="I16" s="380">
        <v>744733091.48000002</v>
      </c>
      <c r="K16" s="391" t="s">
        <v>327</v>
      </c>
      <c r="L16" s="389">
        <v>1304081069.8499999</v>
      </c>
    </row>
    <row r="17" spans="1:12" ht="11.1" customHeight="1" outlineLevel="2" x14ac:dyDescent="0.2">
      <c r="A17" s="453" t="s">
        <v>337</v>
      </c>
      <c r="B17" s="453"/>
      <c r="C17" s="453"/>
      <c r="D17" s="453"/>
      <c r="E17" s="453"/>
      <c r="F17" s="380">
        <v>1067240898.04</v>
      </c>
      <c r="G17" s="389">
        <v>529247165.60000002</v>
      </c>
      <c r="H17" s="380">
        <v>485791003.02999997</v>
      </c>
      <c r="I17" s="380">
        <v>570520166.11000001</v>
      </c>
      <c r="K17" s="391" t="s">
        <v>337</v>
      </c>
      <c r="L17" s="389">
        <v>1130867270.75</v>
      </c>
    </row>
    <row r="18" spans="1:12" ht="11.1" customHeight="1" outlineLevel="2" x14ac:dyDescent="0.2">
      <c r="A18" s="453" t="s">
        <v>348</v>
      </c>
      <c r="B18" s="453"/>
      <c r="C18" s="453"/>
      <c r="D18" s="453"/>
      <c r="E18" s="453"/>
      <c r="F18" s="380">
        <v>764446615.67999995</v>
      </c>
      <c r="G18" s="389">
        <v>399383850.49000001</v>
      </c>
      <c r="H18" s="380">
        <v>381672379.80000001</v>
      </c>
      <c r="I18" s="380">
        <v>453099643.22000003</v>
      </c>
      <c r="K18" s="391" t="s">
        <v>348</v>
      </c>
      <c r="L18" s="389">
        <v>860533202.80999994</v>
      </c>
    </row>
    <row r="19" spans="1:12" ht="11.1" customHeight="1" outlineLevel="1" x14ac:dyDescent="0.2">
      <c r="A19" s="454" t="s">
        <v>357</v>
      </c>
      <c r="B19" s="454"/>
      <c r="C19" s="454"/>
      <c r="D19" s="454"/>
      <c r="E19" s="454"/>
      <c r="F19" s="380">
        <v>2414815707.1700001</v>
      </c>
      <c r="G19" s="389">
        <v>1310216130.5500002</v>
      </c>
      <c r="H19" s="380">
        <v>1310041520.24</v>
      </c>
      <c r="I19" s="380">
        <v>1944103920.6900001</v>
      </c>
      <c r="K19" s="390" t="s">
        <v>357</v>
      </c>
      <c r="L19" s="389">
        <v>2934498326.04</v>
      </c>
    </row>
    <row r="20" spans="1:12" ht="11.1" customHeight="1" outlineLevel="1" x14ac:dyDescent="0.2">
      <c r="A20" s="454" t="s">
        <v>358</v>
      </c>
      <c r="B20" s="454"/>
      <c r="C20" s="454"/>
      <c r="D20" s="454"/>
      <c r="E20" s="454"/>
      <c r="F20" s="380">
        <v>306084429.49000001</v>
      </c>
      <c r="G20" s="380"/>
      <c r="H20" s="379"/>
      <c r="I20" s="379"/>
      <c r="K20" s="392" t="s">
        <v>6</v>
      </c>
      <c r="L20" s="400">
        <v>11262624779.6</v>
      </c>
    </row>
    <row r="21" spans="1:12" ht="11.1" customHeight="1" outlineLevel="2" x14ac:dyDescent="0.2">
      <c r="A21" s="453" t="s">
        <v>359</v>
      </c>
      <c r="B21" s="453"/>
      <c r="C21" s="453"/>
      <c r="D21" s="453"/>
      <c r="E21" s="453"/>
      <c r="F21" s="380">
        <v>306084429.49000001</v>
      </c>
      <c r="G21" s="380"/>
      <c r="H21" s="379"/>
      <c r="I21" s="379"/>
    </row>
    <row r="22" spans="1:12" ht="11.1" customHeight="1" outlineLevel="1" x14ac:dyDescent="0.2">
      <c r="A22" s="454" t="s">
        <v>360</v>
      </c>
      <c r="B22" s="454"/>
      <c r="C22" s="454"/>
      <c r="D22" s="454"/>
      <c r="E22" s="454"/>
      <c r="F22" s="380">
        <v>94463838.799999997</v>
      </c>
      <c r="G22" s="383">
        <v>176286181.22</v>
      </c>
      <c r="H22" s="379"/>
      <c r="I22" s="380">
        <v>124338772.88</v>
      </c>
    </row>
    <row r="23" spans="1:12" ht="12.95" customHeight="1" x14ac:dyDescent="0.2">
      <c r="A23" s="450" t="s">
        <v>6</v>
      </c>
      <c r="B23" s="450"/>
      <c r="C23" s="450"/>
      <c r="D23" s="450"/>
      <c r="E23" s="450"/>
      <c r="F23" s="382">
        <v>10275966568.08</v>
      </c>
      <c r="G23" s="400">
        <v>5222289591.2400007</v>
      </c>
      <c r="H23" s="382">
        <v>4835165086.1499996</v>
      </c>
      <c r="I23" s="382">
        <v>6263515130.3000002</v>
      </c>
    </row>
  </sheetData>
  <mergeCells count="16">
    <mergeCell ref="A23:E23"/>
    <mergeCell ref="K8:K9"/>
    <mergeCell ref="A17:E17"/>
    <mergeCell ref="A18:E18"/>
    <mergeCell ref="A19:E19"/>
    <mergeCell ref="A20:E20"/>
    <mergeCell ref="A21:E21"/>
    <mergeCell ref="A22:E22"/>
    <mergeCell ref="A11:E11"/>
    <mergeCell ref="A12:E12"/>
    <mergeCell ref="A13:E13"/>
    <mergeCell ref="A14:E14"/>
    <mergeCell ref="A15:E15"/>
    <mergeCell ref="A16:E16"/>
    <mergeCell ref="A6:E8"/>
    <mergeCell ref="A10:E10"/>
  </mergeCells>
  <pageMargins left="0.75" right="1" top="0.75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24"/>
  <sheetViews>
    <sheetView workbookViewId="0">
      <selection activeCell="A31" sqref="A31:XFD47"/>
    </sheetView>
  </sheetViews>
  <sheetFormatPr defaultColWidth="9" defaultRowHeight="11.45" customHeight="1" outlineLevelRow="2" outlineLevelCol="1" x14ac:dyDescent="0.2"/>
  <cols>
    <col min="1" max="1" width="9" style="370" customWidth="1"/>
    <col min="2" max="2" width="51" style="370" customWidth="1"/>
    <col min="3" max="3" width="10" style="370" customWidth="1"/>
    <col min="4" max="4" width="11.5703125" style="370" customWidth="1"/>
    <col min="5" max="5" width="11.5703125" style="370" customWidth="1" outlineLevel="1"/>
    <col min="6" max="6" width="18" style="370" customWidth="1"/>
    <col min="7" max="7" width="18" style="370" customWidth="1" outlineLevel="1"/>
    <col min="8" max="8" width="19" style="370" customWidth="1"/>
    <col min="9" max="9" width="22" style="370" customWidth="1" outlineLevel="1"/>
    <col min="10" max="10" width="16" style="370" customWidth="1" outlineLevel="1"/>
    <col min="11" max="11" width="17" style="370" customWidth="1" outlineLevel="1"/>
    <col min="12" max="12" width="19" style="370" customWidth="1"/>
    <col min="13" max="13" width="9" style="372"/>
    <col min="14" max="14" width="34.42578125" style="372" customWidth="1"/>
    <col min="15" max="15" width="20.42578125" style="372" customWidth="1"/>
    <col min="16" max="16384" width="9" style="372"/>
  </cols>
  <sheetData>
    <row r="1" spans="1:15" s="370" customFormat="1" ht="9.9499999999999993" customHeight="1" x14ac:dyDescent="0.2"/>
    <row r="2" spans="1:15" ht="24.95" customHeight="1" x14ac:dyDescent="0.2">
      <c r="A2" s="371" t="s">
        <v>0</v>
      </c>
      <c r="B2" s="371"/>
    </row>
    <row r="3" spans="1:15" s="370" customFormat="1" ht="9.9499999999999993" customHeight="1" x14ac:dyDescent="0.2"/>
    <row r="4" spans="1:15" ht="12.95" customHeight="1" x14ac:dyDescent="0.2">
      <c r="A4" s="455" t="s">
        <v>277</v>
      </c>
      <c r="B4" s="455"/>
      <c r="C4" s="455"/>
      <c r="D4" s="455"/>
      <c r="E4" s="374"/>
      <c r="F4" s="455" t="s">
        <v>904</v>
      </c>
      <c r="G4" s="374" t="s">
        <v>904</v>
      </c>
      <c r="H4" s="455" t="s">
        <v>905</v>
      </c>
      <c r="I4" s="374" t="s">
        <v>905</v>
      </c>
      <c r="J4" s="374" t="s">
        <v>905</v>
      </c>
      <c r="K4" s="374" t="s">
        <v>905</v>
      </c>
      <c r="L4" s="463" t="s">
        <v>6</v>
      </c>
    </row>
    <row r="5" spans="1:15" ht="12.95" customHeight="1" x14ac:dyDescent="0.2">
      <c r="A5" s="456"/>
      <c r="B5" s="457"/>
      <c r="C5" s="458"/>
      <c r="D5" s="465"/>
      <c r="E5" s="374"/>
      <c r="F5" s="465"/>
      <c r="G5" s="374" t="s">
        <v>5</v>
      </c>
      <c r="H5" s="465"/>
      <c r="I5" s="374" t="s">
        <v>4</v>
      </c>
      <c r="J5" s="374" t="s">
        <v>770</v>
      </c>
      <c r="K5" s="374" t="s">
        <v>5</v>
      </c>
      <c r="L5" s="464"/>
      <c r="N5" s="466" t="s">
        <v>277</v>
      </c>
      <c r="O5" s="393" t="s">
        <v>905</v>
      </c>
    </row>
    <row r="6" spans="1:15" ht="26.1" customHeight="1" x14ac:dyDescent="0.2">
      <c r="A6" s="459"/>
      <c r="B6" s="460"/>
      <c r="C6" s="461"/>
      <c r="D6" s="374" t="s">
        <v>906</v>
      </c>
      <c r="E6" s="374" t="s">
        <v>906</v>
      </c>
      <c r="F6" s="374" t="s">
        <v>906</v>
      </c>
      <c r="G6" s="374" t="s">
        <v>906</v>
      </c>
      <c r="H6" s="374" t="s">
        <v>906</v>
      </c>
      <c r="I6" s="374" t="s">
        <v>906</v>
      </c>
      <c r="J6" s="374" t="s">
        <v>906</v>
      </c>
      <c r="K6" s="374" t="s">
        <v>906</v>
      </c>
      <c r="L6" s="374" t="s">
        <v>906</v>
      </c>
      <c r="N6" s="467"/>
      <c r="O6" s="393" t="s">
        <v>914</v>
      </c>
    </row>
    <row r="7" spans="1:15" ht="11.1" customHeight="1" x14ac:dyDescent="0.2">
      <c r="A7" s="375"/>
      <c r="B7" s="376"/>
      <c r="C7" s="377"/>
      <c r="D7" s="378"/>
      <c r="E7" s="378"/>
      <c r="F7" s="379"/>
      <c r="G7" s="379"/>
      <c r="H7" s="379"/>
      <c r="I7" s="379"/>
      <c r="J7" s="379"/>
      <c r="K7" s="379"/>
      <c r="L7" s="378"/>
      <c r="N7" s="394"/>
      <c r="O7" s="395"/>
    </row>
    <row r="8" spans="1:15" ht="11.1" customHeight="1" x14ac:dyDescent="0.2">
      <c r="A8" s="462" t="s">
        <v>278</v>
      </c>
      <c r="B8" s="462"/>
      <c r="C8" s="462"/>
      <c r="D8" s="379"/>
      <c r="E8" s="379"/>
      <c r="F8" s="380">
        <v>179181664.02000001</v>
      </c>
      <c r="G8" s="380">
        <v>179181664.02000001</v>
      </c>
      <c r="H8" s="380">
        <v>942608354.39999998</v>
      </c>
      <c r="I8" s="396">
        <v>147587189.96000001</v>
      </c>
      <c r="J8" s="380">
        <v>733853639.11000001</v>
      </c>
      <c r="K8" s="380">
        <v>62354939.729999997</v>
      </c>
      <c r="L8" s="380">
        <v>1121790018.4200001</v>
      </c>
      <c r="N8" s="394" t="s">
        <v>278</v>
      </c>
      <c r="O8" s="396">
        <v>91484244.540000007</v>
      </c>
    </row>
    <row r="9" spans="1:15" ht="11.1" customHeight="1" outlineLevel="1" x14ac:dyDescent="0.2">
      <c r="A9" s="454" t="s">
        <v>279</v>
      </c>
      <c r="B9" s="454"/>
      <c r="C9" s="454"/>
      <c r="D9" s="379"/>
      <c r="E9" s="379"/>
      <c r="F9" s="380">
        <v>1000437426.97</v>
      </c>
      <c r="G9" s="380">
        <v>1000437426.97</v>
      </c>
      <c r="H9" s="380">
        <v>1723140299.8099999</v>
      </c>
      <c r="I9" s="396">
        <v>687719716.29999995</v>
      </c>
      <c r="J9" s="380">
        <v>560857663.24000001</v>
      </c>
      <c r="K9" s="380">
        <v>475750334.67000002</v>
      </c>
      <c r="L9" s="380">
        <v>2723577726.7800002</v>
      </c>
      <c r="N9" s="397" t="s">
        <v>279</v>
      </c>
      <c r="O9" s="396">
        <v>1119240903.3499999</v>
      </c>
    </row>
    <row r="10" spans="1:15" ht="11.1" customHeight="1" outlineLevel="2" x14ac:dyDescent="0.2">
      <c r="A10" s="453" t="s">
        <v>280</v>
      </c>
      <c r="B10" s="453"/>
      <c r="C10" s="453"/>
      <c r="D10" s="379"/>
      <c r="E10" s="379"/>
      <c r="F10" s="380">
        <v>241695577.68000001</v>
      </c>
      <c r="G10" s="380">
        <v>241695577.68000001</v>
      </c>
      <c r="H10" s="380">
        <v>374835448.20999998</v>
      </c>
      <c r="I10" s="396">
        <v>151246136.72999999</v>
      </c>
      <c r="J10" s="380">
        <v>118902034.67</v>
      </c>
      <c r="K10" s="380">
        <v>104687276.81</v>
      </c>
      <c r="L10" s="380">
        <v>616531025.88999999</v>
      </c>
      <c r="N10" s="398" t="s">
        <v>280</v>
      </c>
      <c r="O10" s="396">
        <v>249869753.34999999</v>
      </c>
    </row>
    <row r="11" spans="1:15" ht="11.1" customHeight="1" outlineLevel="2" x14ac:dyDescent="0.2">
      <c r="A11" s="453" t="s">
        <v>297</v>
      </c>
      <c r="B11" s="453"/>
      <c r="C11" s="453"/>
      <c r="D11" s="379"/>
      <c r="E11" s="379"/>
      <c r="F11" s="380">
        <v>285801227.24000001</v>
      </c>
      <c r="G11" s="380">
        <v>285801227.24000001</v>
      </c>
      <c r="H11" s="380">
        <v>450594536.72000003</v>
      </c>
      <c r="I11" s="396">
        <v>161747356.55000001</v>
      </c>
      <c r="J11" s="380">
        <v>138736212.84</v>
      </c>
      <c r="K11" s="380">
        <v>150110967.33000001</v>
      </c>
      <c r="L11" s="380">
        <v>736395763.96000004</v>
      </c>
      <c r="N11" s="398" t="s">
        <v>297</v>
      </c>
      <c r="O11" s="396">
        <v>294747311.38999999</v>
      </c>
    </row>
    <row r="12" spans="1:15" ht="11.1" customHeight="1" outlineLevel="2" x14ac:dyDescent="0.2">
      <c r="A12" s="453" t="s">
        <v>306</v>
      </c>
      <c r="B12" s="453"/>
      <c r="C12" s="453"/>
      <c r="D12" s="379"/>
      <c r="E12" s="379"/>
      <c r="F12" s="380">
        <v>64893620.039999999</v>
      </c>
      <c r="G12" s="380">
        <v>64893620.039999999</v>
      </c>
      <c r="H12" s="380">
        <v>117549198.39</v>
      </c>
      <c r="I12" s="396">
        <v>49801971.329999998</v>
      </c>
      <c r="J12" s="380">
        <v>40414954.859999999</v>
      </c>
      <c r="K12" s="380">
        <v>27332272.199999999</v>
      </c>
      <c r="L12" s="380">
        <v>182442818.43000001</v>
      </c>
      <c r="N12" s="398" t="s">
        <v>306</v>
      </c>
      <c r="O12" s="396">
        <v>73783897.299999997</v>
      </c>
    </row>
    <row r="13" spans="1:15" ht="11.1" customHeight="1" outlineLevel="2" x14ac:dyDescent="0.2">
      <c r="A13" s="453" t="s">
        <v>316</v>
      </c>
      <c r="B13" s="453"/>
      <c r="C13" s="453"/>
      <c r="D13" s="379"/>
      <c r="E13" s="379"/>
      <c r="F13" s="380">
        <v>100412659.16</v>
      </c>
      <c r="G13" s="380">
        <v>100412659.16</v>
      </c>
      <c r="H13" s="380">
        <v>183286707.25</v>
      </c>
      <c r="I13" s="396">
        <v>74215617.019999996</v>
      </c>
      <c r="J13" s="380">
        <v>65773889.409999996</v>
      </c>
      <c r="K13" s="380">
        <v>43297200.82</v>
      </c>
      <c r="L13" s="380">
        <v>283699366.41000003</v>
      </c>
      <c r="N13" s="398" t="s">
        <v>316</v>
      </c>
      <c r="O13" s="396">
        <v>121606130.14</v>
      </c>
    </row>
    <row r="14" spans="1:15" ht="11.1" customHeight="1" outlineLevel="2" x14ac:dyDescent="0.2">
      <c r="A14" s="453" t="s">
        <v>327</v>
      </c>
      <c r="B14" s="453"/>
      <c r="C14" s="453"/>
      <c r="D14" s="379"/>
      <c r="E14" s="379"/>
      <c r="F14" s="380">
        <v>189055944.16999999</v>
      </c>
      <c r="G14" s="380">
        <v>189055944.16999999</v>
      </c>
      <c r="H14" s="380">
        <v>340558537.83999997</v>
      </c>
      <c r="I14" s="396">
        <v>119392394.48</v>
      </c>
      <c r="J14" s="380">
        <v>108716116.31</v>
      </c>
      <c r="K14" s="380">
        <v>113637441.45</v>
      </c>
      <c r="L14" s="380">
        <v>529614482.00999999</v>
      </c>
      <c r="N14" s="398" t="s">
        <v>327</v>
      </c>
      <c r="O14" s="396">
        <v>215672541.30000001</v>
      </c>
    </row>
    <row r="15" spans="1:15" ht="11.1" customHeight="1" outlineLevel="2" x14ac:dyDescent="0.2">
      <c r="A15" s="453" t="s">
        <v>337</v>
      </c>
      <c r="B15" s="453"/>
      <c r="C15" s="453"/>
      <c r="D15" s="379"/>
      <c r="E15" s="379"/>
      <c r="F15" s="380">
        <v>59839070.57</v>
      </c>
      <c r="G15" s="380">
        <v>59839070.57</v>
      </c>
      <c r="H15" s="380">
        <v>119310797.79000001</v>
      </c>
      <c r="I15" s="396">
        <v>77908175.310000002</v>
      </c>
      <c r="J15" s="380">
        <v>42740645.75</v>
      </c>
      <c r="K15" s="380">
        <v>-1338023.27</v>
      </c>
      <c r="L15" s="380">
        <v>179149868.36000001</v>
      </c>
      <c r="N15" s="398" t="s">
        <v>337</v>
      </c>
      <c r="O15" s="396">
        <v>89700156.189999998</v>
      </c>
    </row>
    <row r="16" spans="1:15" ht="11.1" customHeight="1" outlineLevel="2" x14ac:dyDescent="0.2">
      <c r="A16" s="453" t="s">
        <v>348</v>
      </c>
      <c r="B16" s="453"/>
      <c r="C16" s="453"/>
      <c r="D16" s="379"/>
      <c r="E16" s="379"/>
      <c r="F16" s="380">
        <v>58739328.109999999</v>
      </c>
      <c r="G16" s="380">
        <v>58739328.109999999</v>
      </c>
      <c r="H16" s="380">
        <v>137005073.61000001</v>
      </c>
      <c r="I16" s="396">
        <v>53408064.880000003</v>
      </c>
      <c r="J16" s="380">
        <v>45573809.399999999</v>
      </c>
      <c r="K16" s="380">
        <v>38023199.329999998</v>
      </c>
      <c r="L16" s="380">
        <v>195744401.72</v>
      </c>
      <c r="N16" s="398" t="s">
        <v>348</v>
      </c>
      <c r="O16" s="396">
        <v>73861113.680000007</v>
      </c>
    </row>
    <row r="17" spans="1:15" ht="11.1" customHeight="1" outlineLevel="1" x14ac:dyDescent="0.2">
      <c r="A17" s="454" t="s">
        <v>357</v>
      </c>
      <c r="B17" s="454"/>
      <c r="C17" s="454"/>
      <c r="D17" s="379"/>
      <c r="E17" s="379"/>
      <c r="F17" s="380">
        <v>145557733.38999999</v>
      </c>
      <c r="G17" s="380">
        <v>145557733.38999999</v>
      </c>
      <c r="H17" s="380">
        <v>524116511.01999998</v>
      </c>
      <c r="I17" s="396">
        <v>168220834.40000001</v>
      </c>
      <c r="J17" s="380">
        <v>172995975.87</v>
      </c>
      <c r="K17" s="380">
        <v>182899700.75</v>
      </c>
      <c r="L17" s="380">
        <v>669674244.40999997</v>
      </c>
      <c r="N17" s="397" t="s">
        <v>357</v>
      </c>
      <c r="O17" s="396">
        <v>279430424.08999997</v>
      </c>
    </row>
    <row r="18" spans="1:15" ht="11.1" customHeight="1" outlineLevel="1" x14ac:dyDescent="0.2">
      <c r="A18" s="454" t="s">
        <v>358</v>
      </c>
      <c r="B18" s="454"/>
      <c r="C18" s="454"/>
      <c r="D18" s="379"/>
      <c r="E18" s="379"/>
      <c r="F18" s="380">
        <v>-1146474.5</v>
      </c>
      <c r="G18" s="380">
        <v>-1146474.5</v>
      </c>
      <c r="H18" s="380">
        <v>-54755.83</v>
      </c>
      <c r="I18" s="379"/>
      <c r="J18" s="379"/>
      <c r="K18" s="380">
        <v>-54755.83</v>
      </c>
      <c r="L18" s="380">
        <v>-1201230.33</v>
      </c>
      <c r="N18" s="397" t="s">
        <v>360</v>
      </c>
      <c r="O18" s="396">
        <v>-1184058009.02</v>
      </c>
    </row>
    <row r="19" spans="1:15" ht="11.1" customHeight="1" outlineLevel="2" x14ac:dyDescent="0.2">
      <c r="A19" s="453" t="s">
        <v>359</v>
      </c>
      <c r="B19" s="453"/>
      <c r="C19" s="453"/>
      <c r="D19" s="379"/>
      <c r="E19" s="379"/>
      <c r="F19" s="380">
        <v>18031323.91</v>
      </c>
      <c r="G19" s="380">
        <v>18031323.91</v>
      </c>
      <c r="H19" s="380">
        <v>-51510.2</v>
      </c>
      <c r="I19" s="379"/>
      <c r="J19" s="379"/>
      <c r="K19" s="380">
        <v>-51510.2</v>
      </c>
      <c r="L19" s="380">
        <v>17979813.710000001</v>
      </c>
      <c r="N19" s="397" t="s">
        <v>361</v>
      </c>
      <c r="O19" s="396">
        <v>5139573.84</v>
      </c>
    </row>
    <row r="20" spans="1:15" ht="11.1" customHeight="1" outlineLevel="2" x14ac:dyDescent="0.2">
      <c r="A20" s="453" t="s">
        <v>358</v>
      </c>
      <c r="B20" s="453"/>
      <c r="C20" s="453"/>
      <c r="D20" s="379"/>
      <c r="E20" s="379"/>
      <c r="F20" s="380">
        <v>-19177798.41</v>
      </c>
      <c r="G20" s="380">
        <v>-19177798.41</v>
      </c>
      <c r="H20" s="380">
        <v>-3245.63</v>
      </c>
      <c r="I20" s="379"/>
      <c r="J20" s="379"/>
      <c r="K20" s="380">
        <v>-3245.63</v>
      </c>
      <c r="L20" s="380">
        <v>-19181044.039999999</v>
      </c>
      <c r="N20" s="397" t="s">
        <v>363</v>
      </c>
      <c r="O20" s="396">
        <v>-128268647.72</v>
      </c>
    </row>
    <row r="21" spans="1:15" ht="11.1" customHeight="1" outlineLevel="1" x14ac:dyDescent="0.2">
      <c r="A21" s="454" t="s">
        <v>360</v>
      </c>
      <c r="B21" s="454"/>
      <c r="C21" s="454"/>
      <c r="D21" s="379"/>
      <c r="E21" s="379"/>
      <c r="F21" s="380">
        <v>-890441727.72000003</v>
      </c>
      <c r="G21" s="380">
        <v>-890441727.72000003</v>
      </c>
      <c r="H21" s="380">
        <v>-1176646125.76</v>
      </c>
      <c r="I21" s="396">
        <v>-661609741.67999995</v>
      </c>
      <c r="J21" s="379"/>
      <c r="K21" s="380">
        <v>-515036384.07999998</v>
      </c>
      <c r="L21" s="380">
        <v>-2067087853.48</v>
      </c>
      <c r="N21" s="399" t="s">
        <v>6</v>
      </c>
      <c r="O21" s="401">
        <v>91484244.540000007</v>
      </c>
    </row>
    <row r="22" spans="1:15" ht="11.1" customHeight="1" outlineLevel="1" x14ac:dyDescent="0.2">
      <c r="A22" s="454" t="s">
        <v>361</v>
      </c>
      <c r="B22" s="454"/>
      <c r="C22" s="454"/>
      <c r="D22" s="379"/>
      <c r="E22" s="379"/>
      <c r="F22" s="380">
        <v>-7970224.9100000001</v>
      </c>
      <c r="G22" s="380">
        <v>-7970224.9100000001</v>
      </c>
      <c r="H22" s="380">
        <v>-1310109.8999999999</v>
      </c>
      <c r="I22" s="396">
        <v>5434300.8899999997</v>
      </c>
      <c r="J22" s="379"/>
      <c r="K22" s="380">
        <v>-6744410.79</v>
      </c>
      <c r="L22" s="380">
        <v>-9280334.8100000005</v>
      </c>
    </row>
    <row r="23" spans="1:15" ht="11.1" customHeight="1" outlineLevel="1" x14ac:dyDescent="0.2">
      <c r="A23" s="454" t="s">
        <v>363</v>
      </c>
      <c r="B23" s="454"/>
      <c r="C23" s="454"/>
      <c r="D23" s="379"/>
      <c r="E23" s="379"/>
      <c r="F23" s="380">
        <v>-67255069.209999993</v>
      </c>
      <c r="G23" s="380">
        <v>-67255069.209999993</v>
      </c>
      <c r="H23" s="380">
        <v>-126637464.94</v>
      </c>
      <c r="I23" s="396">
        <v>-52177919.950000003</v>
      </c>
      <c r="J23" s="379"/>
      <c r="K23" s="380">
        <v>-74459544.989999995</v>
      </c>
      <c r="L23" s="380">
        <v>-193892534.15000001</v>
      </c>
    </row>
    <row r="24" spans="1:15" ht="12.95" customHeight="1" x14ac:dyDescent="0.2">
      <c r="A24" s="450" t="s">
        <v>6</v>
      </c>
      <c r="B24" s="450"/>
      <c r="C24" s="450"/>
      <c r="D24" s="381"/>
      <c r="E24" s="381"/>
      <c r="F24" s="382">
        <v>179181664.02000001</v>
      </c>
      <c r="G24" s="382">
        <v>179181664.02000001</v>
      </c>
      <c r="H24" s="382">
        <v>942608354.39999998</v>
      </c>
      <c r="I24" s="401">
        <v>147587189.96000001</v>
      </c>
      <c r="J24" s="382">
        <v>733853639.11000001</v>
      </c>
      <c r="K24" s="382">
        <v>62354939.729999997</v>
      </c>
      <c r="L24" s="382">
        <v>1121790018.4200001</v>
      </c>
    </row>
  </sheetData>
  <mergeCells count="23">
    <mergeCell ref="N5:N6"/>
    <mergeCell ref="A21:C21"/>
    <mergeCell ref="A22:C22"/>
    <mergeCell ref="A23:C23"/>
    <mergeCell ref="A24:C24"/>
    <mergeCell ref="A15:C15"/>
    <mergeCell ref="A16:C16"/>
    <mergeCell ref="A17:C17"/>
    <mergeCell ref="A18:C18"/>
    <mergeCell ref="A19:C19"/>
    <mergeCell ref="A20:C20"/>
    <mergeCell ref="A9:C9"/>
    <mergeCell ref="A10:C10"/>
    <mergeCell ref="A11:C11"/>
    <mergeCell ref="A12:C12"/>
    <mergeCell ref="A13:C13"/>
    <mergeCell ref="L4:L5"/>
    <mergeCell ref="A8:C8"/>
    <mergeCell ref="A14:C14"/>
    <mergeCell ref="A4:C6"/>
    <mergeCell ref="D4:D5"/>
    <mergeCell ref="F4:F5"/>
    <mergeCell ref="H4:H5"/>
  </mergeCells>
  <pageMargins left="0.75" right="1" top="0.75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workbookViewId="0">
      <selection activeCell="E19" sqref="E19:E26"/>
    </sheetView>
  </sheetViews>
  <sheetFormatPr defaultRowHeight="15" x14ac:dyDescent="0.25"/>
  <cols>
    <col min="1" max="1" width="5.7109375" style="300" customWidth="1"/>
    <col min="2" max="2" width="57" customWidth="1"/>
    <col min="3" max="3" width="46.140625" style="281" customWidth="1"/>
    <col min="4" max="4" width="50.7109375" style="281" hidden="1" customWidth="1"/>
    <col min="5" max="5" width="42.7109375" customWidth="1"/>
    <col min="6" max="6" width="12.85546875" customWidth="1"/>
    <col min="8" max="8" width="23.7109375" customWidth="1"/>
    <col min="9" max="9" width="49.28515625" customWidth="1"/>
  </cols>
  <sheetData>
    <row r="3" spans="1:5" ht="26.25" customHeight="1" x14ac:dyDescent="0.25">
      <c r="A3" s="301" t="s">
        <v>852</v>
      </c>
      <c r="B3" s="302" t="s">
        <v>789</v>
      </c>
      <c r="C3" s="302" t="s">
        <v>898</v>
      </c>
      <c r="D3" s="302" t="s">
        <v>845</v>
      </c>
      <c r="E3" s="302" t="s">
        <v>899</v>
      </c>
    </row>
    <row r="4" spans="1:5" ht="14.25" customHeight="1" x14ac:dyDescent="0.25">
      <c r="A4" s="303"/>
      <c r="B4" s="468" t="s">
        <v>370</v>
      </c>
      <c r="C4" s="468"/>
      <c r="D4" s="468"/>
      <c r="E4" s="468"/>
    </row>
    <row r="5" spans="1:5" ht="14.25" customHeight="1" x14ac:dyDescent="0.25">
      <c r="A5" s="304">
        <v>1</v>
      </c>
      <c r="B5" s="305" t="s">
        <v>289</v>
      </c>
      <c r="C5" s="306">
        <f>данные!S17</f>
        <v>386.43240999999995</v>
      </c>
      <c r="D5" s="306">
        <f>'[9]слайд 7'!$E5</f>
        <v>-598.12380000000007</v>
      </c>
      <c r="E5" s="306">
        <f>данные!U17</f>
        <v>-825.26738</v>
      </c>
    </row>
    <row r="6" spans="1:5" ht="14.25" customHeight="1" x14ac:dyDescent="0.25">
      <c r="A6" s="304">
        <v>2</v>
      </c>
      <c r="B6" s="305" t="s">
        <v>290</v>
      </c>
      <c r="C6" s="306">
        <f>данные!S18</f>
        <v>-944.62085999999999</v>
      </c>
      <c r="D6" s="306">
        <f>'[9]слайд 7'!$E6</f>
        <v>-814.56115</v>
      </c>
      <c r="E6" s="306">
        <f>данные!U18</f>
        <v>-1041.88023</v>
      </c>
    </row>
    <row r="7" spans="1:5" ht="14.25" customHeight="1" x14ac:dyDescent="0.25">
      <c r="A7" s="304">
        <v>3</v>
      </c>
      <c r="B7" s="305" t="s">
        <v>293</v>
      </c>
      <c r="C7" s="306">
        <f>данные!S21</f>
        <v>-936.22031000000004</v>
      </c>
      <c r="D7" s="306">
        <f>'[9]слайд 7'!$E7</f>
        <v>103.92732000000001</v>
      </c>
      <c r="E7" s="343">
        <f>данные!U21</f>
        <v>-57.425290000000004</v>
      </c>
    </row>
    <row r="8" spans="1:5" ht="14.25" customHeight="1" x14ac:dyDescent="0.25">
      <c r="A8" s="303"/>
      <c r="B8" s="468" t="s">
        <v>790</v>
      </c>
      <c r="C8" s="468"/>
      <c r="D8" s="468"/>
      <c r="E8" s="468"/>
    </row>
    <row r="9" spans="1:5" ht="14.25" customHeight="1" x14ac:dyDescent="0.25">
      <c r="A9" s="304">
        <v>4</v>
      </c>
      <c r="B9" s="305" t="s">
        <v>299</v>
      </c>
      <c r="C9" s="306">
        <f>данные!S27</f>
        <v>-10387.36443</v>
      </c>
      <c r="D9" s="306">
        <f>'[9]слайд 7'!$E9</f>
        <v>-2706.0195899999999</v>
      </c>
      <c r="E9" s="343">
        <f>данные!U27</f>
        <v>-2284.9388399999998</v>
      </c>
    </row>
    <row r="10" spans="1:5" ht="14.25" customHeight="1" x14ac:dyDescent="0.25">
      <c r="A10" s="304">
        <v>5</v>
      </c>
      <c r="B10" s="305" t="s">
        <v>300</v>
      </c>
      <c r="C10" s="306">
        <f>данные!S28</f>
        <v>1511.6214</v>
      </c>
      <c r="D10" s="306">
        <f>'[9]слайд 7'!$E10</f>
        <v>-559.00414999999998</v>
      </c>
      <c r="E10" s="306">
        <f>данные!U28</f>
        <v>-482.98354999999998</v>
      </c>
    </row>
    <row r="11" spans="1:5" ht="14.25" customHeight="1" x14ac:dyDescent="0.25">
      <c r="A11" s="303"/>
      <c r="B11" s="468" t="s">
        <v>373</v>
      </c>
      <c r="C11" s="468"/>
      <c r="D11" s="468"/>
      <c r="E11" s="468"/>
    </row>
    <row r="12" spans="1:5" ht="14.25" customHeight="1" x14ac:dyDescent="0.25">
      <c r="A12" s="304">
        <v>6</v>
      </c>
      <c r="B12" s="305" t="s">
        <v>307</v>
      </c>
      <c r="C12" s="306">
        <f>данные!S35</f>
        <v>-6307.6640599999992</v>
      </c>
      <c r="D12" s="306">
        <f>'[9]слайд 7'!$E$12</f>
        <v>-13284.227699999999</v>
      </c>
      <c r="E12" s="344">
        <f>данные!U35</f>
        <v>-12086.139789999999</v>
      </c>
    </row>
    <row r="13" spans="1:5" ht="14.25" customHeight="1" x14ac:dyDescent="0.25">
      <c r="A13" s="303"/>
      <c r="B13" s="468" t="s">
        <v>791</v>
      </c>
      <c r="C13" s="468"/>
      <c r="D13" s="468"/>
      <c r="E13" s="468"/>
    </row>
    <row r="14" spans="1:5" ht="14.25" customHeight="1" x14ac:dyDescent="0.25">
      <c r="A14" s="304">
        <v>7</v>
      </c>
      <c r="B14" s="305" t="s">
        <v>321</v>
      </c>
      <c r="C14" s="306">
        <f>данные!S51</f>
        <v>-968.85256000000004</v>
      </c>
      <c r="D14" s="306">
        <f>'[9]слайд 7'!$E14</f>
        <v>-531.30037000000004</v>
      </c>
      <c r="E14" s="306">
        <f>данные!U51</f>
        <v>-1115.1911100000002</v>
      </c>
    </row>
    <row r="15" spans="1:5" ht="14.25" customHeight="1" x14ac:dyDescent="0.25">
      <c r="A15" s="304">
        <v>8</v>
      </c>
      <c r="B15" s="305" t="s">
        <v>322</v>
      </c>
      <c r="C15" s="306">
        <f>данные!S52</f>
        <v>-12191.985650000001</v>
      </c>
      <c r="D15" s="306">
        <f>'[9]слайд 7'!$E15</f>
        <v>-5806.7387800000006</v>
      </c>
      <c r="E15" s="306">
        <f>данные!U52</f>
        <v>-4869.7989100000004</v>
      </c>
    </row>
    <row r="16" spans="1:5" ht="14.25" customHeight="1" x14ac:dyDescent="0.25">
      <c r="A16" s="304">
        <v>9</v>
      </c>
      <c r="B16" s="305" t="s">
        <v>323</v>
      </c>
      <c r="C16" s="306">
        <f>данные!S53</f>
        <v>99.699889999999996</v>
      </c>
      <c r="D16" s="306">
        <f>'[9]слайд 7'!$E16</f>
        <v>-510.76774999999998</v>
      </c>
      <c r="E16" s="306">
        <f>данные!U53</f>
        <v>-893.79346999999996</v>
      </c>
    </row>
    <row r="17" spans="1:6" ht="14.25" hidden="1" customHeight="1" x14ac:dyDescent="0.25">
      <c r="A17" s="304">
        <v>10</v>
      </c>
      <c r="B17" s="305" t="s">
        <v>326</v>
      </c>
      <c r="C17" s="306">
        <f>данные!S56</f>
        <v>-511.70127000000002</v>
      </c>
      <c r="D17" s="306">
        <f>'[10]слайд 6 и 7'!$B65</f>
        <v>-555.36622</v>
      </c>
      <c r="E17" s="306">
        <f>данные!U56</f>
        <v>757.14935000000003</v>
      </c>
    </row>
    <row r="18" spans="1:6" ht="14.25" customHeight="1" x14ac:dyDescent="0.25">
      <c r="A18" s="303"/>
      <c r="B18" s="468" t="s">
        <v>371</v>
      </c>
      <c r="C18" s="468"/>
      <c r="D18" s="468"/>
      <c r="E18" s="468"/>
    </row>
    <row r="19" spans="1:6" ht="14.25" customHeight="1" x14ac:dyDescent="0.25">
      <c r="A19" s="304">
        <v>10</v>
      </c>
      <c r="B19" s="305" t="s">
        <v>338</v>
      </c>
      <c r="C19" s="306">
        <f>данные!S68</f>
        <v>-2306.6869900000002</v>
      </c>
      <c r="D19" s="306">
        <f>'[9]слайд 7'!$E19</f>
        <v>-3440.5209599999998</v>
      </c>
      <c r="E19" s="306">
        <f>данные!U68</f>
        <v>-1906.4026899999999</v>
      </c>
    </row>
    <row r="20" spans="1:6" ht="14.25" customHeight="1" x14ac:dyDescent="0.25">
      <c r="A20" s="304">
        <v>11</v>
      </c>
      <c r="B20" s="305" t="s">
        <v>339</v>
      </c>
      <c r="C20" s="306">
        <f>данные!S69</f>
        <v>-1555.7171899999998</v>
      </c>
      <c r="D20" s="306">
        <f>'[9]слайд 7'!$E20</f>
        <v>-1477.10853</v>
      </c>
      <c r="E20" s="306">
        <f>данные!U69</f>
        <v>-1465.8292200000001</v>
      </c>
    </row>
    <row r="21" spans="1:6" ht="14.25" customHeight="1" x14ac:dyDescent="0.25">
      <c r="A21" s="304">
        <v>12</v>
      </c>
      <c r="B21" s="305" t="s">
        <v>340</v>
      </c>
      <c r="C21" s="306">
        <f>данные!S70</f>
        <v>4092.4029100000002</v>
      </c>
      <c r="D21" s="306">
        <f>'[9]слайд 7'!$E21</f>
        <v>-2369.2787699999999</v>
      </c>
      <c r="E21" s="306">
        <f>данные!U70</f>
        <v>-1034.2309499999999</v>
      </c>
    </row>
    <row r="22" spans="1:6" ht="14.25" customHeight="1" x14ac:dyDescent="0.25">
      <c r="A22" s="304">
        <v>13</v>
      </c>
      <c r="B22" s="305" t="s">
        <v>341</v>
      </c>
      <c r="C22" s="306">
        <f>данные!S71</f>
        <v>-2400.1211600000001</v>
      </c>
      <c r="D22" s="306">
        <f>'[9]слайд 7'!$E22</f>
        <v>-1737.94292</v>
      </c>
      <c r="E22" s="306">
        <f>данные!U71</f>
        <v>-1502.37436</v>
      </c>
    </row>
    <row r="23" spans="1:6" ht="14.25" customHeight="1" x14ac:dyDescent="0.25">
      <c r="A23" s="304">
        <v>14</v>
      </c>
      <c r="B23" s="305" t="s">
        <v>342</v>
      </c>
      <c r="C23" s="306">
        <f>данные!S72</f>
        <v>-3694.1983500000001</v>
      </c>
      <c r="D23" s="306">
        <f>'[9]слайд 7'!$E23</f>
        <v>-4303.4355599999999</v>
      </c>
      <c r="E23" s="306">
        <f>данные!U72</f>
        <v>-3771.1681100000001</v>
      </c>
    </row>
    <row r="24" spans="1:6" ht="14.25" customHeight="1" x14ac:dyDescent="0.25">
      <c r="A24" s="304">
        <v>15</v>
      </c>
      <c r="B24" s="305" t="s">
        <v>345</v>
      </c>
      <c r="C24" s="306">
        <f>данные!S75</f>
        <v>-100.72599000000001</v>
      </c>
      <c r="D24" s="306">
        <f>'[9]слайд 7'!$E24</f>
        <v>-285.50081</v>
      </c>
      <c r="E24" s="306">
        <f>данные!U75</f>
        <v>-466.90474999999998</v>
      </c>
    </row>
    <row r="25" spans="1:6" ht="14.25" customHeight="1" x14ac:dyDescent="0.25">
      <c r="A25" s="304">
        <v>16</v>
      </c>
      <c r="B25" s="305" t="s">
        <v>346</v>
      </c>
      <c r="C25" s="306">
        <f>данные!S76</f>
        <v>-4104.16525</v>
      </c>
      <c r="D25" s="306">
        <f>'[9]слайд 7'!$E25</f>
        <v>-7774.3227999999999</v>
      </c>
      <c r="E25" s="306">
        <f>данные!U76</f>
        <v>-8044.4633800000001</v>
      </c>
    </row>
    <row r="26" spans="1:6" ht="14.25" customHeight="1" x14ac:dyDescent="0.25">
      <c r="A26" s="304">
        <v>17</v>
      </c>
      <c r="B26" s="305" t="s">
        <v>347</v>
      </c>
      <c r="C26" s="306">
        <f>данные!S77</f>
        <v>-6162.9817400000002</v>
      </c>
      <c r="D26" s="306">
        <f>'[9]слайд 7'!$E26</f>
        <v>-5067.5988600000001</v>
      </c>
      <c r="E26" s="306">
        <f>данные!U77</f>
        <v>-5409.0947500000002</v>
      </c>
    </row>
    <row r="27" spans="1:6" ht="14.25" customHeight="1" x14ac:dyDescent="0.25">
      <c r="A27" s="303"/>
      <c r="B27" s="468" t="s">
        <v>792</v>
      </c>
      <c r="C27" s="468"/>
      <c r="D27" s="468"/>
      <c r="E27" s="468"/>
    </row>
    <row r="28" spans="1:6" ht="14.25" hidden="1" customHeight="1" x14ac:dyDescent="0.25">
      <c r="A28" s="304">
        <v>19</v>
      </c>
      <c r="B28" s="305" t="s">
        <v>352</v>
      </c>
      <c r="C28" s="306">
        <f>данные!S83</f>
        <v>-3051.89977</v>
      </c>
      <c r="D28" s="306">
        <f>'[10]слайд 6 и 7'!$B76</f>
        <v>-6479.8793599999999</v>
      </c>
      <c r="E28" s="306">
        <f>данные!U83</f>
        <v>327.79838000000001</v>
      </c>
    </row>
    <row r="29" spans="1:6" ht="14.25" hidden="1" customHeight="1" x14ac:dyDescent="0.25">
      <c r="A29" s="304"/>
      <c r="B29" s="307" t="s">
        <v>354</v>
      </c>
      <c r="C29" s="306">
        <f>данные!S84</f>
        <v>-1153.1488300000001</v>
      </c>
      <c r="D29" s="306">
        <f>'[10]слайд 6 и 7'!$B77</f>
        <v>-444.41397999999998</v>
      </c>
      <c r="E29" s="308">
        <f>данные!U84</f>
        <v>178.12469000000002</v>
      </c>
    </row>
    <row r="30" spans="1:6" ht="14.25" customHeight="1" x14ac:dyDescent="0.25">
      <c r="A30" s="304">
        <v>18</v>
      </c>
      <c r="B30" s="305" t="s">
        <v>355</v>
      </c>
      <c r="C30" s="306">
        <f>данные!S85</f>
        <v>-3631.9519300000002</v>
      </c>
      <c r="D30" s="306">
        <f>'[9]слайд 7'!$E$30</f>
        <v>-1639.2855199999999</v>
      </c>
      <c r="E30" s="306">
        <f>данные!U85</f>
        <v>-1674.4240500000001</v>
      </c>
    </row>
    <row r="31" spans="1:6" ht="14.25" customHeight="1" x14ac:dyDescent="0.25">
      <c r="A31" s="303"/>
      <c r="B31" s="309" t="s">
        <v>851</v>
      </c>
      <c r="C31" s="310">
        <f>SUM(C5:C7,C9:C10,C12,C14:C16,C19:C26,C30)</f>
        <v>-49603.099860000002</v>
      </c>
      <c r="D31" s="310">
        <f>SUM(D5:D7,D9:D10,D12,D14:D16,D19:D26,D30)</f>
        <v>-52801.810699999995</v>
      </c>
      <c r="E31" s="311">
        <f>SUM(E5:E7,E9:E10,E12,E14:E16,E19:E26,E30)</f>
        <v>-48932.310830000002</v>
      </c>
      <c r="F31" s="215">
        <f>E31-D31</f>
        <v>3869.4998699999924</v>
      </c>
    </row>
    <row r="33" spans="2:6" hidden="1" x14ac:dyDescent="0.25">
      <c r="C33" s="176">
        <f>SUM(C5:C7,C9:C10,C12,C14:C17,C19:C26,C28:C30)</f>
        <v>-54319.849730000002</v>
      </c>
      <c r="D33" s="176">
        <f>SUM(D5:D7,D9:D10,D12,D14:D17,D19:D26,D28:D30)</f>
        <v>-60281.470259999995</v>
      </c>
      <c r="E33" s="176">
        <f>SUM(E5:E7,E9:E10,E12,E14:E17,E19:E26,E28:E30)</f>
        <v>-47669.238410000013</v>
      </c>
      <c r="F33" s="176">
        <f>E33-D33</f>
        <v>12612.231849999982</v>
      </c>
    </row>
    <row r="34" spans="2:6" hidden="1" x14ac:dyDescent="0.25"/>
    <row r="35" spans="2:6" hidden="1" x14ac:dyDescent="0.25"/>
    <row r="36" spans="2:6" ht="14.25" hidden="1" customHeight="1" x14ac:dyDescent="0.25">
      <c r="B36" s="312" t="s">
        <v>789</v>
      </c>
      <c r="C36" s="302" t="s">
        <v>853</v>
      </c>
      <c r="D36" s="302" t="s">
        <v>854</v>
      </c>
      <c r="E36" s="297"/>
    </row>
    <row r="37" spans="2:6" ht="14.25" hidden="1" customHeight="1" x14ac:dyDescent="0.25">
      <c r="B37" s="307" t="s">
        <v>293</v>
      </c>
      <c r="C37" s="306">
        <f>данные!S21</f>
        <v>-936.22031000000004</v>
      </c>
      <c r="D37" s="308">
        <f>данные!U21</f>
        <v>-57.425290000000004</v>
      </c>
      <c r="E37" s="298"/>
    </row>
    <row r="38" spans="2:6" ht="14.25" hidden="1" customHeight="1" x14ac:dyDescent="0.25">
      <c r="B38" s="307" t="str">
        <f>данные!A29</f>
        <v>УСС по Калининградской области</v>
      </c>
      <c r="C38" s="306">
        <f>данные!S29</f>
        <v>-4205.1297800000002</v>
      </c>
      <c r="D38" s="308">
        <f>данные!U29</f>
        <v>761.35927000000004</v>
      </c>
      <c r="E38" s="299"/>
    </row>
    <row r="39" spans="2:6" ht="14.25" hidden="1" customHeight="1" x14ac:dyDescent="0.25">
      <c r="B39" s="307" t="str">
        <f>данные!A36</f>
        <v>УСС по Астраханской области</v>
      </c>
      <c r="C39" s="306">
        <f>данные!S36</f>
        <v>-688.5394</v>
      </c>
      <c r="D39" s="308">
        <f>данные!U36</f>
        <v>1569.6433200000001</v>
      </c>
      <c r="E39" s="299"/>
    </row>
    <row r="40" spans="2:6" ht="14.25" hidden="1" customHeight="1" x14ac:dyDescent="0.25">
      <c r="B40" s="307" t="str">
        <f>данные!A37</f>
        <v>УСС по Волгоградской области</v>
      </c>
      <c r="C40" s="306">
        <f>данные!S37</f>
        <v>-2053.279</v>
      </c>
      <c r="D40" s="308">
        <f>данные!U37</f>
        <v>4666.6958199999999</v>
      </c>
      <c r="E40" s="299"/>
    </row>
    <row r="41" spans="2:6" ht="14.25" hidden="1" customHeight="1" x14ac:dyDescent="0.25">
      <c r="B41" s="313" t="str">
        <f>данные!A42</f>
        <v>УСС по Республике Северная Осетия - Алания</v>
      </c>
      <c r="C41" s="306">
        <f>данные!S42</f>
        <v>587.37643000000003</v>
      </c>
      <c r="D41" s="308">
        <f>данные!U42</f>
        <v>896.95846999999992</v>
      </c>
      <c r="E41" s="299"/>
    </row>
    <row r="42" spans="2:6" ht="14.25" hidden="1" customHeight="1" x14ac:dyDescent="0.25">
      <c r="B42" s="307" t="str">
        <f>данные!A59</f>
        <v>УСС по Кировской области</v>
      </c>
      <c r="C42" s="306">
        <f>данные!S59</f>
        <v>-452.35503000000006</v>
      </c>
      <c r="D42" s="308">
        <f>данные!U59</f>
        <v>180.21482999999998</v>
      </c>
      <c r="E42" s="299"/>
    </row>
    <row r="43" spans="2:6" ht="14.25" hidden="1" customHeight="1" x14ac:dyDescent="0.25">
      <c r="B43" s="307" t="str">
        <f>данные!A81</f>
        <v>УСС по Камчатскому краю</v>
      </c>
      <c r="C43" s="306">
        <f>данные!S81</f>
        <v>-925.91958999999997</v>
      </c>
      <c r="D43" s="308">
        <f>данные!U81</f>
        <v>1119.4661000000001</v>
      </c>
      <c r="E43" s="299"/>
    </row>
    <row r="44" spans="2:6" ht="14.25" hidden="1" customHeight="1" x14ac:dyDescent="0.25">
      <c r="B44" s="307" t="str">
        <f>данные!A84</f>
        <v>УСС по Сахалинской области</v>
      </c>
      <c r="C44" s="306">
        <f>данные!S84</f>
        <v>-1153.1488300000001</v>
      </c>
      <c r="D44" s="308">
        <f>данные!U84</f>
        <v>178.12469000000002</v>
      </c>
    </row>
    <row r="45" spans="2:6" ht="14.25" hidden="1" customHeight="1" x14ac:dyDescent="0.25">
      <c r="B45" s="314" t="s">
        <v>851</v>
      </c>
      <c r="C45" s="315">
        <f>SUM(C37,C38,C39,C40,C41,C42,C43)</f>
        <v>-8674.0666799999999</v>
      </c>
      <c r="D45" s="315">
        <f>SUM(D37,D38,D39,D40,D41,D42,D43)</f>
        <v>9136.9125199999999</v>
      </c>
      <c r="E45" s="215">
        <f>D45-C45</f>
        <v>17810.979200000002</v>
      </c>
    </row>
    <row r="46" spans="2:6" hidden="1" x14ac:dyDescent="0.25"/>
    <row r="47" spans="2:6" hidden="1" x14ac:dyDescent="0.25"/>
  </sheetData>
  <mergeCells count="6">
    <mergeCell ref="B27:E27"/>
    <mergeCell ref="B4:E4"/>
    <mergeCell ref="B8:E8"/>
    <mergeCell ref="B11:E11"/>
    <mergeCell ref="B13:E13"/>
    <mergeCell ref="B18:E18"/>
  </mergeCells>
  <conditionalFormatting sqref="E37:E38 E42:E43 E19:E26 E14:E17 E12 E9:E10 E5:E7">
    <cfRule type="expression" dxfId="65" priority="4">
      <formula>ABS($E5)&gt;ABS($D5)</formula>
    </cfRule>
  </conditionalFormatting>
  <conditionalFormatting sqref="E28:E30">
    <cfRule type="expression" dxfId="64" priority="3">
      <formula>ABS($E28)&gt;ABS($D28)</formula>
    </cfRule>
  </conditionalFormatting>
  <conditionalFormatting sqref="E39:E41">
    <cfRule type="expression" dxfId="63" priority="1">
      <formula>ABS($E39)&gt;ABS($D39)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45"/>
  <sheetViews>
    <sheetView workbookViewId="0">
      <selection activeCell="C3" sqref="C3"/>
    </sheetView>
  </sheetViews>
  <sheetFormatPr defaultRowHeight="15" x14ac:dyDescent="0.25"/>
  <cols>
    <col min="1" max="1" width="5.7109375" style="300" customWidth="1"/>
    <col min="2" max="2" width="55.42578125" customWidth="1"/>
    <col min="3" max="3" width="50.7109375" style="281" customWidth="1"/>
    <col min="4" max="4" width="50.7109375" style="281" hidden="1" customWidth="1"/>
    <col min="5" max="5" width="50.7109375" customWidth="1"/>
    <col min="6" max="6" width="12.85546875" customWidth="1"/>
    <col min="8" max="8" width="23.7109375" customWidth="1"/>
    <col min="9" max="9" width="49.28515625" customWidth="1"/>
  </cols>
  <sheetData>
    <row r="3" spans="1:5" ht="26.25" customHeight="1" x14ac:dyDescent="0.25">
      <c r="A3" s="301" t="s">
        <v>852</v>
      </c>
      <c r="B3" s="302" t="s">
        <v>789</v>
      </c>
      <c r="C3" s="302" t="s">
        <v>843</v>
      </c>
      <c r="D3" s="302" t="s">
        <v>844</v>
      </c>
      <c r="E3" s="302" t="s">
        <v>845</v>
      </c>
    </row>
    <row r="4" spans="1:5" ht="14.25" customHeight="1" x14ac:dyDescent="0.25">
      <c r="A4" s="303"/>
      <c r="B4" s="468" t="s">
        <v>370</v>
      </c>
      <c r="C4" s="468"/>
      <c r="D4" s="468"/>
      <c r="E4" s="468"/>
    </row>
    <row r="5" spans="1:5" ht="14.25" customHeight="1" x14ac:dyDescent="0.25">
      <c r="A5" s="304">
        <v>1</v>
      </c>
      <c r="B5" s="305" t="s">
        <v>289</v>
      </c>
      <c r="C5" s="306">
        <f>'данные (ЧП с лизингом)'!AA17</f>
        <v>1925.4346799999998</v>
      </c>
      <c r="D5" s="306">
        <f>'[10]слайд 6 и 7'!$B53</f>
        <v>-427.49014</v>
      </c>
      <c r="E5" s="306">
        <f>'данные (ЧП с лизингом)'!AC17</f>
        <v>31.55646999999999</v>
      </c>
    </row>
    <row r="6" spans="1:5" ht="14.25" customHeight="1" x14ac:dyDescent="0.25">
      <c r="A6" s="304">
        <v>2</v>
      </c>
      <c r="B6" s="305" t="s">
        <v>290</v>
      </c>
      <c r="C6" s="306">
        <f>'данные (ЧП с лизингом)'!AA18</f>
        <v>-804.76835000000005</v>
      </c>
      <c r="D6" s="306">
        <f>'[10]слайд 6 и 7'!$B54</f>
        <v>-981.67276000000004</v>
      </c>
      <c r="E6" s="306">
        <f>'данные (ЧП с лизингом)'!AC18</f>
        <v>-932.39845000000003</v>
      </c>
    </row>
    <row r="7" spans="1:5" ht="14.25" hidden="1" customHeight="1" x14ac:dyDescent="0.25">
      <c r="A7" s="304"/>
      <c r="B7" s="307" t="s">
        <v>293</v>
      </c>
      <c r="C7" s="306">
        <f>данные!S21</f>
        <v>-936.22031000000004</v>
      </c>
      <c r="D7" s="306">
        <f>'[10]слайд 6 и 7'!$B55</f>
        <v>-778.77022999999997</v>
      </c>
      <c r="E7" s="308">
        <f>данные!U21</f>
        <v>-57.425290000000004</v>
      </c>
    </row>
    <row r="8" spans="1:5" ht="14.25" customHeight="1" x14ac:dyDescent="0.25">
      <c r="A8" s="303"/>
      <c r="B8" s="468" t="s">
        <v>790</v>
      </c>
      <c r="C8" s="468"/>
      <c r="D8" s="468"/>
      <c r="E8" s="468"/>
    </row>
    <row r="9" spans="1:5" ht="14.25" customHeight="1" x14ac:dyDescent="0.25">
      <c r="A9" s="304">
        <v>3</v>
      </c>
      <c r="B9" s="305" t="s">
        <v>299</v>
      </c>
      <c r="C9" s="306">
        <f>'данные (ЧП с лизингом)'!AA27</f>
        <v>-9178.2628999999997</v>
      </c>
      <c r="D9" s="306">
        <f>'[10]слайд 6 и 7'!$B57</f>
        <v>-3337.1801099999998</v>
      </c>
      <c r="E9" s="306">
        <f>'данные (ЧП с лизингом)'!AC27</f>
        <v>-1281.6753499999998</v>
      </c>
    </row>
    <row r="10" spans="1:5" ht="14.25" customHeight="1" x14ac:dyDescent="0.25">
      <c r="A10" s="304">
        <v>4</v>
      </c>
      <c r="B10" s="305" t="s">
        <v>300</v>
      </c>
      <c r="C10" s="306">
        <f>'данные (ЧП с лизингом)'!AA28</f>
        <v>3843.40886</v>
      </c>
      <c r="D10" s="306">
        <f>'[10]слайд 6 и 7'!$B58</f>
        <v>-1099.5674099999999</v>
      </c>
      <c r="E10" s="306">
        <f>'данные (ЧП с лизингом)'!AC28</f>
        <v>1400.5430400000002</v>
      </c>
    </row>
    <row r="11" spans="1:5" ht="14.25" customHeight="1" x14ac:dyDescent="0.25">
      <c r="A11" s="303"/>
      <c r="B11" s="468" t="s">
        <v>373</v>
      </c>
      <c r="C11" s="468"/>
      <c r="D11" s="468"/>
      <c r="E11" s="468"/>
    </row>
    <row r="12" spans="1:5" ht="14.25" customHeight="1" x14ac:dyDescent="0.25">
      <c r="A12" s="304">
        <v>5</v>
      </c>
      <c r="B12" s="305" t="s">
        <v>307</v>
      </c>
      <c r="C12" s="306">
        <f>'данные (ЧП с лизингом)'!AA35</f>
        <v>1575.448730000001</v>
      </c>
      <c r="D12" s="306">
        <f>'[10]слайд 6 и 7'!$B$60</f>
        <v>-11712.565490000001</v>
      </c>
      <c r="E12" s="306">
        <f>'данные (ЧП с лизингом)'!AC35</f>
        <v>-3410.4602699999996</v>
      </c>
    </row>
    <row r="13" spans="1:5" ht="14.25" customHeight="1" x14ac:dyDescent="0.25">
      <c r="A13" s="303"/>
      <c r="B13" s="468" t="s">
        <v>791</v>
      </c>
      <c r="C13" s="468"/>
      <c r="D13" s="468"/>
      <c r="E13" s="468"/>
    </row>
    <row r="14" spans="1:5" ht="14.25" customHeight="1" x14ac:dyDescent="0.25">
      <c r="A14" s="304">
        <v>6</v>
      </c>
      <c r="B14" s="305" t="s">
        <v>321</v>
      </c>
      <c r="C14" s="306">
        <f>'данные (ЧП с лизингом)'!AA51</f>
        <v>-666.89433000000008</v>
      </c>
      <c r="D14" s="306">
        <f>'[10]слайд 6 и 7'!$B62</f>
        <v>-504.12559000000005</v>
      </c>
      <c r="E14" s="306">
        <f>'данные (ЧП с лизингом)'!AC51</f>
        <v>-908.44250000000022</v>
      </c>
    </row>
    <row r="15" spans="1:5" ht="14.25" customHeight="1" x14ac:dyDescent="0.25">
      <c r="A15" s="304">
        <v>7</v>
      </c>
      <c r="B15" s="305" t="s">
        <v>322</v>
      </c>
      <c r="C15" s="306">
        <f>'данные (ЧП с лизингом)'!AA52</f>
        <v>-1911.4635699999999</v>
      </c>
      <c r="D15" s="306">
        <f>'[10]слайд 6 и 7'!$B63</f>
        <v>-4421.4062300000005</v>
      </c>
      <c r="E15" s="306">
        <f>'данные (ЧП с лизингом)'!AC52</f>
        <v>-148.21782000000076</v>
      </c>
    </row>
    <row r="16" spans="1:5" ht="14.25" customHeight="1" x14ac:dyDescent="0.25">
      <c r="A16" s="304">
        <v>8</v>
      </c>
      <c r="B16" s="305" t="s">
        <v>323</v>
      </c>
      <c r="C16" s="306">
        <f>'данные (ЧП с лизингом)'!AA53</f>
        <v>679.86653999999999</v>
      </c>
      <c r="D16" s="306">
        <f>'[10]слайд 6 и 7'!$B64</f>
        <v>-598.10956999999996</v>
      </c>
      <c r="E16" s="306">
        <f>'данные (ЧП с лизингом)'!AC53</f>
        <v>-189.19524000000001</v>
      </c>
    </row>
    <row r="17" spans="1:5" ht="14.25" customHeight="1" x14ac:dyDescent="0.25">
      <c r="A17" s="304">
        <v>9</v>
      </c>
      <c r="B17" s="305" t="s">
        <v>326</v>
      </c>
      <c r="C17" s="306">
        <f>'данные (ЧП с лизингом)'!AA56</f>
        <v>1033.7262700000001</v>
      </c>
      <c r="D17" s="306">
        <f>'[10]слайд 6 и 7'!$B65</f>
        <v>-555.36622</v>
      </c>
      <c r="E17" s="306">
        <f>'данные (ЧП с лизингом)'!AC56</f>
        <v>2104.7341500000002</v>
      </c>
    </row>
    <row r="18" spans="1:5" ht="14.25" customHeight="1" x14ac:dyDescent="0.25">
      <c r="A18" s="303"/>
      <c r="B18" s="468" t="s">
        <v>371</v>
      </c>
      <c r="C18" s="468"/>
      <c r="D18" s="468"/>
      <c r="E18" s="468"/>
    </row>
    <row r="19" spans="1:5" ht="14.25" customHeight="1" x14ac:dyDescent="0.25">
      <c r="A19" s="304">
        <v>10</v>
      </c>
      <c r="B19" s="305" t="s">
        <v>338</v>
      </c>
      <c r="C19" s="306">
        <f>'данные (ЧП с лизингом)'!AA68</f>
        <v>7823.7841600000011</v>
      </c>
      <c r="D19" s="306">
        <f>'[10]слайд 6 и 7'!$B67</f>
        <v>-4392.1646799999999</v>
      </c>
      <c r="E19" s="306">
        <f>'данные (ЧП с лизингом)'!AC68</f>
        <v>5322.3185900000008</v>
      </c>
    </row>
    <row r="20" spans="1:5" ht="14.25" customHeight="1" x14ac:dyDescent="0.25">
      <c r="A20" s="304">
        <v>11</v>
      </c>
      <c r="B20" s="305" t="s">
        <v>339</v>
      </c>
      <c r="C20" s="306">
        <f>'данные (ЧП с лизингом)'!AA69</f>
        <v>1257.7048399999999</v>
      </c>
      <c r="D20" s="306">
        <f>'[10]слайд 6 и 7'!$B68</f>
        <v>-2525.6725000000001</v>
      </c>
      <c r="E20" s="306">
        <f>'данные (ЧП с лизингом)'!AC69</f>
        <v>420.35633000000007</v>
      </c>
    </row>
    <row r="21" spans="1:5" ht="14.25" customHeight="1" x14ac:dyDescent="0.25">
      <c r="A21" s="304">
        <v>12</v>
      </c>
      <c r="B21" s="305" t="s">
        <v>340</v>
      </c>
      <c r="C21" s="306">
        <f>'данные (ЧП с лизингом)'!AA70</f>
        <v>6602.5589099999997</v>
      </c>
      <c r="D21" s="306">
        <f>'[10]слайд 6 и 7'!$B69</f>
        <v>-3584.8229100000003</v>
      </c>
      <c r="E21" s="306">
        <f>'данные (ЧП с лизингом)'!AC70</f>
        <v>2333.8644299999996</v>
      </c>
    </row>
    <row r="22" spans="1:5" ht="14.25" customHeight="1" x14ac:dyDescent="0.25">
      <c r="A22" s="304">
        <v>13</v>
      </c>
      <c r="B22" s="305" t="s">
        <v>341</v>
      </c>
      <c r="C22" s="306">
        <f>'данные (ЧП с лизингом)'!AA71</f>
        <v>3131.4909199999997</v>
      </c>
      <c r="D22" s="306">
        <f>'[10]слайд 6 и 7'!$B70</f>
        <v>-1973.63624</v>
      </c>
      <c r="E22" s="306">
        <f>'данные (ЧП с лизингом)'!AC71</f>
        <v>3865.1301800000001</v>
      </c>
    </row>
    <row r="23" spans="1:5" ht="14.25" customHeight="1" x14ac:dyDescent="0.25">
      <c r="A23" s="304">
        <v>14</v>
      </c>
      <c r="B23" s="305" t="s">
        <v>342</v>
      </c>
      <c r="C23" s="306">
        <f>'данные (ЧП с лизингом)'!AA72</f>
        <v>-1120.7231099999999</v>
      </c>
      <c r="D23" s="306">
        <f>'[10]слайд 6 и 7'!$B71</f>
        <v>-3449.8564999999999</v>
      </c>
      <c r="E23" s="306">
        <f>'данные (ЧП с лизингом)'!AC72</f>
        <v>-2163.5039000000002</v>
      </c>
    </row>
    <row r="24" spans="1:5" ht="14.25" customHeight="1" x14ac:dyDescent="0.25">
      <c r="A24" s="304">
        <v>15</v>
      </c>
      <c r="B24" s="305" t="s">
        <v>345</v>
      </c>
      <c r="C24" s="306">
        <f>'данные (ЧП с лизингом)'!AA75</f>
        <v>312.60735</v>
      </c>
      <c r="D24" s="306">
        <f>'[10]слайд 6 и 7'!$B72</f>
        <v>-684.29763000000003</v>
      </c>
      <c r="E24" s="306">
        <f>'данные (ЧП с лизингом)'!AC75</f>
        <v>-53.571409999999958</v>
      </c>
    </row>
    <row r="25" spans="1:5" ht="14.25" customHeight="1" x14ac:dyDescent="0.25">
      <c r="A25" s="304">
        <v>16</v>
      </c>
      <c r="B25" s="305" t="s">
        <v>346</v>
      </c>
      <c r="C25" s="306">
        <f>'данные (ЧП с лизингом)'!AA76</f>
        <v>-561.3467599999999</v>
      </c>
      <c r="D25" s="306">
        <f>'[10]слайд 6 и 7'!$B73</f>
        <v>-5844.7829499999998</v>
      </c>
      <c r="E25" s="306">
        <f>'данные (ЧП с лизингом)'!AC76</f>
        <v>-5076.8670700000002</v>
      </c>
    </row>
    <row r="26" spans="1:5" ht="14.25" customHeight="1" x14ac:dyDescent="0.25">
      <c r="A26" s="304">
        <v>17</v>
      </c>
      <c r="B26" s="305" t="s">
        <v>347</v>
      </c>
      <c r="C26" s="306">
        <f>'данные (ЧП с лизингом)'!AA77</f>
        <v>-4057.95451</v>
      </c>
      <c r="D26" s="306">
        <f>'[10]слайд 6 и 7'!$B74</f>
        <v>-4022.1509900000001</v>
      </c>
      <c r="E26" s="306">
        <f>'данные (ЧП с лизингом)'!AC77</f>
        <v>-3809.9769000000001</v>
      </c>
    </row>
    <row r="27" spans="1:5" ht="14.25" customHeight="1" x14ac:dyDescent="0.25">
      <c r="A27" s="303"/>
      <c r="B27" s="468" t="s">
        <v>792</v>
      </c>
      <c r="C27" s="468"/>
      <c r="D27" s="468"/>
      <c r="E27" s="468"/>
    </row>
    <row r="28" spans="1:5" ht="14.25" customHeight="1" x14ac:dyDescent="0.25">
      <c r="A28" s="304">
        <v>18</v>
      </c>
      <c r="B28" s="305" t="s">
        <v>352</v>
      </c>
      <c r="C28" s="306">
        <f>'данные (ЧП с лизингом)'!AA83</f>
        <v>-1536.8744099999999</v>
      </c>
      <c r="D28" s="306">
        <f>'[10]слайд 6 и 7'!$B76</f>
        <v>-6479.8793599999999</v>
      </c>
      <c r="E28" s="306">
        <f>'данные (ЧП с лизингом)'!AC83</f>
        <v>1821.45039</v>
      </c>
    </row>
    <row r="29" spans="1:5" ht="14.25" hidden="1" customHeight="1" x14ac:dyDescent="0.25">
      <c r="A29" s="304"/>
      <c r="B29" s="307" t="s">
        <v>354</v>
      </c>
      <c r="C29" s="306">
        <f>данные!S84</f>
        <v>-1153.1488300000001</v>
      </c>
      <c r="D29" s="306">
        <f>'[10]слайд 6 и 7'!$B77</f>
        <v>-444.41397999999998</v>
      </c>
      <c r="E29" s="308">
        <f>данные!U84</f>
        <v>178.12469000000002</v>
      </c>
    </row>
    <row r="30" spans="1:5" ht="14.25" customHeight="1" x14ac:dyDescent="0.25">
      <c r="A30" s="304">
        <v>19</v>
      </c>
      <c r="B30" s="305" t="s">
        <v>355</v>
      </c>
      <c r="C30" s="306">
        <f>'данные (ЧП с лизингом)'!AA85</f>
        <v>-1423.2434900000003</v>
      </c>
      <c r="D30" s="306">
        <f>'[10]слайд 6 и 7'!$B78</f>
        <v>-1193.9870800000001</v>
      </c>
      <c r="E30" s="306">
        <f>'данные (ЧП с лизингом)'!AC85</f>
        <v>1059.6636699999999</v>
      </c>
    </row>
    <row r="31" spans="1:5" ht="14.25" customHeight="1" x14ac:dyDescent="0.25">
      <c r="A31" s="303"/>
      <c r="B31" s="309" t="s">
        <v>851</v>
      </c>
      <c r="C31" s="310">
        <f>SUM(C5:C6,C9:C10,C12,C14:C17,C19:C26,C28:C30)</f>
        <v>5771.3510000000024</v>
      </c>
      <c r="D31" s="310">
        <f t="shared" ref="D31:E31" si="0">SUM(D5:D6,D9:D10,D12,D14:D17,D19:D26,D28:D30)</f>
        <v>-58233.148340000007</v>
      </c>
      <c r="E31" s="311">
        <f t="shared" si="0"/>
        <v>563.43303000000185</v>
      </c>
    </row>
    <row r="33" spans="2:6" x14ac:dyDescent="0.25">
      <c r="C33" s="176">
        <f>SUM(C5:C7,C9:C10,C12,C14:C17,C19:C26,C28:C30)</f>
        <v>4835.1306900000018</v>
      </c>
      <c r="D33" s="176">
        <f>SUM(D5:D7,D9:D10,D12,D14:D17,D19:D26,D28:D30)</f>
        <v>-59011.918570000002</v>
      </c>
      <c r="E33" s="176">
        <f>SUM(E5:E7,E9:E10,E12,E14:E17,E19:E26,E28:E30)</f>
        <v>506.00774000000081</v>
      </c>
      <c r="F33" s="176">
        <f>E33-D33</f>
        <v>59517.926310000003</v>
      </c>
    </row>
    <row r="36" spans="2:6" ht="14.25" customHeight="1" x14ac:dyDescent="0.25">
      <c r="B36" s="312" t="s">
        <v>789</v>
      </c>
      <c r="C36" s="302" t="s">
        <v>853</v>
      </c>
      <c r="D36" s="302" t="s">
        <v>854</v>
      </c>
      <c r="E36" s="297"/>
    </row>
    <row r="37" spans="2:6" ht="14.25" customHeight="1" x14ac:dyDescent="0.25">
      <c r="B37" s="307" t="s">
        <v>293</v>
      </c>
      <c r="C37" s="306">
        <f>данные!S21</f>
        <v>-936.22031000000004</v>
      </c>
      <c r="D37" s="308">
        <f>данные!U21</f>
        <v>-57.425290000000004</v>
      </c>
      <c r="E37" s="298"/>
    </row>
    <row r="38" spans="2:6" ht="14.25" customHeight="1" x14ac:dyDescent="0.25">
      <c r="B38" s="307" t="str">
        <f>данные!A29</f>
        <v>УСС по Калининградской области</v>
      </c>
      <c r="C38" s="306">
        <f>данные!S29</f>
        <v>-4205.1297800000002</v>
      </c>
      <c r="D38" s="308">
        <f>данные!U29</f>
        <v>761.35927000000004</v>
      </c>
      <c r="E38" s="299"/>
    </row>
    <row r="39" spans="2:6" ht="14.25" customHeight="1" x14ac:dyDescent="0.25">
      <c r="B39" s="307" t="str">
        <f>данные!A36</f>
        <v>УСС по Астраханской области</v>
      </c>
      <c r="C39" s="306">
        <f>данные!S36</f>
        <v>-688.5394</v>
      </c>
      <c r="D39" s="308">
        <f>данные!U36</f>
        <v>1569.6433200000001</v>
      </c>
      <c r="E39" s="299"/>
    </row>
    <row r="40" spans="2:6" ht="14.25" customHeight="1" x14ac:dyDescent="0.25">
      <c r="B40" s="307" t="str">
        <f>данные!A37</f>
        <v>УСС по Волгоградской области</v>
      </c>
      <c r="C40" s="306">
        <f>данные!S37</f>
        <v>-2053.279</v>
      </c>
      <c r="D40" s="308">
        <f>данные!U37</f>
        <v>4666.6958199999999</v>
      </c>
      <c r="E40" s="299"/>
    </row>
    <row r="41" spans="2:6" ht="14.25" customHeight="1" x14ac:dyDescent="0.25">
      <c r="B41" s="313" t="str">
        <f>данные!A42</f>
        <v>УСС по Республике Северная Осетия - Алания</v>
      </c>
      <c r="C41" s="306">
        <f>данные!S42</f>
        <v>587.37643000000003</v>
      </c>
      <c r="D41" s="308">
        <f>данные!U42</f>
        <v>896.95846999999992</v>
      </c>
      <c r="E41" s="299"/>
    </row>
    <row r="42" spans="2:6" ht="14.25" customHeight="1" x14ac:dyDescent="0.25">
      <c r="B42" s="307" t="str">
        <f>данные!A59</f>
        <v>УСС по Кировской области</v>
      </c>
      <c r="C42" s="306">
        <f>данные!S59</f>
        <v>-452.35503000000006</v>
      </c>
      <c r="D42" s="308">
        <f>данные!U59</f>
        <v>180.21482999999998</v>
      </c>
      <c r="E42" s="299"/>
    </row>
    <row r="43" spans="2:6" ht="14.25" customHeight="1" x14ac:dyDescent="0.25">
      <c r="B43" s="307" t="str">
        <f>данные!A81</f>
        <v>УСС по Камчатскому краю</v>
      </c>
      <c r="C43" s="306">
        <f>данные!S81</f>
        <v>-925.91958999999997</v>
      </c>
      <c r="D43" s="308">
        <f>данные!U81</f>
        <v>1119.4661000000001</v>
      </c>
      <c r="E43" s="299"/>
    </row>
    <row r="44" spans="2:6" ht="14.25" customHeight="1" x14ac:dyDescent="0.25">
      <c r="B44" s="307" t="str">
        <f>данные!A84</f>
        <v>УСС по Сахалинской области</v>
      </c>
      <c r="C44" s="306">
        <f>данные!S84</f>
        <v>-1153.1488300000001</v>
      </c>
      <c r="D44" s="308">
        <f>данные!U84</f>
        <v>178.12469000000002</v>
      </c>
    </row>
    <row r="45" spans="2:6" ht="14.25" customHeight="1" x14ac:dyDescent="0.25">
      <c r="B45" s="314" t="s">
        <v>851</v>
      </c>
      <c r="C45" s="315">
        <f>SUM(C37,C38,C39,C40,C41,C42,C43)</f>
        <v>-8674.0666799999999</v>
      </c>
      <c r="D45" s="315">
        <f>SUM(D37,D38,D39,D40,D41,D42,D43)</f>
        <v>9136.9125199999999</v>
      </c>
      <c r="E45" s="215">
        <f>D45-C45</f>
        <v>17810.979200000002</v>
      </c>
    </row>
  </sheetData>
  <mergeCells count="6">
    <mergeCell ref="B27:E27"/>
    <mergeCell ref="B4:E4"/>
    <mergeCell ref="B8:E8"/>
    <mergeCell ref="B11:E11"/>
    <mergeCell ref="B13:E13"/>
    <mergeCell ref="B18:E18"/>
  </mergeCells>
  <conditionalFormatting sqref="E37:E38 E42:E43 E7">
    <cfRule type="expression" dxfId="62" priority="4">
      <formula>ABS($E7)&gt;ABS($D7)</formula>
    </cfRule>
  </conditionalFormatting>
  <conditionalFormatting sqref="E29">
    <cfRule type="expression" dxfId="61" priority="3">
      <formula>ABS($E29)&gt;ABS($D29)</formula>
    </cfRule>
  </conditionalFormatting>
  <conditionalFormatting sqref="E39:E41">
    <cfRule type="expression" dxfId="60" priority="2">
      <formula>ABS($E39)&gt;ABS($D39)</formula>
    </cfRule>
  </conditionalFormatting>
  <conditionalFormatting sqref="C5:E6 C9:E10 C12:E12 C19:E26 C28:E30 C14:E17">
    <cfRule type="cellIs" dxfId="5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35"/>
  <sheetViews>
    <sheetView workbookViewId="0">
      <selection activeCell="E12" sqref="E12:E13"/>
    </sheetView>
  </sheetViews>
  <sheetFormatPr defaultRowHeight="15" x14ac:dyDescent="0.25"/>
  <cols>
    <col min="1" max="1" width="5.7109375" style="300" customWidth="1"/>
    <col min="2" max="2" width="55.42578125" customWidth="1"/>
    <col min="3" max="3" width="50.7109375" style="281" customWidth="1"/>
    <col min="4" max="4" width="50.7109375" style="281" hidden="1" customWidth="1"/>
    <col min="5" max="5" width="50.7109375" customWidth="1"/>
    <col min="6" max="6" width="12.85546875" customWidth="1"/>
    <col min="8" max="8" width="23.7109375" customWidth="1"/>
    <col min="9" max="9" width="49.28515625" customWidth="1"/>
  </cols>
  <sheetData>
    <row r="3" spans="1:5" ht="26.25" customHeight="1" x14ac:dyDescent="0.25">
      <c r="A3" s="301" t="s">
        <v>852</v>
      </c>
      <c r="B3" s="302" t="s">
        <v>789</v>
      </c>
      <c r="C3" s="302" t="s">
        <v>843</v>
      </c>
      <c r="D3" s="302" t="s">
        <v>844</v>
      </c>
      <c r="E3" s="302" t="s">
        <v>845</v>
      </c>
    </row>
    <row r="4" spans="1:5" ht="14.25" customHeight="1" x14ac:dyDescent="0.25">
      <c r="A4" s="303"/>
      <c r="B4" s="468" t="s">
        <v>370</v>
      </c>
      <c r="C4" s="468"/>
      <c r="D4" s="468"/>
      <c r="E4" s="468"/>
    </row>
    <row r="5" spans="1:5" ht="14.25" customHeight="1" x14ac:dyDescent="0.25">
      <c r="A5" s="304">
        <v>1</v>
      </c>
      <c r="B5" s="305" t="s">
        <v>290</v>
      </c>
      <c r="C5" s="306">
        <f>'данные (ЧП с лизингом)'!AA18</f>
        <v>-804.76835000000005</v>
      </c>
      <c r="D5" s="306">
        <f>'[10]слайд 6 и 7'!$B54</f>
        <v>-981.67276000000004</v>
      </c>
      <c r="E5" s="306">
        <f>'данные (ЧП с лизингом)'!AC18</f>
        <v>-932.39845000000003</v>
      </c>
    </row>
    <row r="6" spans="1:5" ht="14.25" hidden="1" customHeight="1" x14ac:dyDescent="0.25">
      <c r="A6" s="304"/>
      <c r="B6" s="307" t="s">
        <v>293</v>
      </c>
      <c r="C6" s="306">
        <f>данные!S21</f>
        <v>-936.22031000000004</v>
      </c>
      <c r="D6" s="306">
        <f>'[10]слайд 6 и 7'!$B55</f>
        <v>-778.77022999999997</v>
      </c>
      <c r="E6" s="308">
        <f>данные!U21</f>
        <v>-57.425290000000004</v>
      </c>
    </row>
    <row r="7" spans="1:5" ht="14.25" customHeight="1" x14ac:dyDescent="0.25">
      <c r="A7" s="303"/>
      <c r="B7" s="468" t="s">
        <v>790</v>
      </c>
      <c r="C7" s="468"/>
      <c r="D7" s="468"/>
      <c r="E7" s="468"/>
    </row>
    <row r="8" spans="1:5" ht="14.25" customHeight="1" x14ac:dyDescent="0.25">
      <c r="A8" s="304">
        <v>2</v>
      </c>
      <c r="B8" s="305" t="s">
        <v>299</v>
      </c>
      <c r="C8" s="306">
        <f>'данные (ЧП с лизингом)'!AA27</f>
        <v>-9178.2628999999997</v>
      </c>
      <c r="D8" s="306">
        <f>'[10]слайд 6 и 7'!$B57</f>
        <v>-3337.1801099999998</v>
      </c>
      <c r="E8" s="306">
        <f>'данные (ЧП с лизингом)'!AC27</f>
        <v>-1281.6753499999998</v>
      </c>
    </row>
    <row r="9" spans="1:5" ht="14.25" customHeight="1" x14ac:dyDescent="0.25">
      <c r="A9" s="303"/>
      <c r="B9" s="468" t="s">
        <v>373</v>
      </c>
      <c r="C9" s="468"/>
      <c r="D9" s="468"/>
      <c r="E9" s="468"/>
    </row>
    <row r="10" spans="1:5" ht="14.25" customHeight="1" x14ac:dyDescent="0.25">
      <c r="A10" s="304">
        <v>3</v>
      </c>
      <c r="B10" s="305" t="s">
        <v>307</v>
      </c>
      <c r="C10" s="306">
        <f>'данные (ЧП с лизингом)'!AA35</f>
        <v>1575.448730000001</v>
      </c>
      <c r="D10" s="306">
        <f>'[10]слайд 6 и 7'!$B$60</f>
        <v>-11712.565490000001</v>
      </c>
      <c r="E10" s="306">
        <f>'данные (ЧП с лизингом)'!AC35</f>
        <v>-3410.4602699999996</v>
      </c>
    </row>
    <row r="11" spans="1:5" ht="14.25" customHeight="1" x14ac:dyDescent="0.25">
      <c r="A11" s="303"/>
      <c r="B11" s="468" t="s">
        <v>791</v>
      </c>
      <c r="C11" s="468"/>
      <c r="D11" s="468"/>
      <c r="E11" s="468"/>
    </row>
    <row r="12" spans="1:5" ht="14.25" customHeight="1" x14ac:dyDescent="0.25">
      <c r="A12" s="304">
        <v>4</v>
      </c>
      <c r="B12" s="305" t="s">
        <v>321</v>
      </c>
      <c r="C12" s="306">
        <f>'данные (ЧП с лизингом)'!AA51</f>
        <v>-666.89433000000008</v>
      </c>
      <c r="D12" s="306">
        <f>'[10]слайд 6 и 7'!$B62</f>
        <v>-504.12559000000005</v>
      </c>
      <c r="E12" s="306">
        <f>'данные (ЧП с лизингом)'!AC51</f>
        <v>-908.44250000000022</v>
      </c>
    </row>
    <row r="13" spans="1:5" ht="14.25" customHeight="1" x14ac:dyDescent="0.25">
      <c r="A13" s="304">
        <v>5</v>
      </c>
      <c r="B13" s="305" t="s">
        <v>322</v>
      </c>
      <c r="C13" s="306">
        <f>'данные (ЧП с лизингом)'!AA52</f>
        <v>-1911.4635699999999</v>
      </c>
      <c r="D13" s="306">
        <f>'[10]слайд 6 и 7'!$B63</f>
        <v>-4421.4062300000005</v>
      </c>
      <c r="E13" s="306">
        <f>'данные (ЧП с лизингом)'!AC52</f>
        <v>-148.21782000000076</v>
      </c>
    </row>
    <row r="14" spans="1:5" ht="14.25" customHeight="1" x14ac:dyDescent="0.25">
      <c r="A14" s="303"/>
      <c r="B14" s="468" t="s">
        <v>371</v>
      </c>
      <c r="C14" s="468"/>
      <c r="D14" s="468"/>
      <c r="E14" s="468"/>
    </row>
    <row r="15" spans="1:5" ht="14.25" customHeight="1" x14ac:dyDescent="0.25">
      <c r="A15" s="304">
        <v>6</v>
      </c>
      <c r="B15" s="305" t="s">
        <v>342</v>
      </c>
      <c r="C15" s="306">
        <f>'данные (ЧП с лизингом)'!AA72</f>
        <v>-1120.7231099999999</v>
      </c>
      <c r="D15" s="306">
        <f>'[10]слайд 6 и 7'!$B71</f>
        <v>-3449.8564999999999</v>
      </c>
      <c r="E15" s="306">
        <f>'данные (ЧП с лизингом)'!AC72</f>
        <v>-2163.5039000000002</v>
      </c>
    </row>
    <row r="16" spans="1:5" ht="14.25" customHeight="1" x14ac:dyDescent="0.25">
      <c r="A16" s="304">
        <v>7</v>
      </c>
      <c r="B16" s="305" t="s">
        <v>346</v>
      </c>
      <c r="C16" s="306">
        <f>'данные (ЧП с лизингом)'!AA76</f>
        <v>-561.3467599999999</v>
      </c>
      <c r="D16" s="306">
        <f>'[10]слайд 6 и 7'!$B73</f>
        <v>-5844.7829499999998</v>
      </c>
      <c r="E16" s="306">
        <f>'данные (ЧП с лизингом)'!AC76</f>
        <v>-5076.8670700000002</v>
      </c>
    </row>
    <row r="17" spans="1:6" ht="14.25" customHeight="1" x14ac:dyDescent="0.25">
      <c r="A17" s="304">
        <v>8</v>
      </c>
      <c r="B17" s="305" t="s">
        <v>347</v>
      </c>
      <c r="C17" s="306">
        <f>'данные (ЧП с лизингом)'!AA77</f>
        <v>-4057.95451</v>
      </c>
      <c r="D17" s="306">
        <f>'[10]слайд 6 и 7'!$B74</f>
        <v>-4022.1509900000001</v>
      </c>
      <c r="E17" s="306">
        <f>'данные (ЧП с лизингом)'!AC77</f>
        <v>-3809.9769000000001</v>
      </c>
    </row>
    <row r="18" spans="1:6" ht="14.25" customHeight="1" x14ac:dyDescent="0.25">
      <c r="A18" s="303"/>
      <c r="B18" s="468" t="s">
        <v>792</v>
      </c>
      <c r="C18" s="468"/>
      <c r="D18" s="468"/>
      <c r="E18" s="468"/>
    </row>
    <row r="19" spans="1:6" ht="14.25" customHeight="1" x14ac:dyDescent="0.25">
      <c r="A19" s="304">
        <v>9</v>
      </c>
      <c r="B19" s="305" t="s">
        <v>352</v>
      </c>
      <c r="C19" s="306">
        <f>'данные (ЧП с лизингом)'!AA83</f>
        <v>-1536.8744099999999</v>
      </c>
      <c r="D19" s="306">
        <f>'[10]слайд 6 и 7'!$B76</f>
        <v>-6479.8793599999999</v>
      </c>
      <c r="E19" s="306">
        <f>'данные (ЧП с лизингом)'!AC83</f>
        <v>1821.45039</v>
      </c>
    </row>
    <row r="20" spans="1:6" ht="14.25" hidden="1" customHeight="1" x14ac:dyDescent="0.25">
      <c r="A20" s="304"/>
      <c r="B20" s="307" t="s">
        <v>354</v>
      </c>
      <c r="C20" s="306">
        <f>данные!S84</f>
        <v>-1153.1488300000001</v>
      </c>
      <c r="D20" s="306">
        <f>'[10]слайд 6 и 7'!$B77</f>
        <v>-444.41397999999998</v>
      </c>
      <c r="E20" s="308">
        <f>данные!U84</f>
        <v>178.12469000000002</v>
      </c>
    </row>
    <row r="21" spans="1:6" ht="14.25" customHeight="1" x14ac:dyDescent="0.25">
      <c r="A21" s="303"/>
      <c r="B21" s="309" t="s">
        <v>851</v>
      </c>
      <c r="C21" s="310">
        <f>SUM(C5:C5,C8:C8,C10,C12:C13,C15:C17,C19:C20)</f>
        <v>-19415.988039999997</v>
      </c>
      <c r="D21" s="310">
        <f>SUM(D5:D5,D8:D8,D10,D12:D13,D15:D17,D19:D20)</f>
        <v>-41198.033960000001</v>
      </c>
      <c r="E21" s="311">
        <f>SUM(E5:E5,E8:E8,E10,E12:E13,E15:E17,E19:E20)</f>
        <v>-15731.967180000001</v>
      </c>
    </row>
    <row r="23" spans="1:6" x14ac:dyDescent="0.25">
      <c r="C23" s="176">
        <f>SUM(C5:C6,C8:C8,C10,C12:C13,C15:C17,C19:C20)</f>
        <v>-20352.208350000001</v>
      </c>
      <c r="D23" s="176">
        <f>SUM(D5:D6,D8:D8,D10,D12:D13,D15:D17,D19:D20)</f>
        <v>-41976.804190000003</v>
      </c>
      <c r="E23" s="176">
        <f>SUM(E5:E6,E8:E8,E10,E12:E13,E15:E17,E19:E20)</f>
        <v>-15789.392470000001</v>
      </c>
      <c r="F23" s="176">
        <f>E23-D23</f>
        <v>26187.411720000004</v>
      </c>
    </row>
    <row r="26" spans="1:6" ht="14.25" customHeight="1" x14ac:dyDescent="0.25">
      <c r="B26" s="312" t="s">
        <v>789</v>
      </c>
      <c r="C26" s="302" t="s">
        <v>853</v>
      </c>
      <c r="D26" s="302" t="s">
        <v>854</v>
      </c>
      <c r="E26" s="297"/>
    </row>
    <row r="27" spans="1:6" ht="14.25" customHeight="1" x14ac:dyDescent="0.25">
      <c r="B27" s="307" t="s">
        <v>293</v>
      </c>
      <c r="C27" s="306">
        <f>данные!S21</f>
        <v>-936.22031000000004</v>
      </c>
      <c r="D27" s="308">
        <f>данные!U21</f>
        <v>-57.425290000000004</v>
      </c>
      <c r="E27" s="298"/>
    </row>
    <row r="28" spans="1:6" ht="14.25" customHeight="1" x14ac:dyDescent="0.25">
      <c r="B28" s="307" t="str">
        <f>данные!A29</f>
        <v>УСС по Калининградской области</v>
      </c>
      <c r="C28" s="306">
        <f>данные!S29</f>
        <v>-4205.1297800000002</v>
      </c>
      <c r="D28" s="308">
        <f>данные!U29</f>
        <v>761.35927000000004</v>
      </c>
      <c r="E28" s="299"/>
    </row>
    <row r="29" spans="1:6" ht="14.25" customHeight="1" x14ac:dyDescent="0.25">
      <c r="B29" s="307" t="str">
        <f>данные!A36</f>
        <v>УСС по Астраханской области</v>
      </c>
      <c r="C29" s="306">
        <f>данные!S36</f>
        <v>-688.5394</v>
      </c>
      <c r="D29" s="308">
        <f>данные!U36</f>
        <v>1569.6433200000001</v>
      </c>
      <c r="E29" s="299"/>
    </row>
    <row r="30" spans="1:6" ht="14.25" customHeight="1" x14ac:dyDescent="0.25">
      <c r="B30" s="307" t="str">
        <f>данные!A37</f>
        <v>УСС по Волгоградской области</v>
      </c>
      <c r="C30" s="306">
        <f>данные!S37</f>
        <v>-2053.279</v>
      </c>
      <c r="D30" s="308">
        <f>данные!U37</f>
        <v>4666.6958199999999</v>
      </c>
      <c r="E30" s="299"/>
    </row>
    <row r="31" spans="1:6" ht="14.25" customHeight="1" x14ac:dyDescent="0.25">
      <c r="B31" s="313" t="str">
        <f>данные!A42</f>
        <v>УСС по Республике Северная Осетия - Алания</v>
      </c>
      <c r="C31" s="306">
        <f>данные!S42</f>
        <v>587.37643000000003</v>
      </c>
      <c r="D31" s="308">
        <f>данные!U42</f>
        <v>896.95846999999992</v>
      </c>
      <c r="E31" s="299"/>
    </row>
    <row r="32" spans="1:6" ht="14.25" customHeight="1" x14ac:dyDescent="0.25">
      <c r="B32" s="307" t="str">
        <f>данные!A59</f>
        <v>УСС по Кировской области</v>
      </c>
      <c r="C32" s="306">
        <f>данные!S59</f>
        <v>-452.35503000000006</v>
      </c>
      <c r="D32" s="308">
        <f>данные!U59</f>
        <v>180.21482999999998</v>
      </c>
      <c r="E32" s="299"/>
    </row>
    <row r="33" spans="2:5" ht="14.25" customHeight="1" x14ac:dyDescent="0.25">
      <c r="B33" s="307" t="str">
        <f>данные!A81</f>
        <v>УСС по Камчатскому краю</v>
      </c>
      <c r="C33" s="306">
        <f>данные!S81</f>
        <v>-925.91958999999997</v>
      </c>
      <c r="D33" s="308">
        <f>данные!U81</f>
        <v>1119.4661000000001</v>
      </c>
      <c r="E33" s="299"/>
    </row>
    <row r="34" spans="2:5" ht="14.25" customHeight="1" x14ac:dyDescent="0.25">
      <c r="B34" s="307" t="str">
        <f>данные!A84</f>
        <v>УСС по Сахалинской области</v>
      </c>
      <c r="C34" s="306">
        <f>данные!S84</f>
        <v>-1153.1488300000001</v>
      </c>
      <c r="D34" s="308">
        <f>данные!U84</f>
        <v>178.12469000000002</v>
      </c>
    </row>
    <row r="35" spans="2:5" ht="14.25" customHeight="1" x14ac:dyDescent="0.25">
      <c r="B35" s="314" t="s">
        <v>851</v>
      </c>
      <c r="C35" s="315">
        <f>SUM(C27,C28,C29,C30,C31,C32,C33)</f>
        <v>-8674.0666799999999</v>
      </c>
      <c r="D35" s="315">
        <f>SUM(D27,D28,D29,D30,D31,D32,D33)</f>
        <v>9136.9125199999999</v>
      </c>
      <c r="E35" s="215">
        <f>D35-C35</f>
        <v>17810.979200000002</v>
      </c>
    </row>
  </sheetData>
  <mergeCells count="6">
    <mergeCell ref="B18:E18"/>
    <mergeCell ref="B4:E4"/>
    <mergeCell ref="B7:E7"/>
    <mergeCell ref="B9:E9"/>
    <mergeCell ref="B11:E11"/>
    <mergeCell ref="B14:E14"/>
  </mergeCells>
  <conditionalFormatting sqref="E27:E28 E32:E33 E6">
    <cfRule type="expression" dxfId="58" priority="4">
      <formula>ABS($E6)&gt;ABS($D6)</formula>
    </cfRule>
  </conditionalFormatting>
  <conditionalFormatting sqref="E20">
    <cfRule type="expression" dxfId="57" priority="3">
      <formula>ABS($E20)&gt;ABS($D20)</formula>
    </cfRule>
  </conditionalFormatting>
  <conditionalFormatting sqref="E29:E31">
    <cfRule type="expression" dxfId="56" priority="2">
      <formula>ABS($E29)&gt;ABS($D29)</formula>
    </cfRule>
  </conditionalFormatting>
  <conditionalFormatting sqref="C8:E8 C10:E10 C12:E13 C19:E20 C5:E5 C15:E17">
    <cfRule type="cellIs" dxfId="5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F4" sqref="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">
        <v>889</v>
      </c>
      <c r="C4" s="210" t="s">
        <v>890</v>
      </c>
      <c r="D4" s="210" t="s">
        <v>891</v>
      </c>
      <c r="E4" s="210" t="s">
        <v>892</v>
      </c>
      <c r="F4" s="210" t="s">
        <v>893</v>
      </c>
    </row>
    <row r="5" spans="1:6" x14ac:dyDescent="0.25">
      <c r="A5" s="212" t="s">
        <v>7</v>
      </c>
      <c r="B5" s="345">
        <v>149339499.52000001</v>
      </c>
      <c r="C5" s="345">
        <v>134405305.74000001</v>
      </c>
      <c r="D5" s="345">
        <v>106357870.27</v>
      </c>
      <c r="E5" s="345">
        <v>106534623.23999999</v>
      </c>
      <c r="F5" s="345">
        <v>104687276.81</v>
      </c>
    </row>
    <row r="6" spans="1:6" x14ac:dyDescent="0.25">
      <c r="A6" s="212" t="s">
        <v>10</v>
      </c>
      <c r="B6" s="345">
        <v>578821947.64999998</v>
      </c>
      <c r="C6" s="345">
        <v>600827237.52999997</v>
      </c>
      <c r="D6" s="345">
        <v>567630635.13999999</v>
      </c>
      <c r="E6" s="345">
        <v>595444431.16999996</v>
      </c>
      <c r="F6" s="345">
        <v>646412642.30999994</v>
      </c>
    </row>
    <row r="7" spans="1:6" x14ac:dyDescent="0.25">
      <c r="A7" s="282" t="s">
        <v>59</v>
      </c>
      <c r="B7" s="346">
        <v>1583484.49</v>
      </c>
      <c r="C7" s="346">
        <v>-1609961.56</v>
      </c>
      <c r="D7" s="345">
        <v>2444439.67</v>
      </c>
      <c r="E7" s="345">
        <v>9464775.6300000008</v>
      </c>
      <c r="F7" s="345">
        <v>17359898.75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>C4</f>
        <v>7 мес. 2019 г.</v>
      </c>
      <c r="D9" s="210" t="str">
        <f>D4</f>
        <v>7 мес. 2020 г.</v>
      </c>
      <c r="E9" s="210" t="str">
        <f>E4</f>
        <v>7 мес. 2021 г.</v>
      </c>
      <c r="F9" s="210" t="str">
        <f>F4</f>
        <v>7 мес. 2022 г.</v>
      </c>
    </row>
    <row r="10" spans="1:6" x14ac:dyDescent="0.25">
      <c r="A10" s="212" t="s">
        <v>365</v>
      </c>
      <c r="B10" s="213">
        <f>B6/1000</f>
        <v>578821.94764999999</v>
      </c>
      <c r="C10" s="213">
        <f t="shared" ref="C10:F10" si="0">C6/1000</f>
        <v>600827.23752999993</v>
      </c>
      <c r="D10" s="213">
        <f t="shared" si="0"/>
        <v>567630.63514000003</v>
      </c>
      <c r="E10" s="213">
        <f t="shared" si="0"/>
        <v>595444.43117</v>
      </c>
      <c r="F10" s="213">
        <f t="shared" si="0"/>
        <v>646412.64230999991</v>
      </c>
    </row>
    <row r="11" spans="1:6" x14ac:dyDescent="0.25">
      <c r="A11" s="212" t="s">
        <v>7</v>
      </c>
      <c r="B11" s="213">
        <f>B5/1000</f>
        <v>149339.49952000001</v>
      </c>
      <c r="C11" s="213">
        <f t="shared" ref="C11:F11" si="1">C5/1000</f>
        <v>134405.30574000001</v>
      </c>
      <c r="D11" s="213">
        <f t="shared" si="1"/>
        <v>106357.87027</v>
      </c>
      <c r="E11" s="213">
        <f t="shared" si="1"/>
        <v>106534.62324</v>
      </c>
      <c r="F11" s="213">
        <f t="shared" si="1"/>
        <v>104687.27681</v>
      </c>
    </row>
    <row r="12" spans="1:6" x14ac:dyDescent="0.25">
      <c r="A12" t="s">
        <v>846</v>
      </c>
      <c r="B12" s="283">
        <f>B5/(B6+B7)</f>
        <v>0.25730203621522574</v>
      </c>
      <c r="C12" s="283">
        <f t="shared" ref="C12:F12" si="2">C5/(C6+C7)</f>
        <v>0.22430145312887984</v>
      </c>
      <c r="D12" s="283">
        <f t="shared" si="2"/>
        <v>0.18656818192840297</v>
      </c>
      <c r="E12" s="283">
        <f t="shared" si="2"/>
        <v>0.17611671643017882</v>
      </c>
      <c r="F12" s="283">
        <f t="shared" si="2"/>
        <v>0.15771558829899995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8"/>
  <sheetViews>
    <sheetView workbookViewId="0">
      <pane xSplit="1" ySplit="7" topLeftCell="B119" activePane="bottomRight" state="frozen"/>
      <selection pane="topRight" activeCell="B1" sqref="B1"/>
      <selection pane="bottomLeft" activeCell="A8" sqref="A8"/>
      <selection pane="bottomRight" activeCell="AB299" activeCellId="2" sqref="AB316 AB312 AB299"/>
    </sheetView>
  </sheetViews>
  <sheetFormatPr defaultRowHeight="15" x14ac:dyDescent="0.25"/>
  <cols>
    <col min="1" max="1" width="48.7109375" customWidth="1"/>
    <col min="2" max="47" width="15.7109375" customWidth="1"/>
  </cols>
  <sheetData>
    <row r="1" spans="1:4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23.25" x14ac:dyDescent="0.25">
      <c r="A2" s="27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x14ac:dyDescent="0.25">
      <c r="A4" s="28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x14ac:dyDescent="0.25">
      <c r="A6" s="409" t="s">
        <v>3</v>
      </c>
      <c r="B6" s="29" t="s">
        <v>378</v>
      </c>
      <c r="C6" s="29" t="s">
        <v>5</v>
      </c>
      <c r="D6" s="29"/>
      <c r="E6" s="29"/>
      <c r="F6" s="29" t="s">
        <v>378</v>
      </c>
      <c r="G6" s="29" t="s">
        <v>5</v>
      </c>
      <c r="H6" s="29"/>
      <c r="I6" s="29"/>
      <c r="J6" s="29" t="s">
        <v>378</v>
      </c>
      <c r="K6" s="29" t="s">
        <v>5</v>
      </c>
      <c r="L6" s="29"/>
      <c r="M6" s="29"/>
      <c r="N6" s="29" t="s">
        <v>378</v>
      </c>
      <c r="O6" s="29" t="s">
        <v>5</v>
      </c>
      <c r="P6" s="29"/>
      <c r="Q6" s="29"/>
      <c r="R6" s="29" t="s">
        <v>378</v>
      </c>
      <c r="S6" s="29" t="s">
        <v>5</v>
      </c>
      <c r="T6" s="29"/>
      <c r="U6" s="29"/>
      <c r="V6" s="29" t="s">
        <v>378</v>
      </c>
      <c r="W6" s="29" t="s">
        <v>5</v>
      </c>
      <c r="X6" s="29"/>
      <c r="Y6" s="29"/>
      <c r="Z6" s="29" t="s">
        <v>378</v>
      </c>
      <c r="AA6" s="29" t="s">
        <v>5</v>
      </c>
      <c r="AB6" s="29"/>
      <c r="AC6" s="29"/>
      <c r="AD6" s="29" t="s">
        <v>378</v>
      </c>
      <c r="AE6" s="29" t="s">
        <v>5</v>
      </c>
      <c r="AF6" s="29"/>
      <c r="AG6" s="29"/>
      <c r="AH6" s="29" t="s">
        <v>378</v>
      </c>
      <c r="AI6" s="29" t="s">
        <v>5</v>
      </c>
      <c r="AJ6" s="29"/>
      <c r="AK6" s="29"/>
      <c r="AL6" s="29" t="s">
        <v>378</v>
      </c>
      <c r="AM6" s="29" t="s">
        <v>5</v>
      </c>
      <c r="AN6" s="29"/>
      <c r="AO6" s="29"/>
      <c r="AP6" s="29" t="s">
        <v>378</v>
      </c>
      <c r="AQ6" s="29" t="s">
        <v>5</v>
      </c>
      <c r="AR6" s="29"/>
      <c r="AS6" s="29"/>
      <c r="AT6" s="29" t="s">
        <v>378</v>
      </c>
      <c r="AU6" s="29" t="s">
        <v>5</v>
      </c>
    </row>
    <row r="7" spans="1:47" ht="51" x14ac:dyDescent="0.25">
      <c r="A7" s="410"/>
      <c r="B7" s="29" t="s">
        <v>278</v>
      </c>
      <c r="C7" s="29" t="s">
        <v>278</v>
      </c>
      <c r="D7" s="29"/>
      <c r="E7" s="29"/>
      <c r="F7" s="29" t="s">
        <v>279</v>
      </c>
      <c r="G7" s="29" t="s">
        <v>279</v>
      </c>
      <c r="H7" s="29"/>
      <c r="I7" s="29"/>
      <c r="J7" s="29" t="s">
        <v>280</v>
      </c>
      <c r="K7" s="29" t="s">
        <v>280</v>
      </c>
      <c r="L7" s="29"/>
      <c r="M7" s="29"/>
      <c r="N7" s="29" t="s">
        <v>297</v>
      </c>
      <c r="O7" s="29" t="s">
        <v>297</v>
      </c>
      <c r="P7" s="29"/>
      <c r="Q7" s="29"/>
      <c r="R7" s="29" t="s">
        <v>306</v>
      </c>
      <c r="S7" s="29" t="s">
        <v>306</v>
      </c>
      <c r="T7" s="29"/>
      <c r="U7" s="29"/>
      <c r="V7" s="29" t="s">
        <v>316</v>
      </c>
      <c r="W7" s="29" t="s">
        <v>316</v>
      </c>
      <c r="X7" s="29"/>
      <c r="Y7" s="29"/>
      <c r="Z7" s="29" t="s">
        <v>327</v>
      </c>
      <c r="AA7" s="29" t="s">
        <v>327</v>
      </c>
      <c r="AB7" s="29"/>
      <c r="AC7" s="29"/>
      <c r="AD7" s="29" t="s">
        <v>337</v>
      </c>
      <c r="AE7" s="29" t="s">
        <v>337</v>
      </c>
      <c r="AF7" s="29"/>
      <c r="AG7" s="29"/>
      <c r="AH7" s="29" t="s">
        <v>348</v>
      </c>
      <c r="AI7" s="29" t="s">
        <v>348</v>
      </c>
      <c r="AJ7" s="29"/>
      <c r="AK7" s="29"/>
      <c r="AL7" s="29" t="s">
        <v>357</v>
      </c>
      <c r="AM7" s="29" t="s">
        <v>357</v>
      </c>
      <c r="AN7" s="29"/>
      <c r="AO7" s="29"/>
      <c r="AP7" s="29" t="s">
        <v>358</v>
      </c>
      <c r="AQ7" s="29" t="s">
        <v>358</v>
      </c>
      <c r="AR7" s="29"/>
      <c r="AS7" s="29"/>
      <c r="AT7" s="29" t="s">
        <v>360</v>
      </c>
      <c r="AU7" s="29" t="s">
        <v>360</v>
      </c>
    </row>
    <row r="8" spans="1:47" x14ac:dyDescent="0.25">
      <c r="A8" s="30" t="s">
        <v>7</v>
      </c>
      <c r="B8" s="44">
        <v>34056420.340000004</v>
      </c>
      <c r="C8" s="44">
        <v>5637582.3499999996</v>
      </c>
      <c r="D8" s="44">
        <f>C8-B8</f>
        <v>-28418837.990000002</v>
      </c>
      <c r="E8" s="44"/>
      <c r="F8" s="44">
        <v>1065558667.62</v>
      </c>
      <c r="G8" s="44">
        <v>886559073.89999998</v>
      </c>
      <c r="H8" s="44">
        <f>G8-F8</f>
        <v>-178999593.72000003</v>
      </c>
      <c r="I8" s="44"/>
      <c r="J8" s="44">
        <v>254271575.37</v>
      </c>
      <c r="K8" s="44">
        <v>229248088.55000001</v>
      </c>
      <c r="L8" s="44">
        <f>K8-J8</f>
        <v>-25023486.819999993</v>
      </c>
      <c r="M8" s="44"/>
      <c r="N8" s="44">
        <v>300949612.10000002</v>
      </c>
      <c r="O8" s="44">
        <v>254693728.84</v>
      </c>
      <c r="P8" s="44">
        <f>O8-N8</f>
        <v>-46255883.26000002</v>
      </c>
      <c r="Q8" s="44"/>
      <c r="R8" s="44">
        <v>96381576.129999995</v>
      </c>
      <c r="S8" s="44">
        <v>53421127.109999999</v>
      </c>
      <c r="T8" s="44">
        <f>S8-R8</f>
        <v>-42960449.019999996</v>
      </c>
      <c r="U8" s="44"/>
      <c r="V8" s="44">
        <v>96410220.519999996</v>
      </c>
      <c r="W8" s="44">
        <v>66399486.990000002</v>
      </c>
      <c r="X8" s="44">
        <f>W8-V8</f>
        <v>-30010733.529999994</v>
      </c>
      <c r="Y8" s="44"/>
      <c r="Z8" s="44">
        <v>189026631.15000001</v>
      </c>
      <c r="AA8" s="44">
        <v>182789147.13999999</v>
      </c>
      <c r="AB8" s="44">
        <f>AA8-Z8</f>
        <v>-6237484.0100000203</v>
      </c>
      <c r="AC8" s="44"/>
      <c r="AD8" s="44">
        <v>62273521.68</v>
      </c>
      <c r="AE8" s="44">
        <v>51265553.039999999</v>
      </c>
      <c r="AF8" s="44">
        <f>AE8-AD8</f>
        <v>-11007968.640000001</v>
      </c>
      <c r="AG8" s="44"/>
      <c r="AH8" s="44">
        <v>66245530.670000002</v>
      </c>
      <c r="AI8" s="44">
        <v>48741942.229999997</v>
      </c>
      <c r="AJ8" s="44">
        <f>AI8-AH8</f>
        <v>-17503588.440000005</v>
      </c>
      <c r="AK8" s="44"/>
      <c r="AL8" s="44">
        <v>644559.23</v>
      </c>
      <c r="AM8" s="44">
        <v>33848564.369999997</v>
      </c>
      <c r="AN8" s="44">
        <f>AM8-AL8</f>
        <v>33204005.139999997</v>
      </c>
      <c r="AO8" s="44"/>
      <c r="AP8" s="44">
        <v>9539795.3800000008</v>
      </c>
      <c r="AQ8" s="44">
        <v>-21651147.07</v>
      </c>
      <c r="AR8" s="44">
        <f>AQ8-AP8</f>
        <v>-31190942.450000003</v>
      </c>
      <c r="AS8" s="44"/>
      <c r="AT8" s="44">
        <v>-974304411.70000005</v>
      </c>
      <c r="AU8" s="44">
        <v>-864800581.23000002</v>
      </c>
    </row>
    <row r="9" spans="1:47" x14ac:dyDescent="0.25">
      <c r="A9" s="31" t="s">
        <v>8</v>
      </c>
      <c r="B9" s="44">
        <v>48266116.009999998</v>
      </c>
      <c r="C9" s="44">
        <v>-36916427.719999999</v>
      </c>
      <c r="D9" s="44">
        <f t="shared" ref="D9:D72" si="0">C9-B9</f>
        <v>-85182543.729999989</v>
      </c>
      <c r="E9" s="44"/>
      <c r="F9" s="44">
        <v>1337957886.3199999</v>
      </c>
      <c r="G9" s="44">
        <v>1107085633.02</v>
      </c>
      <c r="H9" s="44">
        <f t="shared" ref="H9:H72" si="1">G9-F9</f>
        <v>-230872253.29999995</v>
      </c>
      <c r="I9" s="44"/>
      <c r="J9" s="44">
        <v>318873415.12</v>
      </c>
      <c r="K9" s="44">
        <v>286738427.70999998</v>
      </c>
      <c r="L9" s="44">
        <f t="shared" ref="L9:L72" si="2">K9-J9</f>
        <v>-32134987.410000026</v>
      </c>
      <c r="M9" s="44"/>
      <c r="N9" s="44">
        <v>376237621.12</v>
      </c>
      <c r="O9" s="44">
        <v>319346704.64999998</v>
      </c>
      <c r="P9" s="44">
        <f t="shared" ref="P9:P72" si="3">O9-N9</f>
        <v>-56890916.470000029</v>
      </c>
      <c r="Q9" s="44"/>
      <c r="R9" s="44">
        <v>121550278.3</v>
      </c>
      <c r="S9" s="44">
        <v>66733409.329999998</v>
      </c>
      <c r="T9" s="44">
        <f t="shared" ref="T9:T72" si="4">S9-R9</f>
        <v>-54816868.969999999</v>
      </c>
      <c r="U9" s="44"/>
      <c r="V9" s="44">
        <v>121552232.73999999</v>
      </c>
      <c r="W9" s="44">
        <v>82876718.840000004</v>
      </c>
      <c r="X9" s="44">
        <f t="shared" ref="X9:X72" si="5">W9-V9</f>
        <v>-38675513.899999991</v>
      </c>
      <c r="Y9" s="44"/>
      <c r="Z9" s="44">
        <v>233218813.99000001</v>
      </c>
      <c r="AA9" s="44">
        <v>224144833.97999999</v>
      </c>
      <c r="AB9" s="44">
        <f t="shared" ref="AB9:AB72" si="6">AA9-Z9</f>
        <v>-9073980.0100000203</v>
      </c>
      <c r="AC9" s="44"/>
      <c r="AD9" s="44">
        <v>81141813.319999993</v>
      </c>
      <c r="AE9" s="44">
        <v>65509455.189999998</v>
      </c>
      <c r="AF9" s="44">
        <f t="shared" ref="AF9:AF72" si="7">AE9-AD9</f>
        <v>-15632358.129999995</v>
      </c>
      <c r="AG9" s="44"/>
      <c r="AH9" s="44">
        <v>85383711.730000004</v>
      </c>
      <c r="AI9" s="44">
        <v>61736083.32</v>
      </c>
      <c r="AJ9" s="44">
        <f t="shared" ref="AJ9:AJ72" si="8">AI9-AH9</f>
        <v>-23647628.410000004</v>
      </c>
      <c r="AK9" s="44"/>
      <c r="AL9" s="44">
        <v>-329716.99</v>
      </c>
      <c r="AM9" s="44">
        <v>36887821.920000002</v>
      </c>
      <c r="AN9" s="44">
        <f t="shared" ref="AN9:AN72" si="9">AM9-AL9</f>
        <v>37217538.910000004</v>
      </c>
      <c r="AO9" s="44"/>
      <c r="AP9" s="44">
        <v>12297639.710000001</v>
      </c>
      <c r="AQ9" s="44">
        <v>-25574182.449999999</v>
      </c>
      <c r="AR9" s="44">
        <f t="shared" ref="AR9:AR72" si="10">AQ9-AP9</f>
        <v>-37871822.159999996</v>
      </c>
      <c r="AS9" s="44"/>
      <c r="AT9" s="44">
        <v>-1217477109.8800001</v>
      </c>
      <c r="AU9" s="44">
        <v>-1119957733.0599999</v>
      </c>
    </row>
    <row r="10" spans="1:47" x14ac:dyDescent="0.25">
      <c r="A10" s="32" t="s">
        <v>9</v>
      </c>
      <c r="B10" s="44">
        <v>11172945683.139999</v>
      </c>
      <c r="C10" s="44">
        <v>10168627184.49</v>
      </c>
      <c r="D10" s="44">
        <f t="shared" si="0"/>
        <v>-1004318498.6499996</v>
      </c>
      <c r="E10" s="44"/>
      <c r="F10" s="44">
        <v>7952580045.4199991</v>
      </c>
      <c r="G10" s="44">
        <v>7344673895.8600006</v>
      </c>
      <c r="H10" s="44">
        <f t="shared" si="1"/>
        <v>-607906149.55999851</v>
      </c>
      <c r="I10" s="44"/>
      <c r="J10" s="44">
        <v>1152463435.0899999</v>
      </c>
      <c r="K10" s="44">
        <v>1080429450.45</v>
      </c>
      <c r="L10" s="44">
        <f t="shared" si="2"/>
        <v>-72033984.639999866</v>
      </c>
      <c r="M10" s="44"/>
      <c r="N10" s="44">
        <v>1878769000.5799999</v>
      </c>
      <c r="O10" s="44">
        <v>1713204493.1400001</v>
      </c>
      <c r="P10" s="44">
        <f t="shared" si="3"/>
        <v>-165564507.43999982</v>
      </c>
      <c r="Q10" s="44"/>
      <c r="R10" s="44">
        <v>835509044.85000002</v>
      </c>
      <c r="S10" s="44">
        <v>721337942.17999995</v>
      </c>
      <c r="T10" s="44">
        <f t="shared" si="4"/>
        <v>-114171102.67000008</v>
      </c>
      <c r="U10" s="44"/>
      <c r="V10" s="44">
        <v>950422096.75999999</v>
      </c>
      <c r="W10" s="44">
        <v>807873635.10000002</v>
      </c>
      <c r="X10" s="44">
        <f t="shared" si="5"/>
        <v>-142548461.65999997</v>
      </c>
      <c r="Y10" s="44"/>
      <c r="Z10" s="44">
        <v>1308480714.5799999</v>
      </c>
      <c r="AA10" s="44">
        <v>1269594362.1299999</v>
      </c>
      <c r="AB10" s="44">
        <f t="shared" si="6"/>
        <v>-38886352.450000048</v>
      </c>
      <c r="AC10" s="44"/>
      <c r="AD10" s="44">
        <v>1016945586.5</v>
      </c>
      <c r="AE10" s="44">
        <v>989659575</v>
      </c>
      <c r="AF10" s="44">
        <f t="shared" si="7"/>
        <v>-27286011.5</v>
      </c>
      <c r="AG10" s="44"/>
      <c r="AH10" s="44">
        <v>809990167.05999994</v>
      </c>
      <c r="AI10" s="44">
        <v>762574437.86000001</v>
      </c>
      <c r="AJ10" s="44">
        <f t="shared" si="8"/>
        <v>-47415729.199999928</v>
      </c>
      <c r="AK10" s="44"/>
      <c r="AL10" s="44">
        <v>2133067575.47</v>
      </c>
      <c r="AM10" s="44">
        <v>2078681371.0700002</v>
      </c>
      <c r="AN10" s="44">
        <f t="shared" si="9"/>
        <v>-54386204.399999857</v>
      </c>
      <c r="AO10" s="44"/>
      <c r="AP10" s="44">
        <v>665081525.78999996</v>
      </c>
      <c r="AQ10" s="44">
        <v>579325538.22000003</v>
      </c>
      <c r="AR10" s="44">
        <f t="shared" si="10"/>
        <v>-85755987.569999933</v>
      </c>
      <c r="AS10" s="44"/>
      <c r="AT10" s="44">
        <v>411751558.88</v>
      </c>
      <c r="AU10" s="44">
        <v>163326432.28</v>
      </c>
    </row>
    <row r="11" spans="1:47" x14ac:dyDescent="0.25">
      <c r="A11" s="33" t="s">
        <v>10</v>
      </c>
      <c r="B11" s="44">
        <v>10952470793.74</v>
      </c>
      <c r="C11" s="44">
        <v>9930737450.8399982</v>
      </c>
      <c r="D11" s="44">
        <f t="shared" si="0"/>
        <v>-1021733342.9000015</v>
      </c>
      <c r="E11" s="44"/>
      <c r="F11" s="44">
        <v>7875086081.5499992</v>
      </c>
      <c r="G11" s="44">
        <v>7216148164.6599998</v>
      </c>
      <c r="H11" s="44">
        <f t="shared" si="1"/>
        <v>-658937916.88999939</v>
      </c>
      <c r="I11" s="44"/>
      <c r="J11" s="44">
        <v>1156315548.0899999</v>
      </c>
      <c r="K11" s="44">
        <v>1068036181.05</v>
      </c>
      <c r="L11" s="44">
        <f t="shared" si="2"/>
        <v>-88279367.039999962</v>
      </c>
      <c r="M11" s="44"/>
      <c r="N11" s="44">
        <v>1880302963.8700001</v>
      </c>
      <c r="O11" s="44">
        <v>1698390558.8300002</v>
      </c>
      <c r="P11" s="44">
        <f t="shared" si="3"/>
        <v>-181912405.03999996</v>
      </c>
      <c r="Q11" s="44"/>
      <c r="R11" s="44">
        <v>822158960.63</v>
      </c>
      <c r="S11" s="44">
        <v>696290626</v>
      </c>
      <c r="T11" s="44">
        <f t="shared" si="4"/>
        <v>-125868334.63</v>
      </c>
      <c r="U11" s="44"/>
      <c r="V11" s="44">
        <v>939572547.35000002</v>
      </c>
      <c r="W11" s="44">
        <v>791733479.75</v>
      </c>
      <c r="X11" s="44">
        <f t="shared" si="5"/>
        <v>-147839067.60000002</v>
      </c>
      <c r="Y11" s="44"/>
      <c r="Z11" s="44">
        <v>1287329263.9100001</v>
      </c>
      <c r="AA11" s="44">
        <v>1231913100.6899998</v>
      </c>
      <c r="AB11" s="44">
        <f t="shared" si="6"/>
        <v>-55416163.220000267</v>
      </c>
      <c r="AC11" s="44"/>
      <c r="AD11" s="44">
        <v>988408262.42999995</v>
      </c>
      <c r="AE11" s="44">
        <v>978814204.63999999</v>
      </c>
      <c r="AF11" s="44">
        <f t="shared" si="7"/>
        <v>-9594057.7899999619</v>
      </c>
      <c r="AG11" s="44"/>
      <c r="AH11" s="44">
        <v>800998535.26999998</v>
      </c>
      <c r="AI11" s="44">
        <v>750970013.70000005</v>
      </c>
      <c r="AJ11" s="44">
        <f t="shared" si="8"/>
        <v>-50028521.569999933</v>
      </c>
      <c r="AK11" s="44"/>
      <c r="AL11" s="44">
        <v>1881694459.1900001</v>
      </c>
      <c r="AM11" s="44">
        <v>1867856959.4099998</v>
      </c>
      <c r="AN11" s="44">
        <f t="shared" si="9"/>
        <v>-13837499.78000021</v>
      </c>
      <c r="AO11" s="44"/>
      <c r="AP11" s="44">
        <v>816989488.79999995</v>
      </c>
      <c r="AQ11" s="44">
        <v>704955119.35000002</v>
      </c>
      <c r="AR11" s="44">
        <f t="shared" si="10"/>
        <v>-112034369.44999993</v>
      </c>
      <c r="AS11" s="44"/>
      <c r="AT11" s="44">
        <v>378700764.19999999</v>
      </c>
      <c r="AU11" s="44">
        <v>141777207.41999999</v>
      </c>
    </row>
    <row r="12" spans="1:47" x14ac:dyDescent="0.25">
      <c r="A12" s="34" t="s">
        <v>11</v>
      </c>
      <c r="B12" s="44">
        <v>2350169972.3600001</v>
      </c>
      <c r="C12" s="44">
        <v>2213561768.27</v>
      </c>
      <c r="D12" s="44">
        <f t="shared" si="0"/>
        <v>-136608204.09000015</v>
      </c>
      <c r="E12" s="44"/>
      <c r="F12" s="44">
        <v>1822812540.5599999</v>
      </c>
      <c r="G12" s="44">
        <v>1704091986.47</v>
      </c>
      <c r="H12" s="44">
        <f t="shared" si="1"/>
        <v>-118720554.08999991</v>
      </c>
      <c r="I12" s="44"/>
      <c r="J12" s="44">
        <v>295451228.64999998</v>
      </c>
      <c r="K12" s="44">
        <v>301066937.14999998</v>
      </c>
      <c r="L12" s="44">
        <f t="shared" si="2"/>
        <v>5615708.5</v>
      </c>
      <c r="M12" s="44"/>
      <c r="N12" s="44">
        <v>317116574.20999998</v>
      </c>
      <c r="O12" s="44">
        <v>274147701</v>
      </c>
      <c r="P12" s="44">
        <f t="shared" si="3"/>
        <v>-42968873.209999979</v>
      </c>
      <c r="Q12" s="44"/>
      <c r="R12" s="44">
        <v>265344657.41</v>
      </c>
      <c r="S12" s="44">
        <v>242172554.21000001</v>
      </c>
      <c r="T12" s="44">
        <f t="shared" si="4"/>
        <v>-23172103.199999988</v>
      </c>
      <c r="U12" s="44"/>
      <c r="V12" s="44">
        <v>309742180</v>
      </c>
      <c r="W12" s="44">
        <v>258111243.43000001</v>
      </c>
      <c r="X12" s="44">
        <f t="shared" si="5"/>
        <v>-51630936.569999993</v>
      </c>
      <c r="Y12" s="44"/>
      <c r="Z12" s="44">
        <v>272706368.37</v>
      </c>
      <c r="AA12" s="44">
        <v>265590023.75</v>
      </c>
      <c r="AB12" s="44">
        <f t="shared" si="6"/>
        <v>-7116344.6200000048</v>
      </c>
      <c r="AC12" s="44"/>
      <c r="AD12" s="44">
        <v>213817347.11000001</v>
      </c>
      <c r="AE12" s="44">
        <v>213034946.44</v>
      </c>
      <c r="AF12" s="44">
        <f t="shared" si="7"/>
        <v>-782400.67000001669</v>
      </c>
      <c r="AG12" s="44"/>
      <c r="AH12" s="44">
        <v>148634184.81</v>
      </c>
      <c r="AI12" s="44">
        <v>149968580.49000001</v>
      </c>
      <c r="AJ12" s="44">
        <f t="shared" si="8"/>
        <v>1334395.6800000072</v>
      </c>
      <c r="AK12" s="44"/>
      <c r="AL12" s="44">
        <v>523818278.81999999</v>
      </c>
      <c r="AM12" s="44">
        <v>501611604.36000001</v>
      </c>
      <c r="AN12" s="44">
        <f t="shared" si="9"/>
        <v>-22206674.459999979</v>
      </c>
      <c r="AO12" s="44"/>
      <c r="AP12" s="45"/>
      <c r="AQ12" s="45"/>
      <c r="AR12" s="44">
        <f t="shared" si="10"/>
        <v>0</v>
      </c>
      <c r="AS12" s="44"/>
      <c r="AT12" s="44">
        <v>3539152.98</v>
      </c>
      <c r="AU12" s="44">
        <v>7858177.4400000004</v>
      </c>
    </row>
    <row r="13" spans="1:47" x14ac:dyDescent="0.25">
      <c r="A13" s="35" t="s">
        <v>12</v>
      </c>
      <c r="B13" s="46">
        <v>1821708916.1800001</v>
      </c>
      <c r="C13" s="46">
        <v>1812851382.3900001</v>
      </c>
      <c r="D13" s="46">
        <f t="shared" si="0"/>
        <v>-8857533.7899999619</v>
      </c>
      <c r="E13" s="46"/>
      <c r="F13" s="46">
        <v>1348945743.5999999</v>
      </c>
      <c r="G13" s="46">
        <v>1359330847.8300002</v>
      </c>
      <c r="H13" s="46">
        <f t="shared" si="1"/>
        <v>10385104.230000257</v>
      </c>
      <c r="I13" s="46"/>
      <c r="J13" s="46">
        <v>222776963.31999999</v>
      </c>
      <c r="K13" s="46">
        <v>223193305.41999999</v>
      </c>
      <c r="L13" s="46">
        <f t="shared" si="2"/>
        <v>416342.09999999404</v>
      </c>
      <c r="M13" s="46"/>
      <c r="N13" s="46">
        <v>220660919.31</v>
      </c>
      <c r="O13" s="46">
        <v>236225988.40000001</v>
      </c>
      <c r="P13" s="46">
        <f t="shared" si="3"/>
        <v>15565069.090000004</v>
      </c>
      <c r="Q13" s="46"/>
      <c r="R13" s="46">
        <v>225878043.71000001</v>
      </c>
      <c r="S13" s="46">
        <v>214394023.00999999</v>
      </c>
      <c r="T13" s="46">
        <f t="shared" si="4"/>
        <v>-11484020.700000018</v>
      </c>
      <c r="U13" s="46"/>
      <c r="V13" s="46">
        <v>186968776.03</v>
      </c>
      <c r="W13" s="46">
        <v>179036404.13999999</v>
      </c>
      <c r="X13" s="46">
        <f t="shared" si="5"/>
        <v>-7932371.8900000155</v>
      </c>
      <c r="Y13" s="46"/>
      <c r="Z13" s="46">
        <v>186679201.41</v>
      </c>
      <c r="AA13" s="46">
        <v>203441245.44999999</v>
      </c>
      <c r="AB13" s="46">
        <f t="shared" si="6"/>
        <v>16762044.039999992</v>
      </c>
      <c r="AC13" s="46"/>
      <c r="AD13" s="46">
        <v>181943366.13</v>
      </c>
      <c r="AE13" s="46">
        <v>177184386.90000001</v>
      </c>
      <c r="AF13" s="46">
        <f t="shared" si="7"/>
        <v>-4758979.2299999893</v>
      </c>
      <c r="AG13" s="46"/>
      <c r="AH13" s="46">
        <v>124038473.69</v>
      </c>
      <c r="AI13" s="46">
        <v>125855494.51000001</v>
      </c>
      <c r="AJ13" s="46">
        <f t="shared" si="8"/>
        <v>1817020.8200000077</v>
      </c>
      <c r="AK13" s="46"/>
      <c r="AL13" s="46">
        <v>467722449.91000003</v>
      </c>
      <c r="AM13" s="46">
        <v>448901320.81999999</v>
      </c>
      <c r="AN13" s="46">
        <f t="shared" si="9"/>
        <v>-18821129.090000033</v>
      </c>
      <c r="AO13" s="46"/>
      <c r="AP13" s="47"/>
      <c r="AQ13" s="47"/>
      <c r="AR13" s="46">
        <f t="shared" si="10"/>
        <v>0</v>
      </c>
      <c r="AS13" s="46"/>
      <c r="AT13" s="46">
        <v>5040722.67</v>
      </c>
      <c r="AU13" s="46">
        <v>4619213.74</v>
      </c>
    </row>
    <row r="14" spans="1:47" x14ac:dyDescent="0.25">
      <c r="A14" s="35" t="s">
        <v>13</v>
      </c>
      <c r="B14" s="46">
        <v>147069454.72</v>
      </c>
      <c r="C14" s="46">
        <v>120252709.05</v>
      </c>
      <c r="D14" s="46">
        <f t="shared" si="0"/>
        <v>-26816745.670000002</v>
      </c>
      <c r="E14" s="46"/>
      <c r="F14" s="46">
        <v>125731497.06</v>
      </c>
      <c r="G14" s="46">
        <v>101650919.93000001</v>
      </c>
      <c r="H14" s="46">
        <f t="shared" si="1"/>
        <v>-24080577.129999995</v>
      </c>
      <c r="I14" s="46"/>
      <c r="J14" s="46">
        <v>10815548.92</v>
      </c>
      <c r="K14" s="46">
        <v>12384897.23</v>
      </c>
      <c r="L14" s="46">
        <f t="shared" si="2"/>
        <v>1569348.3100000005</v>
      </c>
      <c r="M14" s="46"/>
      <c r="N14" s="46">
        <v>26388681.359999999</v>
      </c>
      <c r="O14" s="46">
        <v>17678073.09</v>
      </c>
      <c r="P14" s="46">
        <f t="shared" si="3"/>
        <v>-8710608.2699999996</v>
      </c>
      <c r="Q14" s="46"/>
      <c r="R14" s="46">
        <v>15716763.48</v>
      </c>
      <c r="S14" s="46">
        <v>18034100.120000001</v>
      </c>
      <c r="T14" s="46">
        <f t="shared" si="4"/>
        <v>2317336.6400000006</v>
      </c>
      <c r="U14" s="46"/>
      <c r="V14" s="46">
        <v>20832274.039999999</v>
      </c>
      <c r="W14" s="46">
        <v>17403221</v>
      </c>
      <c r="X14" s="46">
        <f t="shared" si="5"/>
        <v>-3429053.0399999991</v>
      </c>
      <c r="Y14" s="46"/>
      <c r="Z14" s="46">
        <v>24562501.82</v>
      </c>
      <c r="AA14" s="46">
        <v>8229158.5</v>
      </c>
      <c r="AB14" s="46">
        <f t="shared" si="6"/>
        <v>-16333343.32</v>
      </c>
      <c r="AC14" s="46"/>
      <c r="AD14" s="46">
        <v>12476167.810000001</v>
      </c>
      <c r="AE14" s="46">
        <v>13127255.99</v>
      </c>
      <c r="AF14" s="46">
        <f t="shared" si="7"/>
        <v>651088.1799999997</v>
      </c>
      <c r="AG14" s="46"/>
      <c r="AH14" s="46">
        <v>14939559.630000001</v>
      </c>
      <c r="AI14" s="46">
        <v>14794214</v>
      </c>
      <c r="AJ14" s="46">
        <f t="shared" si="8"/>
        <v>-145345.63000000082</v>
      </c>
      <c r="AK14" s="46"/>
      <c r="AL14" s="46">
        <v>22750638.649999999</v>
      </c>
      <c r="AM14" s="46">
        <v>18857346.739999998</v>
      </c>
      <c r="AN14" s="46">
        <f t="shared" si="9"/>
        <v>-3893291.91</v>
      </c>
      <c r="AO14" s="46"/>
      <c r="AP14" s="47"/>
      <c r="AQ14" s="47"/>
      <c r="AR14" s="46">
        <f t="shared" si="10"/>
        <v>0</v>
      </c>
      <c r="AS14" s="46"/>
      <c r="AT14" s="46">
        <v>-1412680.99</v>
      </c>
      <c r="AU14" s="46">
        <v>-255557.62</v>
      </c>
    </row>
    <row r="15" spans="1:47" x14ac:dyDescent="0.25">
      <c r="A15" s="35" t="s">
        <v>14</v>
      </c>
      <c r="B15" s="46">
        <v>381391601.45999998</v>
      </c>
      <c r="C15" s="46">
        <v>280457676.82999998</v>
      </c>
      <c r="D15" s="46">
        <f t="shared" si="0"/>
        <v>-100933924.63</v>
      </c>
      <c r="E15" s="46"/>
      <c r="F15" s="46">
        <v>348135299.89999998</v>
      </c>
      <c r="G15" s="46">
        <v>243110218.71000001</v>
      </c>
      <c r="H15" s="46">
        <f t="shared" si="1"/>
        <v>-105025081.18999997</v>
      </c>
      <c r="I15" s="46"/>
      <c r="J15" s="46">
        <v>61858716.409999996</v>
      </c>
      <c r="K15" s="46">
        <v>65488734.5</v>
      </c>
      <c r="L15" s="46">
        <f t="shared" si="2"/>
        <v>3630018.0900000036</v>
      </c>
      <c r="M15" s="46"/>
      <c r="N15" s="46">
        <v>70066973.540000007</v>
      </c>
      <c r="O15" s="46">
        <v>20243639.510000002</v>
      </c>
      <c r="P15" s="46">
        <f t="shared" si="3"/>
        <v>-49823334.030000001</v>
      </c>
      <c r="Q15" s="46"/>
      <c r="R15" s="46">
        <v>23749850.219999999</v>
      </c>
      <c r="S15" s="46">
        <v>9744431.0800000001</v>
      </c>
      <c r="T15" s="46">
        <f t="shared" si="4"/>
        <v>-14005419.139999999</v>
      </c>
      <c r="U15" s="46"/>
      <c r="V15" s="46">
        <v>101941129.93000001</v>
      </c>
      <c r="W15" s="46">
        <v>61671618.289999999</v>
      </c>
      <c r="X15" s="46">
        <f t="shared" si="5"/>
        <v>-40269511.640000008</v>
      </c>
      <c r="Y15" s="46"/>
      <c r="Z15" s="46">
        <v>61464665.140000001</v>
      </c>
      <c r="AA15" s="46">
        <v>53919619.799999997</v>
      </c>
      <c r="AB15" s="46">
        <f t="shared" si="6"/>
        <v>-7545045.3400000036</v>
      </c>
      <c r="AC15" s="46"/>
      <c r="AD15" s="46">
        <v>19397813.170000002</v>
      </c>
      <c r="AE15" s="46">
        <v>22723303.550000001</v>
      </c>
      <c r="AF15" s="46">
        <f t="shared" si="7"/>
        <v>3325490.379999999</v>
      </c>
      <c r="AG15" s="46"/>
      <c r="AH15" s="46">
        <v>9656151.4900000002</v>
      </c>
      <c r="AI15" s="46">
        <v>9318871.9800000004</v>
      </c>
      <c r="AJ15" s="46">
        <f t="shared" si="8"/>
        <v>-337279.50999999978</v>
      </c>
      <c r="AK15" s="46"/>
      <c r="AL15" s="46">
        <v>33345190.260000002</v>
      </c>
      <c r="AM15" s="46">
        <v>33852936.799999997</v>
      </c>
      <c r="AN15" s="46">
        <f t="shared" si="9"/>
        <v>507746.53999999538</v>
      </c>
      <c r="AO15" s="46"/>
      <c r="AP15" s="47"/>
      <c r="AQ15" s="47"/>
      <c r="AR15" s="46">
        <f t="shared" si="10"/>
        <v>0</v>
      </c>
      <c r="AS15" s="46"/>
      <c r="AT15" s="46">
        <v>-88888.7</v>
      </c>
      <c r="AU15" s="46">
        <v>3494521.32</v>
      </c>
    </row>
    <row r="16" spans="1:47" x14ac:dyDescent="0.25">
      <c r="A16" s="34" t="s">
        <v>15</v>
      </c>
      <c r="B16" s="44">
        <v>3932014324.5299997</v>
      </c>
      <c r="C16" s="44">
        <v>3750212551.4400001</v>
      </c>
      <c r="D16" s="44">
        <f t="shared" si="0"/>
        <v>-181801773.08999968</v>
      </c>
      <c r="E16" s="44"/>
      <c r="F16" s="44">
        <v>2509949323.4200001</v>
      </c>
      <c r="G16" s="44">
        <v>2370824074.0999999</v>
      </c>
      <c r="H16" s="44">
        <f t="shared" si="1"/>
        <v>-139125249.32000017</v>
      </c>
      <c r="I16" s="44"/>
      <c r="J16" s="44">
        <v>468910495.83999997</v>
      </c>
      <c r="K16" s="44">
        <v>415409318.05000001</v>
      </c>
      <c r="L16" s="44">
        <f t="shared" si="2"/>
        <v>-53501177.789999962</v>
      </c>
      <c r="M16" s="44"/>
      <c r="N16" s="44">
        <v>614070877.19000006</v>
      </c>
      <c r="O16" s="44">
        <v>608616509.79999995</v>
      </c>
      <c r="P16" s="44">
        <f t="shared" si="3"/>
        <v>-5454367.3900001049</v>
      </c>
      <c r="Q16" s="44"/>
      <c r="R16" s="44">
        <v>288516396</v>
      </c>
      <c r="S16" s="44">
        <v>251442105.62</v>
      </c>
      <c r="T16" s="44">
        <f t="shared" si="4"/>
        <v>-37074290.379999995</v>
      </c>
      <c r="U16" s="44"/>
      <c r="V16" s="44">
        <v>154877765.09999999</v>
      </c>
      <c r="W16" s="44">
        <v>167876833.38</v>
      </c>
      <c r="X16" s="44">
        <f t="shared" si="5"/>
        <v>12999068.280000001</v>
      </c>
      <c r="Y16" s="44"/>
      <c r="Z16" s="44">
        <v>448107026.73000002</v>
      </c>
      <c r="AA16" s="44">
        <v>454968682.58999997</v>
      </c>
      <c r="AB16" s="44">
        <f t="shared" si="6"/>
        <v>6861655.8599999547</v>
      </c>
      <c r="AC16" s="44"/>
      <c r="AD16" s="44">
        <v>266286607.78999999</v>
      </c>
      <c r="AE16" s="44">
        <v>272133601.23000002</v>
      </c>
      <c r="AF16" s="44">
        <f t="shared" si="7"/>
        <v>5846993.4400000274</v>
      </c>
      <c r="AG16" s="44"/>
      <c r="AH16" s="44">
        <v>269180154.76999998</v>
      </c>
      <c r="AI16" s="44">
        <v>200377023.43000001</v>
      </c>
      <c r="AJ16" s="44">
        <f t="shared" si="8"/>
        <v>-68803131.339999974</v>
      </c>
      <c r="AK16" s="44"/>
      <c r="AL16" s="44">
        <v>605268917.77999997</v>
      </c>
      <c r="AM16" s="44">
        <v>661166379.46000004</v>
      </c>
      <c r="AN16" s="44">
        <f t="shared" si="9"/>
        <v>55897461.680000067</v>
      </c>
      <c r="AO16" s="44"/>
      <c r="AP16" s="44">
        <v>816607115.35000002</v>
      </c>
      <c r="AQ16" s="44">
        <v>704098442.55999994</v>
      </c>
      <c r="AR16" s="44">
        <f t="shared" si="10"/>
        <v>-112508672.79000008</v>
      </c>
      <c r="AS16" s="44"/>
      <c r="AT16" s="44">
        <v>188967.98</v>
      </c>
      <c r="AU16" s="44">
        <v>14123655.32</v>
      </c>
    </row>
    <row r="17" spans="1:47" x14ac:dyDescent="0.25">
      <c r="A17" s="36" t="s">
        <v>16</v>
      </c>
      <c r="B17" s="44">
        <v>2167665385.27</v>
      </c>
      <c r="C17" s="44">
        <v>2173569270.7600002</v>
      </c>
      <c r="D17" s="44">
        <f t="shared" si="0"/>
        <v>5903885.490000248</v>
      </c>
      <c r="E17" s="44"/>
      <c r="F17" s="44">
        <v>1491032085.5500002</v>
      </c>
      <c r="G17" s="44">
        <v>1471966568.3699999</v>
      </c>
      <c r="H17" s="44">
        <f t="shared" si="1"/>
        <v>-19065517.180000305</v>
      </c>
      <c r="I17" s="44"/>
      <c r="J17" s="44">
        <v>190222325.84</v>
      </c>
      <c r="K17" s="44">
        <v>174036485.96000001</v>
      </c>
      <c r="L17" s="44">
        <f t="shared" si="2"/>
        <v>-16185839.879999995</v>
      </c>
      <c r="M17" s="44"/>
      <c r="N17" s="44">
        <v>245870612.75</v>
      </c>
      <c r="O17" s="44">
        <v>278737602.48000002</v>
      </c>
      <c r="P17" s="44">
        <f t="shared" si="3"/>
        <v>32866989.730000019</v>
      </c>
      <c r="Q17" s="44"/>
      <c r="R17" s="44">
        <v>225407571.03999999</v>
      </c>
      <c r="S17" s="44">
        <v>196504691.11000001</v>
      </c>
      <c r="T17" s="44">
        <f t="shared" si="4"/>
        <v>-28902879.929999977</v>
      </c>
      <c r="U17" s="44"/>
      <c r="V17" s="44">
        <v>107744019.23999999</v>
      </c>
      <c r="W17" s="44">
        <v>122795582.73</v>
      </c>
      <c r="X17" s="44">
        <f t="shared" si="5"/>
        <v>15051563.49000001</v>
      </c>
      <c r="Y17" s="44"/>
      <c r="Z17" s="44">
        <v>343889254.27999997</v>
      </c>
      <c r="AA17" s="44">
        <v>371707401.5</v>
      </c>
      <c r="AB17" s="44">
        <f t="shared" si="6"/>
        <v>27818147.220000029</v>
      </c>
      <c r="AC17" s="44"/>
      <c r="AD17" s="44">
        <v>163653719.03999999</v>
      </c>
      <c r="AE17" s="44">
        <v>167729590.44999999</v>
      </c>
      <c r="AF17" s="44">
        <f t="shared" si="7"/>
        <v>4075871.4099999964</v>
      </c>
      <c r="AG17" s="44"/>
      <c r="AH17" s="44">
        <v>214244583.36000001</v>
      </c>
      <c r="AI17" s="44">
        <v>160455214.13999999</v>
      </c>
      <c r="AJ17" s="44">
        <f t="shared" si="8"/>
        <v>-53789369.220000029</v>
      </c>
      <c r="AK17" s="44"/>
      <c r="AL17" s="44">
        <v>601509413.60000002</v>
      </c>
      <c r="AM17" s="44">
        <v>635703213.89999998</v>
      </c>
      <c r="AN17" s="44">
        <f t="shared" si="9"/>
        <v>34193800.299999952</v>
      </c>
      <c r="AO17" s="44"/>
      <c r="AP17" s="44">
        <v>74972595.640000001</v>
      </c>
      <c r="AQ17" s="44">
        <v>52254527.869999997</v>
      </c>
      <c r="AR17" s="44">
        <f t="shared" si="10"/>
        <v>-22718067.770000003</v>
      </c>
      <c r="AS17" s="44"/>
      <c r="AT17" s="44">
        <v>151290.48000000001</v>
      </c>
      <c r="AU17" s="44">
        <v>13644960.619999999</v>
      </c>
    </row>
    <row r="18" spans="1:47" x14ac:dyDescent="0.25">
      <c r="A18" s="37" t="s">
        <v>17</v>
      </c>
      <c r="B18" s="46">
        <v>892345717.77999997</v>
      </c>
      <c r="C18" s="46">
        <v>839005006.27999997</v>
      </c>
      <c r="D18" s="46">
        <f t="shared" si="0"/>
        <v>-53340711.5</v>
      </c>
      <c r="E18" s="46"/>
      <c r="F18" s="46">
        <v>622433095.75</v>
      </c>
      <c r="G18" s="46">
        <v>604688456.91999996</v>
      </c>
      <c r="H18" s="46">
        <f t="shared" si="1"/>
        <v>-17744638.830000043</v>
      </c>
      <c r="I18" s="46"/>
      <c r="J18" s="46">
        <v>89641042.370000005</v>
      </c>
      <c r="K18" s="46">
        <v>85742430.109999999</v>
      </c>
      <c r="L18" s="46">
        <f t="shared" si="2"/>
        <v>-3898612.2600000054</v>
      </c>
      <c r="M18" s="46"/>
      <c r="N18" s="46">
        <v>104825389.58</v>
      </c>
      <c r="O18" s="46">
        <v>110865885.06999999</v>
      </c>
      <c r="P18" s="46">
        <f t="shared" si="3"/>
        <v>6040495.4899999946</v>
      </c>
      <c r="Q18" s="46"/>
      <c r="R18" s="46">
        <v>163792041.69999999</v>
      </c>
      <c r="S18" s="46">
        <v>139743437.75</v>
      </c>
      <c r="T18" s="46">
        <f t="shared" si="4"/>
        <v>-24048603.949999988</v>
      </c>
      <c r="U18" s="46"/>
      <c r="V18" s="46">
        <v>50830203.369999997</v>
      </c>
      <c r="W18" s="46">
        <v>57429816.159999996</v>
      </c>
      <c r="X18" s="46">
        <f t="shared" si="5"/>
        <v>6599612.7899999991</v>
      </c>
      <c r="Y18" s="46"/>
      <c r="Z18" s="46">
        <v>65772438.32</v>
      </c>
      <c r="AA18" s="46">
        <v>77544420.099999994</v>
      </c>
      <c r="AB18" s="46">
        <f t="shared" si="6"/>
        <v>11771981.779999994</v>
      </c>
      <c r="AC18" s="46"/>
      <c r="AD18" s="46">
        <v>77153831.209999993</v>
      </c>
      <c r="AE18" s="46">
        <v>71379171.900000006</v>
      </c>
      <c r="AF18" s="46">
        <f t="shared" si="7"/>
        <v>-5774659.3099999875</v>
      </c>
      <c r="AG18" s="46"/>
      <c r="AH18" s="46">
        <v>70418149.200000003</v>
      </c>
      <c r="AI18" s="46">
        <v>61983295.829999998</v>
      </c>
      <c r="AJ18" s="46">
        <f t="shared" si="8"/>
        <v>-8434853.3700000048</v>
      </c>
      <c r="AK18" s="46"/>
      <c r="AL18" s="46">
        <v>247258160.69999999</v>
      </c>
      <c r="AM18" s="46">
        <v>223502495.69999999</v>
      </c>
      <c r="AN18" s="46">
        <f t="shared" si="9"/>
        <v>-23755665</v>
      </c>
      <c r="AO18" s="46"/>
      <c r="AP18" s="46">
        <v>23335140.559999999</v>
      </c>
      <c r="AQ18" s="46">
        <v>11494732.890000001</v>
      </c>
      <c r="AR18" s="46">
        <f t="shared" si="10"/>
        <v>-11840407.669999998</v>
      </c>
      <c r="AS18" s="46"/>
      <c r="AT18" s="46">
        <v>-680679.23</v>
      </c>
      <c r="AU18" s="46">
        <v>-680679.23</v>
      </c>
    </row>
    <row r="19" spans="1:47" x14ac:dyDescent="0.25">
      <c r="A19" s="37" t="s">
        <v>18</v>
      </c>
      <c r="B19" s="46">
        <v>909446376.10000002</v>
      </c>
      <c r="C19" s="46">
        <v>826370767.25</v>
      </c>
      <c r="D19" s="46">
        <f t="shared" si="0"/>
        <v>-83075608.850000024</v>
      </c>
      <c r="E19" s="46"/>
      <c r="F19" s="46">
        <v>616987494.71000004</v>
      </c>
      <c r="G19" s="46">
        <v>520741119.25999999</v>
      </c>
      <c r="H19" s="46">
        <f t="shared" si="1"/>
        <v>-96246375.450000048</v>
      </c>
      <c r="I19" s="46"/>
      <c r="J19" s="46">
        <v>68536680.090000004</v>
      </c>
      <c r="K19" s="46">
        <v>50627362.340000004</v>
      </c>
      <c r="L19" s="46">
        <f t="shared" si="2"/>
        <v>-17909317.75</v>
      </c>
      <c r="M19" s="46"/>
      <c r="N19" s="46">
        <v>68226607.579999998</v>
      </c>
      <c r="O19" s="46">
        <v>56180136.030000001</v>
      </c>
      <c r="P19" s="46">
        <f t="shared" si="3"/>
        <v>-12046471.549999997</v>
      </c>
      <c r="Q19" s="46"/>
      <c r="R19" s="46">
        <v>44286450.380000003</v>
      </c>
      <c r="S19" s="46">
        <v>43643156.75</v>
      </c>
      <c r="T19" s="46">
        <f t="shared" si="4"/>
        <v>-643293.63000000268</v>
      </c>
      <c r="U19" s="46"/>
      <c r="V19" s="46">
        <v>33900969.719999999</v>
      </c>
      <c r="W19" s="46">
        <v>30916911.719999999</v>
      </c>
      <c r="X19" s="46">
        <f t="shared" si="5"/>
        <v>-2984058</v>
      </c>
      <c r="Y19" s="46"/>
      <c r="Z19" s="46">
        <v>216565060.99000001</v>
      </c>
      <c r="AA19" s="46">
        <v>201929819.46000001</v>
      </c>
      <c r="AB19" s="46">
        <f t="shared" si="6"/>
        <v>-14635241.530000001</v>
      </c>
      <c r="AC19" s="46"/>
      <c r="AD19" s="46">
        <v>58895900</v>
      </c>
      <c r="AE19" s="46">
        <v>55443154.469999999</v>
      </c>
      <c r="AF19" s="46">
        <f t="shared" si="7"/>
        <v>-3452745.5300000012</v>
      </c>
      <c r="AG19" s="46"/>
      <c r="AH19" s="46">
        <v>126575825.95</v>
      </c>
      <c r="AI19" s="46">
        <v>82000578.489999995</v>
      </c>
      <c r="AJ19" s="46">
        <f t="shared" si="8"/>
        <v>-44575247.460000008</v>
      </c>
      <c r="AK19" s="46"/>
      <c r="AL19" s="46">
        <v>246328656.59</v>
      </c>
      <c r="AM19" s="46">
        <v>257819224.59</v>
      </c>
      <c r="AN19" s="46">
        <f t="shared" si="9"/>
        <v>11490568</v>
      </c>
      <c r="AO19" s="46"/>
      <c r="AP19" s="46">
        <v>45482470.719999999</v>
      </c>
      <c r="AQ19" s="46">
        <v>37714840.350000001</v>
      </c>
      <c r="AR19" s="46">
        <f t="shared" si="10"/>
        <v>-7767630.3699999973</v>
      </c>
      <c r="AS19" s="46"/>
      <c r="AT19" s="46">
        <v>647754.07999999996</v>
      </c>
      <c r="AU19" s="46">
        <v>10095583.050000001</v>
      </c>
    </row>
    <row r="20" spans="1:47" x14ac:dyDescent="0.25">
      <c r="A20" s="37" t="s">
        <v>19</v>
      </c>
      <c r="B20" s="46">
        <v>365873291.38999999</v>
      </c>
      <c r="C20" s="46">
        <v>508193497.23000002</v>
      </c>
      <c r="D20" s="46">
        <f t="shared" si="0"/>
        <v>142320205.84000003</v>
      </c>
      <c r="E20" s="46"/>
      <c r="F20" s="46">
        <v>251611495.09</v>
      </c>
      <c r="G20" s="46">
        <v>346536992.19</v>
      </c>
      <c r="H20" s="46">
        <f t="shared" si="1"/>
        <v>94925497.099999994</v>
      </c>
      <c r="I20" s="46"/>
      <c r="J20" s="46">
        <v>32044603.379999999</v>
      </c>
      <c r="K20" s="46">
        <v>37666693.509999998</v>
      </c>
      <c r="L20" s="46">
        <f t="shared" si="2"/>
        <v>5622090.129999999</v>
      </c>
      <c r="M20" s="46"/>
      <c r="N20" s="46">
        <v>72818615.590000004</v>
      </c>
      <c r="O20" s="46">
        <v>111691581.38</v>
      </c>
      <c r="P20" s="46">
        <f t="shared" si="3"/>
        <v>38872965.789999992</v>
      </c>
      <c r="Q20" s="46"/>
      <c r="R20" s="46">
        <v>17329078.960000001</v>
      </c>
      <c r="S20" s="46">
        <v>13118096.609999999</v>
      </c>
      <c r="T20" s="46">
        <f t="shared" si="4"/>
        <v>-4210982.3500000015</v>
      </c>
      <c r="U20" s="46"/>
      <c r="V20" s="46">
        <v>23012846.149999999</v>
      </c>
      <c r="W20" s="46">
        <v>34448854.850000001</v>
      </c>
      <c r="X20" s="46">
        <f t="shared" si="5"/>
        <v>11436008.700000003</v>
      </c>
      <c r="Y20" s="46"/>
      <c r="Z20" s="46">
        <v>61551754.969999999</v>
      </c>
      <c r="AA20" s="46">
        <v>92233161.939999998</v>
      </c>
      <c r="AB20" s="46">
        <f t="shared" si="6"/>
        <v>30681406.969999999</v>
      </c>
      <c r="AC20" s="46"/>
      <c r="AD20" s="46">
        <v>27603987.829999998</v>
      </c>
      <c r="AE20" s="46">
        <v>40907264.079999998</v>
      </c>
      <c r="AF20" s="46">
        <f t="shared" si="7"/>
        <v>13303276.25</v>
      </c>
      <c r="AG20" s="46"/>
      <c r="AH20" s="46">
        <v>17250608.210000001</v>
      </c>
      <c r="AI20" s="46">
        <v>16471339.82</v>
      </c>
      <c r="AJ20" s="46">
        <f t="shared" si="8"/>
        <v>-779268.3900000006</v>
      </c>
      <c r="AK20" s="46"/>
      <c r="AL20" s="46">
        <v>107922596.31</v>
      </c>
      <c r="AM20" s="46">
        <v>154381493.61000001</v>
      </c>
      <c r="AN20" s="46">
        <f t="shared" si="9"/>
        <v>46458897.300000012</v>
      </c>
      <c r="AO20" s="46"/>
      <c r="AP20" s="46">
        <v>6154984.3600000003</v>
      </c>
      <c r="AQ20" s="46">
        <v>3044954.63</v>
      </c>
      <c r="AR20" s="46">
        <f t="shared" si="10"/>
        <v>-3110029.7300000004</v>
      </c>
      <c r="AS20" s="46"/>
      <c r="AT20" s="46">
        <v>184215.63</v>
      </c>
      <c r="AU20" s="46">
        <v>4230056.8</v>
      </c>
    </row>
    <row r="21" spans="1:47" x14ac:dyDescent="0.25">
      <c r="A21" s="36" t="s">
        <v>20</v>
      </c>
      <c r="B21" s="44">
        <v>1756925946.0300002</v>
      </c>
      <c r="C21" s="44">
        <v>1560607257.6300001</v>
      </c>
      <c r="D21" s="44">
        <f t="shared" si="0"/>
        <v>-196318688.4000001</v>
      </c>
      <c r="E21" s="44"/>
      <c r="F21" s="44">
        <v>1015380431.04</v>
      </c>
      <c r="G21" s="44">
        <v>883207502.79999995</v>
      </c>
      <c r="H21" s="44">
        <f t="shared" si="1"/>
        <v>-132172928.24000001</v>
      </c>
      <c r="I21" s="44"/>
      <c r="J21" s="44">
        <v>278688170</v>
      </c>
      <c r="K21" s="44">
        <v>241370246.09</v>
      </c>
      <c r="L21" s="44">
        <f t="shared" si="2"/>
        <v>-37317923.909999996</v>
      </c>
      <c r="M21" s="44"/>
      <c r="N21" s="44">
        <v>364992157.56999999</v>
      </c>
      <c r="O21" s="44">
        <v>315082325.29000002</v>
      </c>
      <c r="P21" s="44">
        <f t="shared" si="3"/>
        <v>-49909832.279999971</v>
      </c>
      <c r="Q21" s="44"/>
      <c r="R21" s="44">
        <v>63001032.960000001</v>
      </c>
      <c r="S21" s="44">
        <v>54930414.509999998</v>
      </c>
      <c r="T21" s="44">
        <f t="shared" si="4"/>
        <v>-8070618.450000003</v>
      </c>
      <c r="U21" s="44"/>
      <c r="V21" s="44">
        <v>47133745.859999999</v>
      </c>
      <c r="W21" s="44">
        <v>45081250.649999999</v>
      </c>
      <c r="X21" s="44">
        <f t="shared" si="5"/>
        <v>-2052495.2100000009</v>
      </c>
      <c r="Y21" s="44"/>
      <c r="Z21" s="44">
        <v>104166538.23999999</v>
      </c>
      <c r="AA21" s="44">
        <v>82947160.180000007</v>
      </c>
      <c r="AB21" s="44">
        <f t="shared" si="6"/>
        <v>-21219378.059999987</v>
      </c>
      <c r="AC21" s="44"/>
      <c r="AD21" s="44">
        <v>102463215</v>
      </c>
      <c r="AE21" s="44">
        <v>103932084.79000001</v>
      </c>
      <c r="AF21" s="44">
        <f t="shared" si="7"/>
        <v>1468869.7900000066</v>
      </c>
      <c r="AG21" s="44"/>
      <c r="AH21" s="44">
        <v>54935571.409999996</v>
      </c>
      <c r="AI21" s="44">
        <v>39864021.289999999</v>
      </c>
      <c r="AJ21" s="44">
        <f t="shared" si="8"/>
        <v>-15071550.119999997</v>
      </c>
      <c r="AK21" s="44"/>
      <c r="AL21" s="44">
        <v>3759504.18</v>
      </c>
      <c r="AM21" s="44">
        <v>25463165.559999999</v>
      </c>
      <c r="AN21" s="44">
        <f t="shared" si="9"/>
        <v>21703661.379999999</v>
      </c>
      <c r="AO21" s="44"/>
      <c r="AP21" s="44">
        <v>737748333.30999994</v>
      </c>
      <c r="AQ21" s="44">
        <v>651457894.57000005</v>
      </c>
      <c r="AR21" s="44">
        <f t="shared" si="10"/>
        <v>-86290438.73999989</v>
      </c>
      <c r="AS21" s="44"/>
      <c r="AT21" s="44">
        <v>37677.5</v>
      </c>
      <c r="AU21" s="44">
        <v>478694.7</v>
      </c>
    </row>
    <row r="22" spans="1:47" x14ac:dyDescent="0.25">
      <c r="A22" s="37" t="s">
        <v>21</v>
      </c>
      <c r="B22" s="46">
        <v>536576912.37</v>
      </c>
      <c r="C22" s="46">
        <v>370799052.63</v>
      </c>
      <c r="D22" s="46">
        <f t="shared" si="0"/>
        <v>-165777859.74000001</v>
      </c>
      <c r="E22" s="46"/>
      <c r="F22" s="46">
        <v>180496252.36000001</v>
      </c>
      <c r="G22" s="46">
        <v>112721231.51000001</v>
      </c>
      <c r="H22" s="46">
        <f t="shared" si="1"/>
        <v>-67775020.850000009</v>
      </c>
      <c r="I22" s="46"/>
      <c r="J22" s="46">
        <v>42059305.189999998</v>
      </c>
      <c r="K22" s="46">
        <v>24921939.59</v>
      </c>
      <c r="L22" s="46">
        <f t="shared" si="2"/>
        <v>-17137365.599999998</v>
      </c>
      <c r="M22" s="46"/>
      <c r="N22" s="46">
        <v>61694441.229999997</v>
      </c>
      <c r="O22" s="46">
        <v>46067867.469999999</v>
      </c>
      <c r="P22" s="46">
        <f t="shared" si="3"/>
        <v>-15626573.759999998</v>
      </c>
      <c r="Q22" s="46"/>
      <c r="R22" s="46">
        <v>12870646.939999999</v>
      </c>
      <c r="S22" s="46">
        <v>6808167.1399999997</v>
      </c>
      <c r="T22" s="46">
        <f t="shared" si="4"/>
        <v>-6062479.7999999998</v>
      </c>
      <c r="U22" s="46"/>
      <c r="V22" s="46">
        <v>8465522.8900000006</v>
      </c>
      <c r="W22" s="46">
        <v>6346547.2199999997</v>
      </c>
      <c r="X22" s="46">
        <f t="shared" si="5"/>
        <v>-2118975.6700000009</v>
      </c>
      <c r="Y22" s="46"/>
      <c r="Z22" s="46">
        <v>32999852.68</v>
      </c>
      <c r="AA22" s="46">
        <v>14961353.42</v>
      </c>
      <c r="AB22" s="46">
        <f t="shared" si="6"/>
        <v>-18038499.259999998</v>
      </c>
      <c r="AC22" s="46"/>
      <c r="AD22" s="46">
        <v>17273343.57</v>
      </c>
      <c r="AE22" s="46">
        <v>10713006.09</v>
      </c>
      <c r="AF22" s="46">
        <f t="shared" si="7"/>
        <v>-6560337.4800000004</v>
      </c>
      <c r="AG22" s="46"/>
      <c r="AH22" s="46">
        <v>5133139.8600000003</v>
      </c>
      <c r="AI22" s="46">
        <v>2902350.58</v>
      </c>
      <c r="AJ22" s="46">
        <f t="shared" si="8"/>
        <v>-2230789.2800000003</v>
      </c>
      <c r="AK22" s="46"/>
      <c r="AL22" s="46">
        <v>127343.46</v>
      </c>
      <c r="AM22" s="46">
        <v>1078695.1000000001</v>
      </c>
      <c r="AN22" s="46">
        <f t="shared" si="9"/>
        <v>951351.64000000013</v>
      </c>
      <c r="AO22" s="46"/>
      <c r="AP22" s="46">
        <v>355953316.55000001</v>
      </c>
      <c r="AQ22" s="46">
        <v>256992706.22999999</v>
      </c>
      <c r="AR22" s="46">
        <f t="shared" si="10"/>
        <v>-98960610.320000023</v>
      </c>
      <c r="AS22" s="46"/>
      <c r="AT22" s="47"/>
      <c r="AU22" s="46">
        <v>6419.79</v>
      </c>
    </row>
    <row r="23" spans="1:47" x14ac:dyDescent="0.25">
      <c r="A23" s="37" t="s">
        <v>22</v>
      </c>
      <c r="B23" s="46">
        <v>1056957309.55</v>
      </c>
      <c r="C23" s="46">
        <v>1011486999.65</v>
      </c>
      <c r="D23" s="46">
        <f t="shared" si="0"/>
        <v>-45470309.899999976</v>
      </c>
      <c r="E23" s="46"/>
      <c r="F23" s="46">
        <v>705459615.47000003</v>
      </c>
      <c r="G23" s="46">
        <v>642131087.64999998</v>
      </c>
      <c r="H23" s="46">
        <f t="shared" si="1"/>
        <v>-63328527.820000052</v>
      </c>
      <c r="I23" s="46"/>
      <c r="J23" s="46">
        <v>216516293.91999999</v>
      </c>
      <c r="K23" s="46">
        <v>195163187.93000001</v>
      </c>
      <c r="L23" s="46">
        <f t="shared" si="2"/>
        <v>-21353105.98999998</v>
      </c>
      <c r="M23" s="46"/>
      <c r="N23" s="46">
        <v>250777270.00999999</v>
      </c>
      <c r="O23" s="46">
        <v>215270632.56999999</v>
      </c>
      <c r="P23" s="46">
        <f t="shared" si="3"/>
        <v>-35506637.439999998</v>
      </c>
      <c r="Q23" s="46"/>
      <c r="R23" s="46">
        <v>43259272.340000004</v>
      </c>
      <c r="S23" s="46">
        <v>44377678.509999998</v>
      </c>
      <c r="T23" s="46">
        <f t="shared" si="4"/>
        <v>1118406.1699999943</v>
      </c>
      <c r="U23" s="46"/>
      <c r="V23" s="46">
        <v>29747962.489999998</v>
      </c>
      <c r="W23" s="46">
        <v>31434626.170000002</v>
      </c>
      <c r="X23" s="46">
        <f t="shared" si="5"/>
        <v>1686663.6800000034</v>
      </c>
      <c r="Y23" s="46"/>
      <c r="Z23" s="46">
        <v>57871848.789999999</v>
      </c>
      <c r="AA23" s="46">
        <v>58428073.359999999</v>
      </c>
      <c r="AB23" s="46">
        <f t="shared" si="6"/>
        <v>556224.5700000003</v>
      </c>
      <c r="AC23" s="46"/>
      <c r="AD23" s="46">
        <v>64405512.359999999</v>
      </c>
      <c r="AE23" s="46">
        <v>66252258.380000003</v>
      </c>
      <c r="AF23" s="46">
        <f t="shared" si="7"/>
        <v>1846746.0200000033</v>
      </c>
      <c r="AG23" s="46"/>
      <c r="AH23" s="46">
        <v>42881455.560000002</v>
      </c>
      <c r="AI23" s="46">
        <v>31204630.73</v>
      </c>
      <c r="AJ23" s="46">
        <f t="shared" si="8"/>
        <v>-11676824.830000002</v>
      </c>
      <c r="AK23" s="46"/>
      <c r="AL23" s="46">
        <v>1395141.35</v>
      </c>
      <c r="AM23" s="46">
        <v>7790787</v>
      </c>
      <c r="AN23" s="46">
        <f t="shared" si="9"/>
        <v>6395645.6500000004</v>
      </c>
      <c r="AO23" s="46"/>
      <c r="AP23" s="46">
        <v>350102552.73000002</v>
      </c>
      <c r="AQ23" s="46">
        <v>361302654.38</v>
      </c>
      <c r="AR23" s="46">
        <f t="shared" si="10"/>
        <v>11200101.649999976</v>
      </c>
      <c r="AS23" s="46"/>
      <c r="AT23" s="47"/>
      <c r="AU23" s="46">
        <v>262470.62</v>
      </c>
    </row>
    <row r="24" spans="1:47" x14ac:dyDescent="0.25">
      <c r="A24" s="37" t="s">
        <v>23</v>
      </c>
      <c r="B24" s="46">
        <v>163391724.11000001</v>
      </c>
      <c r="C24" s="46">
        <v>178321205.34999999</v>
      </c>
      <c r="D24" s="46">
        <f t="shared" si="0"/>
        <v>14929481.23999998</v>
      </c>
      <c r="E24" s="46"/>
      <c r="F24" s="46">
        <v>129424563.20999999</v>
      </c>
      <c r="G24" s="46">
        <v>128355183.64</v>
      </c>
      <c r="H24" s="46">
        <f t="shared" si="1"/>
        <v>-1069379.5699999928</v>
      </c>
      <c r="I24" s="46"/>
      <c r="J24" s="46">
        <v>20112570.890000001</v>
      </c>
      <c r="K24" s="46">
        <v>21285118.57</v>
      </c>
      <c r="L24" s="46">
        <f t="shared" si="2"/>
        <v>1172547.6799999997</v>
      </c>
      <c r="M24" s="46"/>
      <c r="N24" s="46">
        <v>52520446.329999998</v>
      </c>
      <c r="O24" s="46">
        <v>53743825.25</v>
      </c>
      <c r="P24" s="46">
        <f t="shared" si="3"/>
        <v>1223378.9200000018</v>
      </c>
      <c r="Q24" s="46"/>
      <c r="R24" s="46">
        <v>6871113.6799999997</v>
      </c>
      <c r="S24" s="46">
        <v>3744568.86</v>
      </c>
      <c r="T24" s="46">
        <f t="shared" si="4"/>
        <v>-3126544.82</v>
      </c>
      <c r="U24" s="46"/>
      <c r="V24" s="46">
        <v>8920260.4800000004</v>
      </c>
      <c r="W24" s="46">
        <v>7300077.2599999998</v>
      </c>
      <c r="X24" s="46">
        <f t="shared" si="5"/>
        <v>-1620183.2200000007</v>
      </c>
      <c r="Y24" s="46"/>
      <c r="Z24" s="46">
        <v>13294836.77</v>
      </c>
      <c r="AA24" s="46">
        <v>9557733.4000000004</v>
      </c>
      <c r="AB24" s="46">
        <f t="shared" si="6"/>
        <v>-3737103.3699999992</v>
      </c>
      <c r="AC24" s="46"/>
      <c r="AD24" s="46">
        <v>20784359.07</v>
      </c>
      <c r="AE24" s="46">
        <v>26966820.32</v>
      </c>
      <c r="AF24" s="46">
        <f t="shared" si="7"/>
        <v>6182461.25</v>
      </c>
      <c r="AG24" s="46"/>
      <c r="AH24" s="46">
        <v>6920975.9900000002</v>
      </c>
      <c r="AI24" s="46">
        <v>5757039.9800000004</v>
      </c>
      <c r="AJ24" s="46">
        <f t="shared" si="8"/>
        <v>-1163936.0099999998</v>
      </c>
      <c r="AK24" s="46"/>
      <c r="AL24" s="46">
        <v>2237019.37</v>
      </c>
      <c r="AM24" s="46">
        <v>16593683.460000001</v>
      </c>
      <c r="AN24" s="46">
        <f t="shared" si="9"/>
        <v>14356664.09</v>
      </c>
      <c r="AO24" s="46"/>
      <c r="AP24" s="46">
        <v>31692464.030000001</v>
      </c>
      <c r="AQ24" s="46">
        <v>33162533.960000001</v>
      </c>
      <c r="AR24" s="46">
        <f t="shared" si="10"/>
        <v>1470069.9299999997</v>
      </c>
      <c r="AS24" s="46"/>
      <c r="AT24" s="46">
        <v>37677.5</v>
      </c>
      <c r="AU24" s="46">
        <v>209804.29</v>
      </c>
    </row>
    <row r="25" spans="1:47" x14ac:dyDescent="0.25">
      <c r="A25" s="35" t="s">
        <v>24</v>
      </c>
      <c r="B25" s="46">
        <v>7422993.2300000004</v>
      </c>
      <c r="C25" s="46">
        <v>16036023.050000001</v>
      </c>
      <c r="D25" s="46">
        <f t="shared" si="0"/>
        <v>8613029.8200000003</v>
      </c>
      <c r="E25" s="46"/>
      <c r="F25" s="46">
        <v>3536806.83</v>
      </c>
      <c r="G25" s="46">
        <v>15650002.93</v>
      </c>
      <c r="H25" s="46">
        <f t="shared" si="1"/>
        <v>12113196.1</v>
      </c>
      <c r="I25" s="46"/>
      <c r="J25" s="47"/>
      <c r="K25" s="46">
        <v>2586</v>
      </c>
      <c r="L25" s="46">
        <f t="shared" si="2"/>
        <v>2586</v>
      </c>
      <c r="M25" s="46"/>
      <c r="N25" s="46">
        <v>3208106.87</v>
      </c>
      <c r="O25" s="46">
        <v>14796582.029999999</v>
      </c>
      <c r="P25" s="46">
        <f t="shared" si="3"/>
        <v>11588475.16</v>
      </c>
      <c r="Q25" s="46"/>
      <c r="R25" s="46">
        <v>107792</v>
      </c>
      <c r="S25" s="46">
        <v>7000</v>
      </c>
      <c r="T25" s="46">
        <f t="shared" si="4"/>
        <v>-100792</v>
      </c>
      <c r="U25" s="46"/>
      <c r="V25" s="47"/>
      <c r="W25" s="47"/>
      <c r="X25" s="46">
        <f t="shared" si="5"/>
        <v>0</v>
      </c>
      <c r="Y25" s="46"/>
      <c r="Z25" s="46">
        <v>51234.21</v>
      </c>
      <c r="AA25" s="46">
        <v>314120.90999999997</v>
      </c>
      <c r="AB25" s="46">
        <f t="shared" si="6"/>
        <v>262886.69999999995</v>
      </c>
      <c r="AC25" s="46"/>
      <c r="AD25" s="46">
        <v>169673.75</v>
      </c>
      <c r="AE25" s="46">
        <v>471925.99</v>
      </c>
      <c r="AF25" s="46">
        <f t="shared" si="7"/>
        <v>302252.24</v>
      </c>
      <c r="AG25" s="46"/>
      <c r="AH25" s="47"/>
      <c r="AI25" s="46">
        <v>57788</v>
      </c>
      <c r="AJ25" s="46">
        <f t="shared" si="8"/>
        <v>57788</v>
      </c>
      <c r="AK25" s="46"/>
      <c r="AL25" s="47"/>
      <c r="AM25" s="47"/>
      <c r="AN25" s="46">
        <f t="shared" si="9"/>
        <v>0</v>
      </c>
      <c r="AO25" s="46"/>
      <c r="AP25" s="46">
        <v>3886186.4</v>
      </c>
      <c r="AQ25" s="46">
        <v>386020.12</v>
      </c>
      <c r="AR25" s="46">
        <f t="shared" si="10"/>
        <v>-3500166.28</v>
      </c>
      <c r="AS25" s="46"/>
      <c r="AT25" s="46"/>
      <c r="AU25" s="47"/>
    </row>
    <row r="26" spans="1:47" x14ac:dyDescent="0.25">
      <c r="A26" s="34" t="s">
        <v>25</v>
      </c>
      <c r="B26" s="44">
        <v>2173561762.7600002</v>
      </c>
      <c r="C26" s="44">
        <v>1594880544.5599999</v>
      </c>
      <c r="D26" s="44">
        <f t="shared" si="0"/>
        <v>-578681218.20000029</v>
      </c>
      <c r="E26" s="44"/>
      <c r="F26" s="44">
        <v>1678212377.1699998</v>
      </c>
      <c r="G26" s="44">
        <v>1382134493.2</v>
      </c>
      <c r="H26" s="44">
        <f t="shared" si="1"/>
        <v>-296077883.96999979</v>
      </c>
      <c r="I26" s="44"/>
      <c r="J26" s="44">
        <v>181393825.91999999</v>
      </c>
      <c r="K26" s="44">
        <v>172033925.68000001</v>
      </c>
      <c r="L26" s="44">
        <f t="shared" si="2"/>
        <v>-9359900.2399999797</v>
      </c>
      <c r="M26" s="44"/>
      <c r="N26" s="44">
        <v>466787383.05000001</v>
      </c>
      <c r="O26" s="44">
        <v>371047513.38999999</v>
      </c>
      <c r="P26" s="44">
        <f t="shared" si="3"/>
        <v>-95739869.660000026</v>
      </c>
      <c r="Q26" s="44"/>
      <c r="R26" s="44">
        <v>77479041.209999993</v>
      </c>
      <c r="S26" s="44">
        <v>51984487.43</v>
      </c>
      <c r="T26" s="44">
        <f t="shared" si="4"/>
        <v>-25494553.779999994</v>
      </c>
      <c r="U26" s="44"/>
      <c r="V26" s="44">
        <v>328812571.94999999</v>
      </c>
      <c r="W26" s="44">
        <v>237668221.68000001</v>
      </c>
      <c r="X26" s="44">
        <f t="shared" si="5"/>
        <v>-91144350.269999981</v>
      </c>
      <c r="Y26" s="44"/>
      <c r="Z26" s="44">
        <v>401744445.05000001</v>
      </c>
      <c r="AA26" s="44">
        <v>361886533.92000002</v>
      </c>
      <c r="AB26" s="44">
        <f t="shared" si="6"/>
        <v>-39857911.129999995</v>
      </c>
      <c r="AC26" s="44"/>
      <c r="AD26" s="44">
        <v>193790192.22999999</v>
      </c>
      <c r="AE26" s="44">
        <v>171132170.75999999</v>
      </c>
      <c r="AF26" s="44">
        <f t="shared" si="7"/>
        <v>-22658021.469999999</v>
      </c>
      <c r="AG26" s="44"/>
      <c r="AH26" s="44">
        <v>28204917.760000002</v>
      </c>
      <c r="AI26" s="44">
        <v>16381640.34</v>
      </c>
      <c r="AJ26" s="44">
        <f t="shared" si="8"/>
        <v>-11823277.420000002</v>
      </c>
      <c r="AK26" s="44"/>
      <c r="AL26" s="44">
        <v>174177865.75</v>
      </c>
      <c r="AM26" s="44">
        <v>157536011.22999999</v>
      </c>
      <c r="AN26" s="44">
        <f t="shared" si="9"/>
        <v>-16641854.520000011</v>
      </c>
      <c r="AO26" s="44"/>
      <c r="AP26" s="45"/>
      <c r="AQ26" s="45"/>
      <c r="AR26" s="44">
        <f t="shared" si="10"/>
        <v>0</v>
      </c>
      <c r="AS26" s="44"/>
      <c r="AT26" s="44">
        <v>321171519.83999997</v>
      </c>
      <c r="AU26" s="44">
        <v>55210040.130000003</v>
      </c>
    </row>
    <row r="27" spans="1:47" x14ac:dyDescent="0.25">
      <c r="A27" s="35" t="s">
        <v>26</v>
      </c>
      <c r="B27" s="46">
        <v>106860687.56</v>
      </c>
      <c r="C27" s="46">
        <v>265727208.66</v>
      </c>
      <c r="D27" s="46">
        <f t="shared" si="0"/>
        <v>158866521.09999999</v>
      </c>
      <c r="E27" s="46"/>
      <c r="F27" s="46">
        <v>94375641.010000005</v>
      </c>
      <c r="G27" s="46">
        <v>200381702.84999999</v>
      </c>
      <c r="H27" s="46">
        <f t="shared" si="1"/>
        <v>106006061.83999999</v>
      </c>
      <c r="I27" s="46"/>
      <c r="J27" s="46">
        <v>7244881</v>
      </c>
      <c r="K27" s="46">
        <v>19297793.030000001</v>
      </c>
      <c r="L27" s="46">
        <f t="shared" si="2"/>
        <v>12052912.030000001</v>
      </c>
      <c r="M27" s="46"/>
      <c r="N27" s="46">
        <v>26699197</v>
      </c>
      <c r="O27" s="46">
        <v>17140211.379999999</v>
      </c>
      <c r="P27" s="46">
        <f t="shared" si="3"/>
        <v>-9558985.620000001</v>
      </c>
      <c r="Q27" s="46"/>
      <c r="R27" s="46">
        <v>3996129</v>
      </c>
      <c r="S27" s="46">
        <v>13014607.75</v>
      </c>
      <c r="T27" s="46">
        <f t="shared" si="4"/>
        <v>9018478.75</v>
      </c>
      <c r="U27" s="46"/>
      <c r="V27" s="46">
        <v>46605775</v>
      </c>
      <c r="W27" s="46">
        <v>80406236.079999998</v>
      </c>
      <c r="X27" s="46">
        <f t="shared" si="5"/>
        <v>33800461.079999998</v>
      </c>
      <c r="Y27" s="46"/>
      <c r="Z27" s="46">
        <v>6915466.0099999998</v>
      </c>
      <c r="AA27" s="46">
        <v>55180752.32</v>
      </c>
      <c r="AB27" s="46">
        <f t="shared" si="6"/>
        <v>48265286.310000002</v>
      </c>
      <c r="AC27" s="46"/>
      <c r="AD27" s="46">
        <v>2066304</v>
      </c>
      <c r="AE27" s="46">
        <v>10278310</v>
      </c>
      <c r="AF27" s="46">
        <f t="shared" si="7"/>
        <v>8212006</v>
      </c>
      <c r="AG27" s="46"/>
      <c r="AH27" s="46">
        <v>847889</v>
      </c>
      <c r="AI27" s="46">
        <v>5063792.29</v>
      </c>
      <c r="AJ27" s="46">
        <f t="shared" si="8"/>
        <v>4215903.29</v>
      </c>
      <c r="AK27" s="46"/>
      <c r="AL27" s="46">
        <v>3385261</v>
      </c>
      <c r="AM27" s="46">
        <v>38498086.640000001</v>
      </c>
      <c r="AN27" s="46">
        <f t="shared" si="9"/>
        <v>35112825.640000001</v>
      </c>
      <c r="AO27" s="46"/>
      <c r="AP27" s="47"/>
      <c r="AQ27" s="47"/>
      <c r="AR27" s="46">
        <f t="shared" si="10"/>
        <v>0</v>
      </c>
      <c r="AS27" s="46"/>
      <c r="AT27" s="46">
        <v>9099785.5500000007</v>
      </c>
      <c r="AU27" s="46">
        <v>26847419.170000002</v>
      </c>
    </row>
    <row r="28" spans="1:47" x14ac:dyDescent="0.25">
      <c r="A28" s="35" t="s">
        <v>27</v>
      </c>
      <c r="B28" s="46">
        <v>1060294729.6900001</v>
      </c>
      <c r="C28" s="46">
        <v>732432287.67999995</v>
      </c>
      <c r="D28" s="46">
        <f t="shared" si="0"/>
        <v>-327862442.01000011</v>
      </c>
      <c r="E28" s="46"/>
      <c r="F28" s="46">
        <v>802098427.10000002</v>
      </c>
      <c r="G28" s="46">
        <v>629191076.16999996</v>
      </c>
      <c r="H28" s="46">
        <f t="shared" si="1"/>
        <v>-172907350.93000007</v>
      </c>
      <c r="I28" s="46"/>
      <c r="J28" s="46">
        <v>24801391.199999999</v>
      </c>
      <c r="K28" s="46">
        <v>8485958.6899999995</v>
      </c>
      <c r="L28" s="46">
        <f t="shared" si="2"/>
        <v>-16315432.51</v>
      </c>
      <c r="M28" s="46"/>
      <c r="N28" s="46">
        <v>373269145.98000002</v>
      </c>
      <c r="O28" s="46">
        <v>320939519.97000003</v>
      </c>
      <c r="P28" s="46">
        <f t="shared" si="3"/>
        <v>-52329626.00999999</v>
      </c>
      <c r="Q28" s="46"/>
      <c r="R28" s="46">
        <v>36362528.450000003</v>
      </c>
      <c r="S28" s="46">
        <v>24380004.649999999</v>
      </c>
      <c r="T28" s="46">
        <f t="shared" si="4"/>
        <v>-11982523.800000004</v>
      </c>
      <c r="U28" s="46"/>
      <c r="V28" s="46">
        <v>62764842.109999999</v>
      </c>
      <c r="W28" s="46">
        <v>54093689.729999997</v>
      </c>
      <c r="X28" s="46">
        <f t="shared" si="5"/>
        <v>-8671152.3800000027</v>
      </c>
      <c r="Y28" s="46"/>
      <c r="Z28" s="46">
        <v>266860975.31999999</v>
      </c>
      <c r="AA28" s="46">
        <v>200735902.49000001</v>
      </c>
      <c r="AB28" s="46">
        <f t="shared" si="6"/>
        <v>-66125072.829999983</v>
      </c>
      <c r="AC28" s="46"/>
      <c r="AD28" s="46">
        <v>25335961.370000001</v>
      </c>
      <c r="AE28" s="46">
        <v>11475719.93</v>
      </c>
      <c r="AF28" s="46">
        <f t="shared" si="7"/>
        <v>-13860241.440000001</v>
      </c>
      <c r="AG28" s="46"/>
      <c r="AH28" s="46">
        <v>12703582.67</v>
      </c>
      <c r="AI28" s="46">
        <v>9080280.7100000009</v>
      </c>
      <c r="AJ28" s="46">
        <f t="shared" si="8"/>
        <v>-3623301.959999999</v>
      </c>
      <c r="AK28" s="46"/>
      <c r="AL28" s="46">
        <v>124826604.55</v>
      </c>
      <c r="AM28" s="46">
        <v>93457187.650000006</v>
      </c>
      <c r="AN28" s="46">
        <f t="shared" si="9"/>
        <v>-31369416.899999991</v>
      </c>
      <c r="AO28" s="46"/>
      <c r="AP28" s="47"/>
      <c r="AQ28" s="47"/>
      <c r="AR28" s="46">
        <f t="shared" si="10"/>
        <v>0</v>
      </c>
      <c r="AS28" s="46"/>
      <c r="AT28" s="46">
        <v>133369698.04000001</v>
      </c>
      <c r="AU28" s="46">
        <v>9784023.8599999994</v>
      </c>
    </row>
    <row r="29" spans="1:47" x14ac:dyDescent="0.25">
      <c r="A29" s="35" t="s">
        <v>28</v>
      </c>
      <c r="B29" s="46">
        <v>1006406345.51</v>
      </c>
      <c r="C29" s="46">
        <v>596721048.22000003</v>
      </c>
      <c r="D29" s="46">
        <f t="shared" si="0"/>
        <v>-409685297.28999996</v>
      </c>
      <c r="E29" s="46"/>
      <c r="F29" s="46">
        <v>781738309.05999994</v>
      </c>
      <c r="G29" s="46">
        <v>552561714.17999995</v>
      </c>
      <c r="H29" s="46">
        <f t="shared" si="1"/>
        <v>-229176594.88</v>
      </c>
      <c r="I29" s="46"/>
      <c r="J29" s="46">
        <v>149347553.72</v>
      </c>
      <c r="K29" s="46">
        <v>144250173.96000001</v>
      </c>
      <c r="L29" s="46">
        <f t="shared" si="2"/>
        <v>-5097379.7599999905</v>
      </c>
      <c r="M29" s="46"/>
      <c r="N29" s="46">
        <v>66819040.07</v>
      </c>
      <c r="O29" s="46">
        <v>32967782.039999999</v>
      </c>
      <c r="P29" s="46">
        <f t="shared" si="3"/>
        <v>-33851258.030000001</v>
      </c>
      <c r="Q29" s="46"/>
      <c r="R29" s="46">
        <v>37120383.759999998</v>
      </c>
      <c r="S29" s="46">
        <v>14589875.029999999</v>
      </c>
      <c r="T29" s="46">
        <f t="shared" si="4"/>
        <v>-22530508.729999997</v>
      </c>
      <c r="U29" s="46"/>
      <c r="V29" s="46">
        <v>219441954.84</v>
      </c>
      <c r="W29" s="46">
        <v>103168295.87</v>
      </c>
      <c r="X29" s="46">
        <f t="shared" si="5"/>
        <v>-116273658.97</v>
      </c>
      <c r="Y29" s="46"/>
      <c r="Z29" s="46">
        <v>127968003.72</v>
      </c>
      <c r="AA29" s="46">
        <v>105969879.11</v>
      </c>
      <c r="AB29" s="46">
        <f t="shared" si="6"/>
        <v>-21998124.609999999</v>
      </c>
      <c r="AC29" s="46"/>
      <c r="AD29" s="46">
        <v>166387926.86000001</v>
      </c>
      <c r="AE29" s="46">
        <v>149378140.83000001</v>
      </c>
      <c r="AF29" s="46">
        <f t="shared" si="7"/>
        <v>-17009786.030000001</v>
      </c>
      <c r="AG29" s="46"/>
      <c r="AH29" s="46">
        <v>14653446.09</v>
      </c>
      <c r="AI29" s="46">
        <v>2237567.34</v>
      </c>
      <c r="AJ29" s="46">
        <f t="shared" si="8"/>
        <v>-12415878.75</v>
      </c>
      <c r="AK29" s="46"/>
      <c r="AL29" s="46">
        <v>45966000.200000003</v>
      </c>
      <c r="AM29" s="46">
        <v>25580736.940000001</v>
      </c>
      <c r="AN29" s="46">
        <f t="shared" si="9"/>
        <v>-20385263.260000002</v>
      </c>
      <c r="AO29" s="46"/>
      <c r="AP29" s="47"/>
      <c r="AQ29" s="47"/>
      <c r="AR29" s="46">
        <f t="shared" si="10"/>
        <v>0</v>
      </c>
      <c r="AS29" s="46"/>
      <c r="AT29" s="46">
        <v>178702036.25</v>
      </c>
      <c r="AU29" s="46">
        <v>18578597.100000001</v>
      </c>
    </row>
    <row r="30" spans="1:47" x14ac:dyDescent="0.25">
      <c r="A30" s="34" t="s">
        <v>29</v>
      </c>
      <c r="B30" s="44">
        <v>1741681453.8399999</v>
      </c>
      <c r="C30" s="44">
        <v>1575874660.5599999</v>
      </c>
      <c r="D30" s="44">
        <f t="shared" si="0"/>
        <v>-165806793.27999997</v>
      </c>
      <c r="E30" s="44"/>
      <c r="F30" s="44">
        <v>1190815837.77</v>
      </c>
      <c r="G30" s="44">
        <v>1055321498.27</v>
      </c>
      <c r="H30" s="44">
        <f t="shared" si="1"/>
        <v>-135494339.5</v>
      </c>
      <c r="I30" s="44"/>
      <c r="J30" s="44">
        <v>176673655.28999999</v>
      </c>
      <c r="K30" s="44">
        <v>146075262.66999999</v>
      </c>
      <c r="L30" s="44">
        <f t="shared" si="2"/>
        <v>-30598392.620000005</v>
      </c>
      <c r="M30" s="44"/>
      <c r="N30" s="44">
        <v>196329545.74000001</v>
      </c>
      <c r="O30" s="44">
        <v>165327009.41</v>
      </c>
      <c r="P30" s="44">
        <f t="shared" si="3"/>
        <v>-31002536.330000013</v>
      </c>
      <c r="Q30" s="44"/>
      <c r="R30" s="44">
        <v>164413200.33000001</v>
      </c>
      <c r="S30" s="44">
        <v>129193469.45</v>
      </c>
      <c r="T30" s="44">
        <f t="shared" si="4"/>
        <v>-35219730.88000001</v>
      </c>
      <c r="U30" s="44"/>
      <c r="V30" s="44">
        <v>135101545.46000001</v>
      </c>
      <c r="W30" s="44">
        <v>118440898.09999999</v>
      </c>
      <c r="X30" s="44">
        <f t="shared" si="5"/>
        <v>-16660647.360000014</v>
      </c>
      <c r="Y30" s="44"/>
      <c r="Z30" s="44">
        <v>145694110.5</v>
      </c>
      <c r="AA30" s="44">
        <v>132385631.92</v>
      </c>
      <c r="AB30" s="44">
        <f t="shared" si="6"/>
        <v>-13308478.579999998</v>
      </c>
      <c r="AC30" s="44"/>
      <c r="AD30" s="44">
        <v>193255601.58000001</v>
      </c>
      <c r="AE30" s="44">
        <v>184041702.53999999</v>
      </c>
      <c r="AF30" s="44">
        <f t="shared" si="7"/>
        <v>-9213899.0400000215</v>
      </c>
      <c r="AG30" s="44"/>
      <c r="AH30" s="44">
        <v>179348178.87</v>
      </c>
      <c r="AI30" s="44">
        <v>179857524.18000001</v>
      </c>
      <c r="AJ30" s="44">
        <f t="shared" si="8"/>
        <v>509345.31000000238</v>
      </c>
      <c r="AK30" s="44"/>
      <c r="AL30" s="44">
        <v>530550234.74000001</v>
      </c>
      <c r="AM30" s="44">
        <v>492563515.31</v>
      </c>
      <c r="AN30" s="44">
        <f t="shared" si="9"/>
        <v>-37986719.430000007</v>
      </c>
      <c r="AO30" s="44"/>
      <c r="AP30" s="45"/>
      <c r="AQ30" s="45"/>
      <c r="AR30" s="44">
        <f t="shared" si="10"/>
        <v>0</v>
      </c>
      <c r="AS30" s="44"/>
      <c r="AT30" s="44">
        <v>20315381.329999998</v>
      </c>
      <c r="AU30" s="44">
        <v>27989646.98</v>
      </c>
    </row>
    <row r="31" spans="1:47" ht="22.5" x14ac:dyDescent="0.25">
      <c r="A31" s="35" t="s">
        <v>30</v>
      </c>
      <c r="B31" s="46">
        <v>1413819206.47</v>
      </c>
      <c r="C31" s="46">
        <v>1257603288.52</v>
      </c>
      <c r="D31" s="46">
        <f t="shared" si="0"/>
        <v>-156215917.95000005</v>
      </c>
      <c r="E31" s="46"/>
      <c r="F31" s="46">
        <v>1062667046.0599999</v>
      </c>
      <c r="G31" s="46">
        <v>936076605.79999995</v>
      </c>
      <c r="H31" s="46">
        <f t="shared" si="1"/>
        <v>-126590440.25999999</v>
      </c>
      <c r="I31" s="46"/>
      <c r="J31" s="46">
        <v>165004425.66</v>
      </c>
      <c r="K31" s="46">
        <v>138848713.71000001</v>
      </c>
      <c r="L31" s="46">
        <f t="shared" si="2"/>
        <v>-26155711.949999988</v>
      </c>
      <c r="M31" s="46"/>
      <c r="N31" s="46">
        <v>180783949.94</v>
      </c>
      <c r="O31" s="46">
        <v>149327889.16</v>
      </c>
      <c r="P31" s="46">
        <f t="shared" si="3"/>
        <v>-31456060.780000001</v>
      </c>
      <c r="Q31" s="46"/>
      <c r="R31" s="46">
        <v>158003127.44999999</v>
      </c>
      <c r="S31" s="46">
        <v>125241546.56999999</v>
      </c>
      <c r="T31" s="46">
        <f t="shared" si="4"/>
        <v>-32761580.879999995</v>
      </c>
      <c r="U31" s="46"/>
      <c r="V31" s="46">
        <v>122963844.84999999</v>
      </c>
      <c r="W31" s="46">
        <v>107367305.69</v>
      </c>
      <c r="X31" s="46">
        <f t="shared" si="5"/>
        <v>-15596539.159999996</v>
      </c>
      <c r="Y31" s="46"/>
      <c r="Z31" s="46">
        <v>123842187.81999999</v>
      </c>
      <c r="AA31" s="46">
        <v>116134652.48</v>
      </c>
      <c r="AB31" s="46">
        <f t="shared" si="6"/>
        <v>-7707535.3399999887</v>
      </c>
      <c r="AC31" s="46"/>
      <c r="AD31" s="46">
        <v>161323957.56999999</v>
      </c>
      <c r="AE31" s="46">
        <v>153621408</v>
      </c>
      <c r="AF31" s="46">
        <f t="shared" si="7"/>
        <v>-7702549.5699999928</v>
      </c>
      <c r="AG31" s="46"/>
      <c r="AH31" s="46">
        <v>150745552.77000001</v>
      </c>
      <c r="AI31" s="46">
        <v>145535090.19</v>
      </c>
      <c r="AJ31" s="46">
        <f t="shared" si="8"/>
        <v>-5210462.5800000131</v>
      </c>
      <c r="AK31" s="46"/>
      <c r="AL31" s="46">
        <v>351152160.41000003</v>
      </c>
      <c r="AM31" s="46">
        <v>321526682.72000003</v>
      </c>
      <c r="AN31" s="46">
        <f t="shared" si="9"/>
        <v>-29625477.689999998</v>
      </c>
      <c r="AO31" s="46"/>
      <c r="AP31" s="47"/>
      <c r="AQ31" s="47"/>
      <c r="AR31" s="46">
        <f t="shared" si="10"/>
        <v>0</v>
      </c>
      <c r="AS31" s="46"/>
      <c r="AT31" s="46"/>
      <c r="AU31" s="46"/>
    </row>
    <row r="32" spans="1:47" ht="22.5" x14ac:dyDescent="0.25">
      <c r="A32" s="35" t="s">
        <v>31</v>
      </c>
      <c r="B32" s="46">
        <v>306196866.04000002</v>
      </c>
      <c r="C32" s="46">
        <v>290233740.06</v>
      </c>
      <c r="D32" s="46">
        <f t="shared" si="0"/>
        <v>-15963125.980000019</v>
      </c>
      <c r="E32" s="46"/>
      <c r="F32" s="46">
        <v>126798791.70999999</v>
      </c>
      <c r="G32" s="46">
        <v>119225107.47</v>
      </c>
      <c r="H32" s="46">
        <f t="shared" si="1"/>
        <v>-7573684.2399999946</v>
      </c>
      <c r="I32" s="46"/>
      <c r="J32" s="46">
        <v>11669229.630000001</v>
      </c>
      <c r="K32" s="46">
        <v>7206763.96</v>
      </c>
      <c r="L32" s="46">
        <f t="shared" si="2"/>
        <v>-4462465.6700000009</v>
      </c>
      <c r="M32" s="46"/>
      <c r="N32" s="46">
        <v>15545595.800000001</v>
      </c>
      <c r="O32" s="46">
        <v>15999120.25</v>
      </c>
      <c r="P32" s="46">
        <f t="shared" si="3"/>
        <v>453524.44999999925</v>
      </c>
      <c r="Q32" s="46"/>
      <c r="R32" s="46">
        <v>6410072.8799999999</v>
      </c>
      <c r="S32" s="46">
        <v>3951922.88</v>
      </c>
      <c r="T32" s="46">
        <f t="shared" si="4"/>
        <v>-2458150</v>
      </c>
      <c r="U32" s="46"/>
      <c r="V32" s="46">
        <v>10787700.609999999</v>
      </c>
      <c r="W32" s="46">
        <v>11073592.41</v>
      </c>
      <c r="X32" s="46">
        <f t="shared" si="5"/>
        <v>285891.80000000075</v>
      </c>
      <c r="Y32" s="46"/>
      <c r="Z32" s="46">
        <v>21851922.68</v>
      </c>
      <c r="AA32" s="46">
        <v>16250979.439999999</v>
      </c>
      <c r="AB32" s="46">
        <f t="shared" si="6"/>
        <v>-5600943.2400000002</v>
      </c>
      <c r="AC32" s="46"/>
      <c r="AD32" s="46">
        <v>31931644.010000002</v>
      </c>
      <c r="AE32" s="46">
        <v>30420294.539999999</v>
      </c>
      <c r="AF32" s="46">
        <f t="shared" si="7"/>
        <v>-1511349.4700000025</v>
      </c>
      <c r="AG32" s="46"/>
      <c r="AH32" s="46">
        <v>28602626.100000001</v>
      </c>
      <c r="AI32" s="46">
        <v>34322433.990000002</v>
      </c>
      <c r="AJ32" s="46">
        <f t="shared" si="8"/>
        <v>5719807.8900000006</v>
      </c>
      <c r="AK32" s="46"/>
      <c r="AL32" s="46">
        <v>179398074.33000001</v>
      </c>
      <c r="AM32" s="46">
        <v>171008632.59</v>
      </c>
      <c r="AN32" s="46">
        <f t="shared" si="9"/>
        <v>-8389441.7400000095</v>
      </c>
      <c r="AO32" s="46"/>
      <c r="AP32" s="47"/>
      <c r="AQ32" s="47"/>
      <c r="AR32" s="46">
        <f t="shared" si="10"/>
        <v>0</v>
      </c>
      <c r="AS32" s="46"/>
      <c r="AT32" s="46"/>
      <c r="AU32" s="46"/>
    </row>
    <row r="33" spans="1:47" ht="22.5" x14ac:dyDescent="0.25">
      <c r="A33" s="35" t="s">
        <v>32</v>
      </c>
      <c r="B33" s="46">
        <v>21665381.329999998</v>
      </c>
      <c r="C33" s="46">
        <v>28037631.98</v>
      </c>
      <c r="D33" s="46">
        <f t="shared" si="0"/>
        <v>6372250.6500000022</v>
      </c>
      <c r="E33" s="46"/>
      <c r="F33" s="46">
        <v>1350000</v>
      </c>
      <c r="G33" s="46">
        <v>19785</v>
      </c>
      <c r="H33" s="46">
        <f t="shared" si="1"/>
        <v>-1330215</v>
      </c>
      <c r="I33" s="46"/>
      <c r="J33" s="47"/>
      <c r="K33" s="46">
        <v>19785</v>
      </c>
      <c r="L33" s="46">
        <f t="shared" si="2"/>
        <v>19785</v>
      </c>
      <c r="M33" s="46"/>
      <c r="N33" s="47"/>
      <c r="O33" s="47"/>
      <c r="P33" s="46">
        <f t="shared" si="3"/>
        <v>0</v>
      </c>
      <c r="Q33" s="46"/>
      <c r="R33" s="47"/>
      <c r="S33" s="47"/>
      <c r="T33" s="46">
        <f t="shared" si="4"/>
        <v>0</v>
      </c>
      <c r="U33" s="46"/>
      <c r="V33" s="46">
        <v>1350000</v>
      </c>
      <c r="W33" s="47"/>
      <c r="X33" s="46">
        <f t="shared" si="5"/>
        <v>-1350000</v>
      </c>
      <c r="Y33" s="46"/>
      <c r="Z33" s="47"/>
      <c r="AA33" s="47"/>
      <c r="AB33" s="46">
        <f t="shared" si="6"/>
        <v>0</v>
      </c>
      <c r="AC33" s="46"/>
      <c r="AD33" s="47"/>
      <c r="AE33" s="47"/>
      <c r="AF33" s="46">
        <f t="shared" si="7"/>
        <v>0</v>
      </c>
      <c r="AG33" s="46"/>
      <c r="AH33" s="47"/>
      <c r="AI33" s="47"/>
      <c r="AJ33" s="46">
        <f t="shared" si="8"/>
        <v>0</v>
      </c>
      <c r="AK33" s="46"/>
      <c r="AL33" s="46"/>
      <c r="AM33" s="46">
        <v>28200</v>
      </c>
      <c r="AN33" s="46">
        <f t="shared" si="9"/>
        <v>28200</v>
      </c>
      <c r="AO33" s="46"/>
      <c r="AP33" s="47"/>
      <c r="AQ33" s="47"/>
      <c r="AR33" s="46">
        <f t="shared" si="10"/>
        <v>0</v>
      </c>
      <c r="AS33" s="46"/>
      <c r="AT33" s="46">
        <v>20315381.329999998</v>
      </c>
      <c r="AU33" s="46">
        <v>27989646.98</v>
      </c>
    </row>
    <row r="34" spans="1:47" x14ac:dyDescent="0.25">
      <c r="A34" s="38" t="s">
        <v>33</v>
      </c>
      <c r="B34" s="46">
        <v>532495166.61000001</v>
      </c>
      <c r="C34" s="46">
        <v>617368104.95000005</v>
      </c>
      <c r="D34" s="46">
        <f t="shared" si="0"/>
        <v>84872938.340000033</v>
      </c>
      <c r="E34" s="46"/>
      <c r="F34" s="46">
        <v>509481428.25999999</v>
      </c>
      <c r="G34" s="46">
        <v>590897160.22000003</v>
      </c>
      <c r="H34" s="46">
        <f t="shared" si="1"/>
        <v>81415731.960000038</v>
      </c>
      <c r="I34" s="46"/>
      <c r="J34" s="46">
        <v>14545165.939999999</v>
      </c>
      <c r="K34" s="46">
        <v>14031239.26</v>
      </c>
      <c r="L34" s="46">
        <f t="shared" si="2"/>
        <v>-513926.6799999997</v>
      </c>
      <c r="M34" s="46"/>
      <c r="N34" s="46">
        <v>213527793.63999999</v>
      </c>
      <c r="O34" s="46">
        <v>249927392.94</v>
      </c>
      <c r="P34" s="46">
        <f t="shared" si="3"/>
        <v>36399599.300000012</v>
      </c>
      <c r="Q34" s="46"/>
      <c r="R34" s="46">
        <v>6220409.1900000004</v>
      </c>
      <c r="S34" s="46">
        <v>3746691.59</v>
      </c>
      <c r="T34" s="46">
        <f t="shared" si="4"/>
        <v>-2473717.6000000006</v>
      </c>
      <c r="U34" s="46"/>
      <c r="V34" s="46">
        <v>6371995.6100000003</v>
      </c>
      <c r="W34" s="46">
        <v>4932360.08</v>
      </c>
      <c r="X34" s="46">
        <f t="shared" si="5"/>
        <v>-1439635.5300000003</v>
      </c>
      <c r="Y34" s="46"/>
      <c r="Z34" s="46">
        <v>6423327.7599999998</v>
      </c>
      <c r="AA34" s="46">
        <v>6108144.1299999999</v>
      </c>
      <c r="AB34" s="46">
        <f t="shared" si="6"/>
        <v>-315183.62999999989</v>
      </c>
      <c r="AC34" s="46"/>
      <c r="AD34" s="46">
        <v>101764102.09</v>
      </c>
      <c r="AE34" s="46">
        <v>120399504.91</v>
      </c>
      <c r="AF34" s="46">
        <f t="shared" si="7"/>
        <v>18635402.819999993</v>
      </c>
      <c r="AG34" s="46"/>
      <c r="AH34" s="46">
        <v>160628634.03</v>
      </c>
      <c r="AI34" s="46">
        <v>191751827.31</v>
      </c>
      <c r="AJ34" s="46">
        <f t="shared" si="8"/>
        <v>31123193.280000001</v>
      </c>
      <c r="AK34" s="46"/>
      <c r="AL34" s="46">
        <v>19987868.75</v>
      </c>
      <c r="AM34" s="46">
        <v>25422331.469999999</v>
      </c>
      <c r="AN34" s="46">
        <f t="shared" si="9"/>
        <v>5434462.7199999988</v>
      </c>
      <c r="AO34" s="46"/>
      <c r="AP34" s="46">
        <v>382373.45</v>
      </c>
      <c r="AQ34" s="46">
        <v>856676.79</v>
      </c>
      <c r="AR34" s="46">
        <f t="shared" si="10"/>
        <v>474303.34</v>
      </c>
      <c r="AS34" s="46"/>
      <c r="AT34" s="46">
        <v>2643496.15</v>
      </c>
      <c r="AU34" s="46">
        <v>191936.47</v>
      </c>
    </row>
    <row r="35" spans="1:47" ht="22.5" x14ac:dyDescent="0.25">
      <c r="A35" s="38" t="s">
        <v>34</v>
      </c>
      <c r="B35" s="46">
        <v>124441008.98</v>
      </c>
      <c r="C35" s="46">
        <v>121055840.77</v>
      </c>
      <c r="D35" s="46">
        <f t="shared" si="0"/>
        <v>-3385168.2100000083</v>
      </c>
      <c r="E35" s="46"/>
      <c r="F35" s="46">
        <v>96549715.629999995</v>
      </c>
      <c r="G35" s="46">
        <v>91498723.189999998</v>
      </c>
      <c r="H35" s="46">
        <f t="shared" si="1"/>
        <v>-5050992.4399999976</v>
      </c>
      <c r="I35" s="46"/>
      <c r="J35" s="46">
        <v>19341176.449999999</v>
      </c>
      <c r="K35" s="46">
        <v>19419498.239999998</v>
      </c>
      <c r="L35" s="46">
        <f t="shared" si="2"/>
        <v>78321.789999999106</v>
      </c>
      <c r="M35" s="46"/>
      <c r="N35" s="46">
        <v>13810901.300000001</v>
      </c>
      <c r="O35" s="46">
        <v>11369703.08</v>
      </c>
      <c r="P35" s="46">
        <f t="shared" si="3"/>
        <v>-2441198.2200000007</v>
      </c>
      <c r="Q35" s="46"/>
      <c r="R35" s="46">
        <v>13995286.49</v>
      </c>
      <c r="S35" s="46">
        <v>14540817.699999999</v>
      </c>
      <c r="T35" s="46">
        <f t="shared" si="4"/>
        <v>545531.20999999903</v>
      </c>
      <c r="U35" s="46"/>
      <c r="V35" s="46">
        <v>4666489.2300000004</v>
      </c>
      <c r="W35" s="46">
        <v>4703923.08</v>
      </c>
      <c r="X35" s="46">
        <f t="shared" si="5"/>
        <v>37433.849999999627</v>
      </c>
      <c r="Y35" s="46"/>
      <c r="Z35" s="46">
        <v>12653985.5</v>
      </c>
      <c r="AA35" s="46">
        <v>10974084.380000001</v>
      </c>
      <c r="AB35" s="46">
        <f t="shared" si="6"/>
        <v>-1679901.1199999992</v>
      </c>
      <c r="AC35" s="46"/>
      <c r="AD35" s="46">
        <v>19234411.629999999</v>
      </c>
      <c r="AE35" s="46">
        <v>17922278.760000002</v>
      </c>
      <c r="AF35" s="46">
        <f t="shared" si="7"/>
        <v>-1312132.8699999973</v>
      </c>
      <c r="AG35" s="46"/>
      <c r="AH35" s="46">
        <v>12847465.029999999</v>
      </c>
      <c r="AI35" s="46">
        <v>12568417.949999999</v>
      </c>
      <c r="AJ35" s="46">
        <f t="shared" si="8"/>
        <v>-279047.08000000007</v>
      </c>
      <c r="AK35" s="46"/>
      <c r="AL35" s="46">
        <v>27891293.350000001</v>
      </c>
      <c r="AM35" s="46">
        <v>29557117.579999998</v>
      </c>
      <c r="AN35" s="46">
        <f t="shared" si="9"/>
        <v>1665824.2299999967</v>
      </c>
      <c r="AO35" s="46"/>
      <c r="AP35" s="47"/>
      <c r="AQ35" s="47"/>
      <c r="AR35" s="46">
        <f t="shared" si="10"/>
        <v>0</v>
      </c>
      <c r="AS35" s="46"/>
      <c r="AT35" s="47"/>
      <c r="AU35" s="47"/>
    </row>
    <row r="36" spans="1:47" x14ac:dyDescent="0.25">
      <c r="A36" s="34" t="s">
        <v>35</v>
      </c>
      <c r="B36" s="44">
        <v>98107104.659999996</v>
      </c>
      <c r="C36" s="44">
        <v>57783980.289999999</v>
      </c>
      <c r="D36" s="44">
        <f t="shared" si="0"/>
        <v>-40323124.369999997</v>
      </c>
      <c r="E36" s="44"/>
      <c r="F36" s="44">
        <v>67264858.739999995</v>
      </c>
      <c r="G36" s="44">
        <v>21380229.210000001</v>
      </c>
      <c r="H36" s="44">
        <f t="shared" si="1"/>
        <v>-45884629.529999994</v>
      </c>
      <c r="I36" s="44"/>
      <c r="J36" s="45"/>
      <c r="K36" s="45"/>
      <c r="L36" s="44">
        <f t="shared" si="2"/>
        <v>0</v>
      </c>
      <c r="M36" s="44"/>
      <c r="N36" s="44">
        <v>58659888.740000002</v>
      </c>
      <c r="O36" s="44">
        <v>17954729.210000001</v>
      </c>
      <c r="P36" s="44">
        <f t="shared" si="3"/>
        <v>-40705159.530000001</v>
      </c>
      <c r="Q36" s="44"/>
      <c r="R36" s="44">
        <v>6189970</v>
      </c>
      <c r="S36" s="44">
        <v>3210500</v>
      </c>
      <c r="T36" s="44">
        <f t="shared" si="4"/>
        <v>-2979470</v>
      </c>
      <c r="U36" s="44"/>
      <c r="V36" s="45"/>
      <c r="W36" s="45"/>
      <c r="X36" s="44">
        <f t="shared" si="5"/>
        <v>0</v>
      </c>
      <c r="Y36" s="44"/>
      <c r="Z36" s="45"/>
      <c r="AA36" s="45"/>
      <c r="AB36" s="44">
        <f t="shared" si="6"/>
        <v>0</v>
      </c>
      <c r="AC36" s="44"/>
      <c r="AD36" s="44">
        <v>260000</v>
      </c>
      <c r="AE36" s="44">
        <v>150000</v>
      </c>
      <c r="AF36" s="44">
        <f t="shared" si="7"/>
        <v>-110000</v>
      </c>
      <c r="AG36" s="44"/>
      <c r="AH36" s="44">
        <v>2155000</v>
      </c>
      <c r="AI36" s="44">
        <v>65000</v>
      </c>
      <c r="AJ36" s="44">
        <f t="shared" si="8"/>
        <v>-2090000</v>
      </c>
      <c r="AK36" s="44"/>
      <c r="AL36" s="45"/>
      <c r="AM36" s="44"/>
      <c r="AN36" s="44">
        <f t="shared" si="9"/>
        <v>0</v>
      </c>
      <c r="AO36" s="44"/>
      <c r="AP36" s="45"/>
      <c r="AQ36" s="45"/>
      <c r="AR36" s="44">
        <f t="shared" si="10"/>
        <v>0</v>
      </c>
      <c r="AS36" s="44"/>
      <c r="AT36" s="44">
        <v>30842245.920000002</v>
      </c>
      <c r="AU36" s="44">
        <v>36403751.079999998</v>
      </c>
    </row>
    <row r="37" spans="1:47" x14ac:dyDescent="0.25">
      <c r="A37" s="35" t="s">
        <v>36</v>
      </c>
      <c r="B37" s="46">
        <v>87758103.659999996</v>
      </c>
      <c r="C37" s="46">
        <v>16002954.67</v>
      </c>
      <c r="D37" s="46">
        <f t="shared" si="0"/>
        <v>-71755148.989999995</v>
      </c>
      <c r="E37" s="46"/>
      <c r="F37" s="46">
        <v>57815857.740000002</v>
      </c>
      <c r="G37" s="46">
        <v>8782851.2200000007</v>
      </c>
      <c r="H37" s="46">
        <f t="shared" si="1"/>
        <v>-49033006.520000003</v>
      </c>
      <c r="I37" s="46"/>
      <c r="J37" s="47"/>
      <c r="K37" s="47"/>
      <c r="L37" s="46">
        <f t="shared" si="2"/>
        <v>0</v>
      </c>
      <c r="M37" s="46"/>
      <c r="N37" s="46">
        <v>49210887.740000002</v>
      </c>
      <c r="O37" s="46">
        <v>7531881.2199999997</v>
      </c>
      <c r="P37" s="46">
        <f t="shared" si="3"/>
        <v>-41679006.520000003</v>
      </c>
      <c r="Q37" s="46"/>
      <c r="R37" s="46">
        <v>6189970</v>
      </c>
      <c r="S37" s="46">
        <v>1185970</v>
      </c>
      <c r="T37" s="46">
        <f t="shared" si="4"/>
        <v>-5004000</v>
      </c>
      <c r="U37" s="46"/>
      <c r="V37" s="47"/>
      <c r="W37" s="47"/>
      <c r="X37" s="46">
        <f t="shared" si="5"/>
        <v>0</v>
      </c>
      <c r="Y37" s="46"/>
      <c r="Z37" s="47"/>
      <c r="AA37" s="47"/>
      <c r="AB37" s="46">
        <f t="shared" si="6"/>
        <v>0</v>
      </c>
      <c r="AC37" s="46"/>
      <c r="AD37" s="46">
        <v>260000</v>
      </c>
      <c r="AE37" s="47"/>
      <c r="AF37" s="46">
        <f t="shared" si="7"/>
        <v>-260000</v>
      </c>
      <c r="AG37" s="46"/>
      <c r="AH37" s="46">
        <v>2155000</v>
      </c>
      <c r="AI37" s="46">
        <v>65000</v>
      </c>
      <c r="AJ37" s="46">
        <f t="shared" si="8"/>
        <v>-2090000</v>
      </c>
      <c r="AK37" s="46"/>
      <c r="AL37" s="47"/>
      <c r="AM37" s="47"/>
      <c r="AN37" s="46">
        <f t="shared" si="9"/>
        <v>0</v>
      </c>
      <c r="AO37" s="46"/>
      <c r="AP37" s="47"/>
      <c r="AQ37" s="47"/>
      <c r="AR37" s="46">
        <f t="shared" si="10"/>
        <v>0</v>
      </c>
      <c r="AS37" s="46"/>
      <c r="AT37" s="46">
        <v>29942245.920000002</v>
      </c>
      <c r="AU37" s="46">
        <v>7220103.4500000002</v>
      </c>
    </row>
    <row r="38" spans="1:47" x14ac:dyDescent="0.25">
      <c r="A38" s="35" t="s">
        <v>37</v>
      </c>
      <c r="B38" s="47"/>
      <c r="C38" s="46">
        <v>24032853.949999999</v>
      </c>
      <c r="D38" s="46">
        <f t="shared" si="0"/>
        <v>24032853.949999999</v>
      </c>
      <c r="E38" s="46"/>
      <c r="F38" s="47"/>
      <c r="G38" s="46">
        <v>6490464.6200000001</v>
      </c>
      <c r="H38" s="46">
        <f t="shared" si="1"/>
        <v>6490464.6200000001</v>
      </c>
      <c r="I38" s="46"/>
      <c r="J38" s="47"/>
      <c r="K38" s="47"/>
      <c r="L38" s="46">
        <f t="shared" si="2"/>
        <v>0</v>
      </c>
      <c r="M38" s="46"/>
      <c r="N38" s="47"/>
      <c r="O38" s="46">
        <v>5417904.6200000001</v>
      </c>
      <c r="P38" s="46">
        <f t="shared" si="3"/>
        <v>5417904.6200000001</v>
      </c>
      <c r="Q38" s="46"/>
      <c r="R38" s="47"/>
      <c r="S38" s="46">
        <v>922560</v>
      </c>
      <c r="T38" s="46">
        <f t="shared" si="4"/>
        <v>922560</v>
      </c>
      <c r="U38" s="46"/>
      <c r="V38" s="47"/>
      <c r="W38" s="47"/>
      <c r="X38" s="46">
        <f t="shared" si="5"/>
        <v>0</v>
      </c>
      <c r="Y38" s="46"/>
      <c r="Z38" s="47"/>
      <c r="AA38" s="47"/>
      <c r="AB38" s="46">
        <f t="shared" si="6"/>
        <v>0</v>
      </c>
      <c r="AC38" s="46"/>
      <c r="AD38" s="47"/>
      <c r="AE38" s="46">
        <v>150000</v>
      </c>
      <c r="AF38" s="46">
        <f t="shared" si="7"/>
        <v>150000</v>
      </c>
      <c r="AG38" s="46"/>
      <c r="AH38" s="47"/>
      <c r="AI38" s="47"/>
      <c r="AJ38" s="46">
        <f t="shared" si="8"/>
        <v>0</v>
      </c>
      <c r="AK38" s="46"/>
      <c r="AL38" s="47"/>
      <c r="AM38" s="46"/>
      <c r="AN38" s="46">
        <f t="shared" si="9"/>
        <v>0</v>
      </c>
      <c r="AO38" s="46"/>
      <c r="AP38" s="47"/>
      <c r="AQ38" s="47"/>
      <c r="AR38" s="46">
        <f t="shared" si="10"/>
        <v>0</v>
      </c>
      <c r="AS38" s="46"/>
      <c r="AT38" s="47"/>
      <c r="AU38" s="46">
        <v>17542389.329999998</v>
      </c>
    </row>
    <row r="39" spans="1:47" x14ac:dyDescent="0.25">
      <c r="A39" s="35" t="s">
        <v>38</v>
      </c>
      <c r="B39" s="46">
        <v>10349001</v>
      </c>
      <c r="C39" s="46">
        <v>17748171.670000002</v>
      </c>
      <c r="D39" s="46">
        <f t="shared" si="0"/>
        <v>7399170.6700000018</v>
      </c>
      <c r="E39" s="46"/>
      <c r="F39" s="46">
        <v>9449001</v>
      </c>
      <c r="G39" s="46">
        <v>6106913.3700000001</v>
      </c>
      <c r="H39" s="46">
        <f t="shared" si="1"/>
        <v>-3342087.63</v>
      </c>
      <c r="I39" s="46"/>
      <c r="J39" s="47"/>
      <c r="K39" s="47"/>
      <c r="L39" s="46">
        <f t="shared" si="2"/>
        <v>0</v>
      </c>
      <c r="M39" s="46"/>
      <c r="N39" s="46">
        <v>9449001</v>
      </c>
      <c r="O39" s="46">
        <v>5004943.37</v>
      </c>
      <c r="P39" s="46">
        <f t="shared" si="3"/>
        <v>-4444057.63</v>
      </c>
      <c r="Q39" s="46"/>
      <c r="R39" s="47"/>
      <c r="S39" s="46">
        <v>1101970</v>
      </c>
      <c r="T39" s="46">
        <f t="shared" si="4"/>
        <v>1101970</v>
      </c>
      <c r="U39" s="46"/>
      <c r="V39" s="47"/>
      <c r="W39" s="47"/>
      <c r="X39" s="46">
        <f t="shared" si="5"/>
        <v>0</v>
      </c>
      <c r="Y39" s="46"/>
      <c r="Z39" s="47"/>
      <c r="AA39" s="47"/>
      <c r="AB39" s="46">
        <f t="shared" si="6"/>
        <v>0</v>
      </c>
      <c r="AC39" s="46"/>
      <c r="AD39" s="47"/>
      <c r="AE39" s="47"/>
      <c r="AF39" s="46">
        <f t="shared" si="7"/>
        <v>0</v>
      </c>
      <c r="AG39" s="46"/>
      <c r="AH39" s="47"/>
      <c r="AI39" s="47"/>
      <c r="AJ39" s="46">
        <f t="shared" si="8"/>
        <v>0</v>
      </c>
      <c r="AK39" s="46"/>
      <c r="AL39" s="47"/>
      <c r="AM39" s="47"/>
      <c r="AN39" s="46">
        <f t="shared" si="9"/>
        <v>0</v>
      </c>
      <c r="AO39" s="46"/>
      <c r="AP39" s="47"/>
      <c r="AQ39" s="47"/>
      <c r="AR39" s="46">
        <f t="shared" si="10"/>
        <v>0</v>
      </c>
      <c r="AS39" s="46"/>
      <c r="AT39" s="46">
        <v>900000</v>
      </c>
      <c r="AU39" s="46">
        <v>11641258.300000001</v>
      </c>
    </row>
    <row r="40" spans="1:47" x14ac:dyDescent="0.25">
      <c r="A40" s="33" t="s">
        <v>39</v>
      </c>
      <c r="B40" s="44">
        <v>132937168.31999999</v>
      </c>
      <c r="C40" s="44">
        <v>132703644.44</v>
      </c>
      <c r="D40" s="44">
        <f t="shared" si="0"/>
        <v>-233523.87999999523</v>
      </c>
      <c r="E40" s="44"/>
      <c r="F40" s="44">
        <v>33486876.57</v>
      </c>
      <c r="G40" s="44">
        <v>34464351.039999999</v>
      </c>
      <c r="H40" s="44">
        <f t="shared" si="1"/>
        <v>977474.46999999881</v>
      </c>
      <c r="I40" s="44"/>
      <c r="J40" s="44">
        <v>6500</v>
      </c>
      <c r="K40" s="44">
        <v>57805</v>
      </c>
      <c r="L40" s="44">
        <f t="shared" si="2"/>
        <v>51305</v>
      </c>
      <c r="M40" s="44"/>
      <c r="N40" s="44">
        <v>33471319.239999998</v>
      </c>
      <c r="O40" s="44">
        <v>33548641.129999999</v>
      </c>
      <c r="P40" s="44">
        <f t="shared" si="3"/>
        <v>77321.890000000596</v>
      </c>
      <c r="Q40" s="44"/>
      <c r="R40" s="44">
        <v>5657.33</v>
      </c>
      <c r="S40" s="44">
        <v>29360.89</v>
      </c>
      <c r="T40" s="44">
        <f t="shared" si="4"/>
        <v>23703.559999999998</v>
      </c>
      <c r="U40" s="44"/>
      <c r="V40" s="45"/>
      <c r="W40" s="44">
        <v>17361.02</v>
      </c>
      <c r="X40" s="44">
        <f t="shared" si="5"/>
        <v>17361.02</v>
      </c>
      <c r="Y40" s="44"/>
      <c r="Z40" s="44">
        <v>3400</v>
      </c>
      <c r="AA40" s="44">
        <v>40840</v>
      </c>
      <c r="AB40" s="44">
        <f t="shared" si="6"/>
        <v>37440</v>
      </c>
      <c r="AC40" s="44"/>
      <c r="AD40" s="45"/>
      <c r="AE40" s="44"/>
      <c r="AF40" s="44">
        <f t="shared" si="7"/>
        <v>0</v>
      </c>
      <c r="AG40" s="44"/>
      <c r="AH40" s="45"/>
      <c r="AI40" s="44">
        <v>770343</v>
      </c>
      <c r="AJ40" s="44">
        <f t="shared" si="8"/>
        <v>770343</v>
      </c>
      <c r="AK40" s="44"/>
      <c r="AL40" s="44">
        <v>97809464.450000003</v>
      </c>
      <c r="AM40" s="44">
        <v>96010734.689999998</v>
      </c>
      <c r="AN40" s="44">
        <f t="shared" si="9"/>
        <v>-1798729.7600000054</v>
      </c>
      <c r="AO40" s="44"/>
      <c r="AP40" s="44">
        <v>177144</v>
      </c>
      <c r="AQ40" s="44">
        <v>122112</v>
      </c>
      <c r="AR40" s="44">
        <f t="shared" si="10"/>
        <v>-55032</v>
      </c>
      <c r="AS40" s="44"/>
      <c r="AT40" s="44">
        <v>-0.03</v>
      </c>
      <c r="AU40" s="44">
        <v>551096.74</v>
      </c>
    </row>
    <row r="41" spans="1:47" x14ac:dyDescent="0.25">
      <c r="A41" s="38" t="s">
        <v>40</v>
      </c>
      <c r="B41" s="46">
        <v>92450543.349999994</v>
      </c>
      <c r="C41" s="46">
        <v>92276271.469999999</v>
      </c>
      <c r="D41" s="46">
        <f t="shared" si="0"/>
        <v>-174271.87999999523</v>
      </c>
      <c r="E41" s="46"/>
      <c r="F41" s="47"/>
      <c r="G41" s="47"/>
      <c r="H41" s="46">
        <f t="shared" si="1"/>
        <v>0</v>
      </c>
      <c r="I41" s="46"/>
      <c r="J41" s="47"/>
      <c r="K41" s="47"/>
      <c r="L41" s="46">
        <f t="shared" si="2"/>
        <v>0</v>
      </c>
      <c r="M41" s="46"/>
      <c r="N41" s="47"/>
      <c r="O41" s="47"/>
      <c r="P41" s="46">
        <f t="shared" si="3"/>
        <v>0</v>
      </c>
      <c r="Q41" s="46"/>
      <c r="R41" s="47"/>
      <c r="S41" s="47"/>
      <c r="T41" s="46">
        <f t="shared" si="4"/>
        <v>0</v>
      </c>
      <c r="U41" s="46"/>
      <c r="V41" s="47"/>
      <c r="W41" s="47"/>
      <c r="X41" s="46">
        <f t="shared" si="5"/>
        <v>0</v>
      </c>
      <c r="Y41" s="46"/>
      <c r="Z41" s="47"/>
      <c r="AA41" s="47"/>
      <c r="AB41" s="46">
        <f t="shared" si="6"/>
        <v>0</v>
      </c>
      <c r="AC41" s="46"/>
      <c r="AD41" s="47"/>
      <c r="AE41" s="47"/>
      <c r="AF41" s="46">
        <f t="shared" si="7"/>
        <v>0</v>
      </c>
      <c r="AG41" s="46"/>
      <c r="AH41" s="47"/>
      <c r="AI41" s="47"/>
      <c r="AJ41" s="46">
        <f t="shared" si="8"/>
        <v>0</v>
      </c>
      <c r="AK41" s="46"/>
      <c r="AL41" s="46">
        <v>92450543.379999995</v>
      </c>
      <c r="AM41" s="46">
        <v>92276271.5</v>
      </c>
      <c r="AN41" s="46">
        <f t="shared" si="9"/>
        <v>-174271.87999999523</v>
      </c>
      <c r="AO41" s="46"/>
      <c r="AP41" s="47"/>
      <c r="AQ41" s="47"/>
      <c r="AR41" s="46">
        <f t="shared" si="10"/>
        <v>0</v>
      </c>
      <c r="AS41" s="46"/>
      <c r="AT41" s="46">
        <v>-0.03</v>
      </c>
      <c r="AU41" s="46">
        <v>-0.03</v>
      </c>
    </row>
    <row r="42" spans="1:47" ht="22.5" x14ac:dyDescent="0.25">
      <c r="A42" s="38" t="s">
        <v>41</v>
      </c>
      <c r="B42" s="46">
        <v>35305923.990000002</v>
      </c>
      <c r="C42" s="46">
        <v>32862200.030000001</v>
      </c>
      <c r="D42" s="46">
        <f t="shared" si="0"/>
        <v>-2443723.9600000009</v>
      </c>
      <c r="E42" s="46"/>
      <c r="F42" s="46">
        <v>30332002.879999999</v>
      </c>
      <c r="G42" s="46">
        <v>29512736.800000001</v>
      </c>
      <c r="H42" s="46">
        <f t="shared" si="1"/>
        <v>-819266.07999999821</v>
      </c>
      <c r="I42" s="46"/>
      <c r="J42" s="47"/>
      <c r="K42" s="47"/>
      <c r="L42" s="46">
        <f t="shared" si="2"/>
        <v>0</v>
      </c>
      <c r="M42" s="46"/>
      <c r="N42" s="46">
        <v>30332002.879999999</v>
      </c>
      <c r="O42" s="46">
        <v>29512736.800000001</v>
      </c>
      <c r="P42" s="46">
        <f t="shared" si="3"/>
        <v>-819266.07999999821</v>
      </c>
      <c r="Q42" s="46"/>
      <c r="R42" s="47"/>
      <c r="S42" s="47"/>
      <c r="T42" s="46">
        <f t="shared" si="4"/>
        <v>0</v>
      </c>
      <c r="U42" s="46"/>
      <c r="V42" s="47"/>
      <c r="W42" s="47"/>
      <c r="X42" s="46">
        <f t="shared" si="5"/>
        <v>0</v>
      </c>
      <c r="Y42" s="46"/>
      <c r="Z42" s="47"/>
      <c r="AA42" s="47"/>
      <c r="AB42" s="46">
        <f t="shared" si="6"/>
        <v>0</v>
      </c>
      <c r="AC42" s="46"/>
      <c r="AD42" s="47"/>
      <c r="AE42" s="47"/>
      <c r="AF42" s="46">
        <f t="shared" si="7"/>
        <v>0</v>
      </c>
      <c r="AG42" s="46"/>
      <c r="AH42" s="47"/>
      <c r="AI42" s="47"/>
      <c r="AJ42" s="46">
        <f t="shared" si="8"/>
        <v>0</v>
      </c>
      <c r="AK42" s="46"/>
      <c r="AL42" s="46">
        <v>4973921.1100000003</v>
      </c>
      <c r="AM42" s="46">
        <v>3349463.23</v>
      </c>
      <c r="AN42" s="46">
        <f t="shared" si="9"/>
        <v>-1624457.8800000004</v>
      </c>
      <c r="AO42" s="46"/>
      <c r="AP42" s="47"/>
      <c r="AQ42" s="47"/>
      <c r="AR42" s="46">
        <f t="shared" si="10"/>
        <v>0</v>
      </c>
      <c r="AS42" s="46"/>
      <c r="AT42" s="47"/>
      <c r="AU42" s="47"/>
    </row>
    <row r="43" spans="1:47" x14ac:dyDescent="0.25">
      <c r="A43" s="38" t="s">
        <v>42</v>
      </c>
      <c r="B43" s="46">
        <v>384999.96</v>
      </c>
      <c r="C43" s="46">
        <v>384999.96</v>
      </c>
      <c r="D43" s="46">
        <f t="shared" si="0"/>
        <v>0</v>
      </c>
      <c r="E43" s="46"/>
      <c r="F43" s="47"/>
      <c r="G43" s="47"/>
      <c r="H43" s="46">
        <f t="shared" si="1"/>
        <v>0</v>
      </c>
      <c r="I43" s="46"/>
      <c r="J43" s="47"/>
      <c r="K43" s="47"/>
      <c r="L43" s="46">
        <f t="shared" si="2"/>
        <v>0</v>
      </c>
      <c r="M43" s="46"/>
      <c r="N43" s="47"/>
      <c r="O43" s="47"/>
      <c r="P43" s="46">
        <f t="shared" si="3"/>
        <v>0</v>
      </c>
      <c r="Q43" s="46"/>
      <c r="R43" s="47"/>
      <c r="S43" s="47"/>
      <c r="T43" s="46">
        <f t="shared" si="4"/>
        <v>0</v>
      </c>
      <c r="U43" s="46"/>
      <c r="V43" s="47"/>
      <c r="W43" s="47"/>
      <c r="X43" s="46">
        <f t="shared" si="5"/>
        <v>0</v>
      </c>
      <c r="Y43" s="46"/>
      <c r="Z43" s="47"/>
      <c r="AA43" s="47"/>
      <c r="AB43" s="46">
        <f t="shared" si="6"/>
        <v>0</v>
      </c>
      <c r="AC43" s="46"/>
      <c r="AD43" s="47"/>
      <c r="AE43" s="47"/>
      <c r="AF43" s="46">
        <f t="shared" si="7"/>
        <v>0</v>
      </c>
      <c r="AG43" s="46"/>
      <c r="AH43" s="47"/>
      <c r="AI43" s="47"/>
      <c r="AJ43" s="46">
        <f t="shared" si="8"/>
        <v>0</v>
      </c>
      <c r="AK43" s="46"/>
      <c r="AL43" s="46">
        <v>384999.96</v>
      </c>
      <c r="AM43" s="46">
        <v>384999.96</v>
      </c>
      <c r="AN43" s="46">
        <f t="shared" si="9"/>
        <v>0</v>
      </c>
      <c r="AO43" s="46"/>
      <c r="AP43" s="47"/>
      <c r="AQ43" s="47"/>
      <c r="AR43" s="46">
        <f t="shared" si="10"/>
        <v>0</v>
      </c>
      <c r="AS43" s="46"/>
      <c r="AT43" s="47"/>
      <c r="AU43" s="47"/>
    </row>
    <row r="44" spans="1:47" x14ac:dyDescent="0.25">
      <c r="A44" s="38" t="s">
        <v>43</v>
      </c>
      <c r="B44" s="46">
        <v>4795701.0199999996</v>
      </c>
      <c r="C44" s="46">
        <v>7180172.9800000004</v>
      </c>
      <c r="D44" s="46">
        <f t="shared" si="0"/>
        <v>2384471.9600000009</v>
      </c>
      <c r="E44" s="46"/>
      <c r="F44" s="46">
        <v>3154873.69</v>
      </c>
      <c r="G44" s="46">
        <v>4951614.24</v>
      </c>
      <c r="H44" s="46">
        <f t="shared" si="1"/>
        <v>1796740.5500000003</v>
      </c>
      <c r="I44" s="46"/>
      <c r="J44" s="46">
        <v>6500</v>
      </c>
      <c r="K44" s="46">
        <v>57805</v>
      </c>
      <c r="L44" s="46">
        <f t="shared" si="2"/>
        <v>51305</v>
      </c>
      <c r="M44" s="46"/>
      <c r="N44" s="46">
        <v>3139316.36</v>
      </c>
      <c r="O44" s="46">
        <v>4035904.33</v>
      </c>
      <c r="P44" s="46">
        <f t="shared" si="3"/>
        <v>896587.9700000002</v>
      </c>
      <c r="Q44" s="46"/>
      <c r="R44" s="46">
        <v>5657.33</v>
      </c>
      <c r="S44" s="46">
        <v>29360.89</v>
      </c>
      <c r="T44" s="46">
        <f t="shared" si="4"/>
        <v>23703.559999999998</v>
      </c>
      <c r="U44" s="46"/>
      <c r="V44" s="47"/>
      <c r="W44" s="46">
        <v>17361.02</v>
      </c>
      <c r="X44" s="46">
        <f t="shared" si="5"/>
        <v>17361.02</v>
      </c>
      <c r="Y44" s="46"/>
      <c r="Z44" s="46">
        <v>3400</v>
      </c>
      <c r="AA44" s="46">
        <v>40840</v>
      </c>
      <c r="AB44" s="46">
        <f t="shared" si="6"/>
        <v>37440</v>
      </c>
      <c r="AC44" s="46"/>
      <c r="AD44" s="47"/>
      <c r="AE44" s="46"/>
      <c r="AF44" s="46">
        <f t="shared" si="7"/>
        <v>0</v>
      </c>
      <c r="AG44" s="46"/>
      <c r="AH44" s="47"/>
      <c r="AI44" s="46">
        <v>770343</v>
      </c>
      <c r="AJ44" s="46">
        <f t="shared" si="8"/>
        <v>770343</v>
      </c>
      <c r="AK44" s="46"/>
      <c r="AL44" s="47"/>
      <c r="AM44" s="47"/>
      <c r="AN44" s="46">
        <f t="shared" si="9"/>
        <v>0</v>
      </c>
      <c r="AO44" s="46"/>
      <c r="AP44" s="46">
        <v>177144</v>
      </c>
      <c r="AQ44" s="46">
        <v>122112</v>
      </c>
      <c r="AR44" s="46">
        <f t="shared" si="10"/>
        <v>-55032</v>
      </c>
      <c r="AS44" s="46"/>
      <c r="AT44" s="47"/>
      <c r="AU44" s="46">
        <v>551096.77</v>
      </c>
    </row>
    <row r="45" spans="1:47" x14ac:dyDescent="0.25">
      <c r="A45" s="33" t="s">
        <v>44</v>
      </c>
      <c r="B45" s="44">
        <v>87537721.079999998</v>
      </c>
      <c r="C45" s="44">
        <v>105186089.20999999</v>
      </c>
      <c r="D45" s="44">
        <f t="shared" si="0"/>
        <v>17648368.129999995</v>
      </c>
      <c r="E45" s="44"/>
      <c r="F45" s="44">
        <v>9807805.4800000004</v>
      </c>
      <c r="G45" s="44">
        <v>37174757.57</v>
      </c>
      <c r="H45" s="44">
        <f t="shared" si="1"/>
        <v>27366952.09</v>
      </c>
      <c r="I45" s="44"/>
      <c r="J45" s="44">
        <v>1551702.03</v>
      </c>
      <c r="K45" s="44">
        <v>4093879.72</v>
      </c>
      <c r="L45" s="44">
        <f t="shared" si="2"/>
        <v>2542177.6900000004</v>
      </c>
      <c r="M45" s="44"/>
      <c r="N45" s="44">
        <v>1350919.61</v>
      </c>
      <c r="O45" s="44">
        <v>4069453.13</v>
      </c>
      <c r="P45" s="44">
        <f t="shared" si="3"/>
        <v>2718533.5199999996</v>
      </c>
      <c r="Q45" s="44"/>
      <c r="R45" s="44">
        <v>161619.38</v>
      </c>
      <c r="S45" s="44">
        <v>5131845.29</v>
      </c>
      <c r="T45" s="44">
        <f t="shared" si="4"/>
        <v>4970225.91</v>
      </c>
      <c r="U45" s="44"/>
      <c r="V45" s="44">
        <v>598320.43999999994</v>
      </c>
      <c r="W45" s="44">
        <v>2169561.35</v>
      </c>
      <c r="X45" s="44">
        <f t="shared" si="5"/>
        <v>1571240.9100000001</v>
      </c>
      <c r="Y45" s="44"/>
      <c r="Z45" s="44">
        <v>5785592.7400000002</v>
      </c>
      <c r="AA45" s="44">
        <v>18757802.190000001</v>
      </c>
      <c r="AB45" s="44">
        <f t="shared" si="6"/>
        <v>12972209.450000001</v>
      </c>
      <c r="AC45" s="44"/>
      <c r="AD45" s="44">
        <v>312929.45</v>
      </c>
      <c r="AE45" s="44">
        <v>2452699.04</v>
      </c>
      <c r="AF45" s="44">
        <f t="shared" si="7"/>
        <v>2139769.59</v>
      </c>
      <c r="AG45" s="44"/>
      <c r="AH45" s="44">
        <v>46721.83</v>
      </c>
      <c r="AI45" s="44">
        <v>499516.85</v>
      </c>
      <c r="AJ45" s="44">
        <f t="shared" si="8"/>
        <v>452795.01999999996</v>
      </c>
      <c r="AK45" s="44"/>
      <c r="AL45" s="44">
        <v>19641937.960000001</v>
      </c>
      <c r="AM45" s="44">
        <v>22106040.620000001</v>
      </c>
      <c r="AN45" s="44">
        <f t="shared" si="9"/>
        <v>2464102.66</v>
      </c>
      <c r="AO45" s="44"/>
      <c r="AP45" s="44">
        <v>135782.79</v>
      </c>
      <c r="AQ45" s="44">
        <v>1483791.61</v>
      </c>
      <c r="AR45" s="44">
        <f t="shared" si="10"/>
        <v>1348008.82</v>
      </c>
      <c r="AS45" s="44"/>
      <c r="AT45" s="44">
        <v>48950900.600000001</v>
      </c>
      <c r="AU45" s="44">
        <v>43356902.32</v>
      </c>
    </row>
    <row r="46" spans="1:47" x14ac:dyDescent="0.25">
      <c r="A46" s="34" t="s">
        <v>45</v>
      </c>
      <c r="B46" s="44">
        <v>54417303.939999998</v>
      </c>
      <c r="C46" s="44">
        <v>43914527.359999999</v>
      </c>
      <c r="D46" s="44">
        <f t="shared" si="0"/>
        <v>-10502776.579999998</v>
      </c>
      <c r="E46" s="44"/>
      <c r="F46" s="44">
        <v>992877.89</v>
      </c>
      <c r="G46" s="44">
        <v>2196404.46</v>
      </c>
      <c r="H46" s="44">
        <f t="shared" si="1"/>
        <v>1203526.5699999998</v>
      </c>
      <c r="I46" s="44"/>
      <c r="J46" s="44">
        <v>24.72</v>
      </c>
      <c r="K46" s="44">
        <v>11746.16</v>
      </c>
      <c r="L46" s="44">
        <f t="shared" si="2"/>
        <v>11721.44</v>
      </c>
      <c r="M46" s="44"/>
      <c r="N46" s="44">
        <v>558333.32999999996</v>
      </c>
      <c r="O46" s="44">
        <v>560663.32999999996</v>
      </c>
      <c r="P46" s="44">
        <f t="shared" si="3"/>
        <v>2330</v>
      </c>
      <c r="Q46" s="44"/>
      <c r="R46" s="44"/>
      <c r="S46" s="44"/>
      <c r="T46" s="44">
        <f t="shared" si="4"/>
        <v>0</v>
      </c>
      <c r="U46" s="44"/>
      <c r="V46" s="44"/>
      <c r="W46" s="44">
        <v>5974.01</v>
      </c>
      <c r="X46" s="44">
        <f t="shared" si="5"/>
        <v>5974.01</v>
      </c>
      <c r="Y46" s="44"/>
      <c r="Z46" s="44">
        <v>271321.15000000002</v>
      </c>
      <c r="AA46" s="44">
        <v>720793.81</v>
      </c>
      <c r="AB46" s="44">
        <f t="shared" si="6"/>
        <v>449472.66000000003</v>
      </c>
      <c r="AC46" s="44"/>
      <c r="AD46" s="44">
        <v>159129.79999999999</v>
      </c>
      <c r="AE46" s="44">
        <v>880157.59</v>
      </c>
      <c r="AF46" s="44">
        <f t="shared" si="7"/>
        <v>721027.79</v>
      </c>
      <c r="AG46" s="44"/>
      <c r="AH46" s="44">
        <v>4068.89</v>
      </c>
      <c r="AI46" s="44">
        <v>17069.560000000001</v>
      </c>
      <c r="AJ46" s="44">
        <f t="shared" si="8"/>
        <v>13000.670000000002</v>
      </c>
      <c r="AK46" s="44"/>
      <c r="AL46" s="44">
        <v>13494209.390000001</v>
      </c>
      <c r="AM46" s="44">
        <v>12363600.51</v>
      </c>
      <c r="AN46" s="44">
        <f t="shared" si="9"/>
        <v>-1130608.8800000008</v>
      </c>
      <c r="AO46" s="44"/>
      <c r="AP46" s="45"/>
      <c r="AQ46" s="45"/>
      <c r="AR46" s="44">
        <f t="shared" si="10"/>
        <v>0</v>
      </c>
      <c r="AS46" s="44"/>
      <c r="AT46" s="44">
        <v>39930216.659999996</v>
      </c>
      <c r="AU46" s="44">
        <v>29354522.390000001</v>
      </c>
    </row>
    <row r="47" spans="1:47" x14ac:dyDescent="0.25">
      <c r="A47" s="35" t="s">
        <v>46</v>
      </c>
      <c r="B47" s="46">
        <v>13160262.51</v>
      </c>
      <c r="C47" s="46">
        <v>11785819.34</v>
      </c>
      <c r="D47" s="46">
        <f t="shared" si="0"/>
        <v>-1374443.17</v>
      </c>
      <c r="E47" s="46"/>
      <c r="F47" s="47"/>
      <c r="G47" s="47"/>
      <c r="H47" s="46">
        <f t="shared" si="1"/>
        <v>0</v>
      </c>
      <c r="I47" s="46"/>
      <c r="J47" s="47"/>
      <c r="K47" s="47"/>
      <c r="L47" s="46">
        <f t="shared" si="2"/>
        <v>0</v>
      </c>
      <c r="M47" s="46"/>
      <c r="N47" s="47"/>
      <c r="O47" s="47"/>
      <c r="P47" s="46">
        <f t="shared" si="3"/>
        <v>0</v>
      </c>
      <c r="Q47" s="46"/>
      <c r="R47" s="47"/>
      <c r="S47" s="47"/>
      <c r="T47" s="46">
        <f t="shared" si="4"/>
        <v>0</v>
      </c>
      <c r="U47" s="46"/>
      <c r="V47" s="47"/>
      <c r="W47" s="47"/>
      <c r="X47" s="46">
        <f t="shared" si="5"/>
        <v>0</v>
      </c>
      <c r="Y47" s="46"/>
      <c r="Z47" s="47"/>
      <c r="AA47" s="47"/>
      <c r="AB47" s="46">
        <f t="shared" si="6"/>
        <v>0</v>
      </c>
      <c r="AC47" s="46"/>
      <c r="AD47" s="47"/>
      <c r="AE47" s="47"/>
      <c r="AF47" s="46">
        <f t="shared" si="7"/>
        <v>0</v>
      </c>
      <c r="AG47" s="46"/>
      <c r="AH47" s="47"/>
      <c r="AI47" s="47"/>
      <c r="AJ47" s="46">
        <f t="shared" si="8"/>
        <v>0</v>
      </c>
      <c r="AK47" s="46"/>
      <c r="AL47" s="46">
        <v>13160262.51</v>
      </c>
      <c r="AM47" s="46">
        <v>11785819.34</v>
      </c>
      <c r="AN47" s="46">
        <f t="shared" si="9"/>
        <v>-1374443.17</v>
      </c>
      <c r="AO47" s="46"/>
      <c r="AP47" s="47"/>
      <c r="AQ47" s="47"/>
      <c r="AR47" s="46">
        <f t="shared" si="10"/>
        <v>0</v>
      </c>
      <c r="AS47" s="46"/>
      <c r="AT47" s="47"/>
      <c r="AU47" s="47"/>
    </row>
    <row r="48" spans="1:47" ht="22.5" x14ac:dyDescent="0.25">
      <c r="A48" s="35" t="s">
        <v>47</v>
      </c>
      <c r="B48" s="46">
        <v>41257041.43</v>
      </c>
      <c r="C48" s="46">
        <v>32128708.02</v>
      </c>
      <c r="D48" s="46">
        <f t="shared" si="0"/>
        <v>-9128333.4100000001</v>
      </c>
      <c r="E48" s="46"/>
      <c r="F48" s="46">
        <v>992877.89</v>
      </c>
      <c r="G48" s="46">
        <v>2196404.46</v>
      </c>
      <c r="H48" s="46">
        <f t="shared" si="1"/>
        <v>1203526.5699999998</v>
      </c>
      <c r="I48" s="46"/>
      <c r="J48" s="46">
        <v>24.72</v>
      </c>
      <c r="K48" s="46">
        <v>11746.16</v>
      </c>
      <c r="L48" s="46">
        <f t="shared" si="2"/>
        <v>11721.44</v>
      </c>
      <c r="M48" s="46"/>
      <c r="N48" s="46">
        <v>558333.32999999996</v>
      </c>
      <c r="O48" s="46">
        <v>560663.32999999996</v>
      </c>
      <c r="P48" s="46">
        <f t="shared" si="3"/>
        <v>2330</v>
      </c>
      <c r="Q48" s="46"/>
      <c r="R48" s="46"/>
      <c r="S48" s="46"/>
      <c r="T48" s="46">
        <f t="shared" si="4"/>
        <v>0</v>
      </c>
      <c r="U48" s="46"/>
      <c r="V48" s="46"/>
      <c r="W48" s="46">
        <v>5974.01</v>
      </c>
      <c r="X48" s="46">
        <f t="shared" si="5"/>
        <v>5974.01</v>
      </c>
      <c r="Y48" s="46"/>
      <c r="Z48" s="46">
        <v>271321.15000000002</v>
      </c>
      <c r="AA48" s="46">
        <v>720793.81</v>
      </c>
      <c r="AB48" s="46">
        <f t="shared" si="6"/>
        <v>449472.66000000003</v>
      </c>
      <c r="AC48" s="46"/>
      <c r="AD48" s="46">
        <v>159129.79999999999</v>
      </c>
      <c r="AE48" s="46">
        <v>880157.59</v>
      </c>
      <c r="AF48" s="46">
        <f t="shared" si="7"/>
        <v>721027.79</v>
      </c>
      <c r="AG48" s="46"/>
      <c r="AH48" s="46">
        <v>4068.89</v>
      </c>
      <c r="AI48" s="46">
        <v>17069.560000000001</v>
      </c>
      <c r="AJ48" s="46">
        <f t="shared" si="8"/>
        <v>13000.670000000002</v>
      </c>
      <c r="AK48" s="46"/>
      <c r="AL48" s="46">
        <v>333946.88</v>
      </c>
      <c r="AM48" s="46">
        <v>577781.17000000004</v>
      </c>
      <c r="AN48" s="46">
        <f t="shared" si="9"/>
        <v>243834.29000000004</v>
      </c>
      <c r="AO48" s="46"/>
      <c r="AP48" s="47"/>
      <c r="AQ48" s="47"/>
      <c r="AR48" s="46">
        <f t="shared" si="10"/>
        <v>0</v>
      </c>
      <c r="AS48" s="46"/>
      <c r="AT48" s="46">
        <v>39930216.659999996</v>
      </c>
      <c r="AU48" s="46">
        <v>29354522.390000001</v>
      </c>
    </row>
    <row r="49" spans="1:47" x14ac:dyDescent="0.25">
      <c r="A49" s="35" t="s">
        <v>48</v>
      </c>
      <c r="B49" s="47"/>
      <c r="C49" s="46"/>
      <c r="D49" s="46">
        <f t="shared" si="0"/>
        <v>0</v>
      </c>
      <c r="E49" s="46"/>
      <c r="F49" s="47"/>
      <c r="G49" s="47"/>
      <c r="H49" s="46">
        <f t="shared" si="1"/>
        <v>0</v>
      </c>
      <c r="I49" s="46"/>
      <c r="J49" s="47"/>
      <c r="K49" s="47"/>
      <c r="L49" s="46">
        <f t="shared" si="2"/>
        <v>0</v>
      </c>
      <c r="M49" s="46"/>
      <c r="N49" s="47"/>
      <c r="O49" s="47"/>
      <c r="P49" s="46">
        <f t="shared" si="3"/>
        <v>0</v>
      </c>
      <c r="Q49" s="46"/>
      <c r="R49" s="47"/>
      <c r="S49" s="47"/>
      <c r="T49" s="46">
        <f t="shared" si="4"/>
        <v>0</v>
      </c>
      <c r="U49" s="46"/>
      <c r="V49" s="47"/>
      <c r="W49" s="47"/>
      <c r="X49" s="46">
        <f t="shared" si="5"/>
        <v>0</v>
      </c>
      <c r="Y49" s="46"/>
      <c r="Z49" s="47"/>
      <c r="AA49" s="47"/>
      <c r="AB49" s="46">
        <f t="shared" si="6"/>
        <v>0</v>
      </c>
      <c r="AC49" s="46"/>
      <c r="AD49" s="47"/>
      <c r="AE49" s="47"/>
      <c r="AF49" s="46">
        <f t="shared" si="7"/>
        <v>0</v>
      </c>
      <c r="AG49" s="46"/>
      <c r="AH49" s="47"/>
      <c r="AI49" s="47"/>
      <c r="AJ49" s="46">
        <f t="shared" si="8"/>
        <v>0</v>
      </c>
      <c r="AK49" s="46"/>
      <c r="AL49" s="47"/>
      <c r="AM49" s="46"/>
      <c r="AN49" s="46">
        <f t="shared" si="9"/>
        <v>0</v>
      </c>
      <c r="AO49" s="46"/>
      <c r="AP49" s="47"/>
      <c r="AQ49" s="47"/>
      <c r="AR49" s="46">
        <f t="shared" si="10"/>
        <v>0</v>
      </c>
      <c r="AS49" s="46"/>
      <c r="AT49" s="47"/>
      <c r="AU49" s="47"/>
    </row>
    <row r="50" spans="1:47" ht="22.5" x14ac:dyDescent="0.25">
      <c r="A50" s="35" t="s">
        <v>49</v>
      </c>
      <c r="B50" s="47"/>
      <c r="C50" s="47"/>
      <c r="D50" s="47">
        <f t="shared" si="0"/>
        <v>0</v>
      </c>
      <c r="E50" s="47"/>
      <c r="F50" s="47"/>
      <c r="G50" s="47"/>
      <c r="H50" s="47">
        <f t="shared" si="1"/>
        <v>0</v>
      </c>
      <c r="I50" s="47"/>
      <c r="J50" s="47"/>
      <c r="K50" s="47"/>
      <c r="L50" s="47">
        <f t="shared" si="2"/>
        <v>0</v>
      </c>
      <c r="M50" s="47"/>
      <c r="N50" s="47"/>
      <c r="O50" s="47"/>
      <c r="P50" s="47">
        <f t="shared" si="3"/>
        <v>0</v>
      </c>
      <c r="Q50" s="47"/>
      <c r="R50" s="47"/>
      <c r="S50" s="47"/>
      <c r="T50" s="47">
        <f t="shared" si="4"/>
        <v>0</v>
      </c>
      <c r="U50" s="47"/>
      <c r="V50" s="47"/>
      <c r="W50" s="47"/>
      <c r="X50" s="47">
        <f t="shared" si="5"/>
        <v>0</v>
      </c>
      <c r="Y50" s="47"/>
      <c r="Z50" s="47"/>
      <c r="AA50" s="47"/>
      <c r="AB50" s="47">
        <f t="shared" si="6"/>
        <v>0</v>
      </c>
      <c r="AC50" s="47"/>
      <c r="AD50" s="47"/>
      <c r="AE50" s="47"/>
      <c r="AF50" s="47">
        <f t="shared" si="7"/>
        <v>0</v>
      </c>
      <c r="AG50" s="47"/>
      <c r="AH50" s="47"/>
      <c r="AI50" s="47"/>
      <c r="AJ50" s="47">
        <f t="shared" si="8"/>
        <v>0</v>
      </c>
      <c r="AK50" s="47"/>
      <c r="AL50" s="47"/>
      <c r="AM50" s="47"/>
      <c r="AN50" s="47">
        <f t="shared" si="9"/>
        <v>0</v>
      </c>
      <c r="AO50" s="47"/>
      <c r="AP50" s="47"/>
      <c r="AQ50" s="47"/>
      <c r="AR50" s="47">
        <f t="shared" si="10"/>
        <v>0</v>
      </c>
      <c r="AS50" s="47"/>
      <c r="AT50" s="47"/>
      <c r="AU50" s="47"/>
    </row>
    <row r="51" spans="1:47" x14ac:dyDescent="0.25">
      <c r="A51" s="35" t="s">
        <v>50</v>
      </c>
      <c r="B51" s="47"/>
      <c r="C51" s="46"/>
      <c r="D51" s="46">
        <f t="shared" si="0"/>
        <v>0</v>
      </c>
      <c r="E51" s="46"/>
      <c r="F51" s="47"/>
      <c r="G51" s="47"/>
      <c r="H51" s="46">
        <f t="shared" si="1"/>
        <v>0</v>
      </c>
      <c r="I51" s="46"/>
      <c r="J51" s="47"/>
      <c r="K51" s="47"/>
      <c r="L51" s="46">
        <f t="shared" si="2"/>
        <v>0</v>
      </c>
      <c r="M51" s="46"/>
      <c r="N51" s="47"/>
      <c r="O51" s="47"/>
      <c r="P51" s="46">
        <f t="shared" si="3"/>
        <v>0</v>
      </c>
      <c r="Q51" s="46"/>
      <c r="R51" s="47"/>
      <c r="S51" s="47"/>
      <c r="T51" s="46">
        <f t="shared" si="4"/>
        <v>0</v>
      </c>
      <c r="U51" s="46"/>
      <c r="V51" s="47"/>
      <c r="W51" s="47"/>
      <c r="X51" s="46">
        <f t="shared" si="5"/>
        <v>0</v>
      </c>
      <c r="Y51" s="46"/>
      <c r="Z51" s="47"/>
      <c r="AA51" s="47"/>
      <c r="AB51" s="46">
        <f t="shared" si="6"/>
        <v>0</v>
      </c>
      <c r="AC51" s="46"/>
      <c r="AD51" s="47"/>
      <c r="AE51" s="47"/>
      <c r="AF51" s="46">
        <f t="shared" si="7"/>
        <v>0</v>
      </c>
      <c r="AG51" s="46"/>
      <c r="AH51" s="47"/>
      <c r="AI51" s="47"/>
      <c r="AJ51" s="46">
        <f t="shared" si="8"/>
        <v>0</v>
      </c>
      <c r="AK51" s="46"/>
      <c r="AL51" s="47"/>
      <c r="AM51" s="46"/>
      <c r="AN51" s="46">
        <f t="shared" si="9"/>
        <v>0</v>
      </c>
      <c r="AO51" s="46"/>
      <c r="AP51" s="47"/>
      <c r="AQ51" s="47"/>
      <c r="AR51" s="46">
        <f t="shared" si="10"/>
        <v>0</v>
      </c>
      <c r="AS51" s="46"/>
      <c r="AT51" s="47"/>
      <c r="AU51" s="47"/>
    </row>
    <row r="52" spans="1:47" x14ac:dyDescent="0.25">
      <c r="A52" s="38" t="s">
        <v>51</v>
      </c>
      <c r="B52" s="46">
        <v>486664.29</v>
      </c>
      <c r="C52" s="46">
        <v>1883628.11</v>
      </c>
      <c r="D52" s="46">
        <f t="shared" si="0"/>
        <v>1396963.82</v>
      </c>
      <c r="E52" s="46"/>
      <c r="F52" s="46">
        <v>66771.16</v>
      </c>
      <c r="G52" s="46">
        <v>1047946.65</v>
      </c>
      <c r="H52" s="46">
        <f t="shared" si="1"/>
        <v>981175.49</v>
      </c>
      <c r="I52" s="46"/>
      <c r="J52" s="46">
        <v>8040.4</v>
      </c>
      <c r="K52" s="46">
        <v>8447.2199999999993</v>
      </c>
      <c r="L52" s="46">
        <f t="shared" si="2"/>
        <v>406.81999999999971</v>
      </c>
      <c r="M52" s="46"/>
      <c r="N52" s="47"/>
      <c r="O52" s="46">
        <v>22621.84</v>
      </c>
      <c r="P52" s="46">
        <f t="shared" si="3"/>
        <v>22621.84</v>
      </c>
      <c r="Q52" s="46"/>
      <c r="R52" s="46">
        <v>481.45</v>
      </c>
      <c r="S52" s="46">
        <v>142642.76999999999</v>
      </c>
      <c r="T52" s="46">
        <f t="shared" si="4"/>
        <v>142161.31999999998</v>
      </c>
      <c r="U52" s="46"/>
      <c r="V52" s="46">
        <v>23307.18</v>
      </c>
      <c r="W52" s="46">
        <v>590190.21</v>
      </c>
      <c r="X52" s="46">
        <f t="shared" si="5"/>
        <v>566883.02999999991</v>
      </c>
      <c r="Y52" s="46"/>
      <c r="Z52" s="46">
        <v>25441.32</v>
      </c>
      <c r="AA52" s="46">
        <v>136719.23000000001</v>
      </c>
      <c r="AB52" s="46">
        <f t="shared" si="6"/>
        <v>111277.91</v>
      </c>
      <c r="AC52" s="46"/>
      <c r="AD52" s="46">
        <v>9500</v>
      </c>
      <c r="AE52" s="46">
        <v>101859.81</v>
      </c>
      <c r="AF52" s="46">
        <f t="shared" si="7"/>
        <v>92359.81</v>
      </c>
      <c r="AG52" s="46"/>
      <c r="AH52" s="46">
        <v>0.81</v>
      </c>
      <c r="AI52" s="46">
        <v>45465.57</v>
      </c>
      <c r="AJ52" s="46">
        <f t="shared" si="8"/>
        <v>45464.76</v>
      </c>
      <c r="AK52" s="46"/>
      <c r="AL52" s="46">
        <v>265089.90000000002</v>
      </c>
      <c r="AM52" s="46">
        <v>680878.23</v>
      </c>
      <c r="AN52" s="46">
        <f t="shared" si="9"/>
        <v>415788.32999999996</v>
      </c>
      <c r="AO52" s="46"/>
      <c r="AP52" s="47"/>
      <c r="AQ52" s="47"/>
      <c r="AR52" s="46">
        <f t="shared" si="10"/>
        <v>0</v>
      </c>
      <c r="AS52" s="46"/>
      <c r="AT52" s="46">
        <v>132492.35</v>
      </c>
      <c r="AU52" s="46">
        <v>132492.35</v>
      </c>
    </row>
    <row r="53" spans="1:47" x14ac:dyDescent="0.25">
      <c r="A53" s="38" t="s">
        <v>52</v>
      </c>
      <c r="B53" s="47"/>
      <c r="C53" s="46"/>
      <c r="D53" s="46">
        <f t="shared" si="0"/>
        <v>0</v>
      </c>
      <c r="E53" s="46"/>
      <c r="F53" s="47"/>
      <c r="G53" s="46"/>
      <c r="H53" s="46">
        <f t="shared" si="1"/>
        <v>0</v>
      </c>
      <c r="I53" s="46"/>
      <c r="J53" s="47"/>
      <c r="K53" s="47"/>
      <c r="L53" s="46">
        <f t="shared" si="2"/>
        <v>0</v>
      </c>
      <c r="M53" s="46"/>
      <c r="N53" s="47"/>
      <c r="O53" s="47"/>
      <c r="P53" s="46">
        <f t="shared" si="3"/>
        <v>0</v>
      </c>
      <c r="Q53" s="46"/>
      <c r="R53" s="47"/>
      <c r="S53" s="47"/>
      <c r="T53" s="46">
        <f t="shared" si="4"/>
        <v>0</v>
      </c>
      <c r="U53" s="46"/>
      <c r="V53" s="47"/>
      <c r="W53" s="46"/>
      <c r="X53" s="46">
        <f t="shared" si="5"/>
        <v>0</v>
      </c>
      <c r="Y53" s="46"/>
      <c r="Z53" s="47"/>
      <c r="AA53" s="47"/>
      <c r="AB53" s="46">
        <f t="shared" si="6"/>
        <v>0</v>
      </c>
      <c r="AC53" s="46"/>
      <c r="AD53" s="47"/>
      <c r="AE53" s="47"/>
      <c r="AF53" s="46">
        <f t="shared" si="7"/>
        <v>0</v>
      </c>
      <c r="AG53" s="46"/>
      <c r="AH53" s="47"/>
      <c r="AI53" s="47"/>
      <c r="AJ53" s="46">
        <f t="shared" si="8"/>
        <v>0</v>
      </c>
      <c r="AK53" s="46"/>
      <c r="AL53" s="47"/>
      <c r="AM53" s="47"/>
      <c r="AN53" s="46">
        <f t="shared" si="9"/>
        <v>0</v>
      </c>
      <c r="AO53" s="46"/>
      <c r="AP53" s="47"/>
      <c r="AQ53" s="47"/>
      <c r="AR53" s="46">
        <f t="shared" si="10"/>
        <v>0</v>
      </c>
      <c r="AS53" s="46"/>
      <c r="AT53" s="47"/>
      <c r="AU53" s="47"/>
    </row>
    <row r="54" spans="1:47" x14ac:dyDescent="0.25">
      <c r="A54" s="38" t="s">
        <v>53</v>
      </c>
      <c r="B54" s="46">
        <v>995603.97</v>
      </c>
      <c r="C54" s="46">
        <v>2111808.25</v>
      </c>
      <c r="D54" s="46">
        <f t="shared" si="0"/>
        <v>1116204.28</v>
      </c>
      <c r="E54" s="46"/>
      <c r="F54" s="46">
        <v>73944.399999999994</v>
      </c>
      <c r="G54" s="46">
        <v>154152.85</v>
      </c>
      <c r="H54" s="46">
        <f t="shared" si="1"/>
        <v>80208.450000000012</v>
      </c>
      <c r="I54" s="46"/>
      <c r="J54" s="47"/>
      <c r="K54" s="47"/>
      <c r="L54" s="46">
        <f t="shared" si="2"/>
        <v>0</v>
      </c>
      <c r="M54" s="46"/>
      <c r="N54" s="46">
        <v>152.05000000000001</v>
      </c>
      <c r="O54" s="46">
        <v>54755.05</v>
      </c>
      <c r="P54" s="46">
        <f t="shared" si="3"/>
        <v>54603</v>
      </c>
      <c r="Q54" s="46"/>
      <c r="R54" s="47"/>
      <c r="S54" s="47"/>
      <c r="T54" s="46">
        <f t="shared" si="4"/>
        <v>0</v>
      </c>
      <c r="U54" s="46"/>
      <c r="V54" s="46">
        <v>73792.350000000006</v>
      </c>
      <c r="W54" s="46">
        <v>99397.8</v>
      </c>
      <c r="X54" s="46">
        <f t="shared" si="5"/>
        <v>25605.449999999997</v>
      </c>
      <c r="Y54" s="46"/>
      <c r="Z54" s="47"/>
      <c r="AA54" s="47"/>
      <c r="AB54" s="46">
        <f t="shared" si="6"/>
        <v>0</v>
      </c>
      <c r="AC54" s="46"/>
      <c r="AD54" s="47"/>
      <c r="AE54" s="47"/>
      <c r="AF54" s="46">
        <f t="shared" si="7"/>
        <v>0</v>
      </c>
      <c r="AG54" s="46"/>
      <c r="AH54" s="47"/>
      <c r="AI54" s="47"/>
      <c r="AJ54" s="46">
        <f t="shared" si="8"/>
        <v>0</v>
      </c>
      <c r="AK54" s="46"/>
      <c r="AL54" s="47"/>
      <c r="AM54" s="47"/>
      <c r="AN54" s="46">
        <f t="shared" si="9"/>
        <v>0</v>
      </c>
      <c r="AO54" s="46"/>
      <c r="AP54" s="46">
        <v>681.35</v>
      </c>
      <c r="AQ54" s="46">
        <v>1100.3599999999999</v>
      </c>
      <c r="AR54" s="46">
        <f t="shared" si="10"/>
        <v>419.00999999999988</v>
      </c>
      <c r="AS54" s="46"/>
      <c r="AT54" s="46">
        <v>920978.22</v>
      </c>
      <c r="AU54" s="46">
        <v>1956555.04</v>
      </c>
    </row>
    <row r="55" spans="1:47" x14ac:dyDescent="0.25">
      <c r="A55" s="38" t="s">
        <v>54</v>
      </c>
      <c r="B55" s="46">
        <v>4903947.6399999997</v>
      </c>
      <c r="C55" s="46">
        <v>1827413.24</v>
      </c>
      <c r="D55" s="46">
        <f t="shared" si="0"/>
        <v>-3076534.3999999994</v>
      </c>
      <c r="E55" s="46"/>
      <c r="F55" s="46">
        <v>6971.26</v>
      </c>
      <c r="G55" s="46">
        <v>26063.02</v>
      </c>
      <c r="H55" s="46">
        <f t="shared" si="1"/>
        <v>19091.760000000002</v>
      </c>
      <c r="I55" s="46"/>
      <c r="J55" s="46">
        <v>89.43</v>
      </c>
      <c r="K55" s="46">
        <v>391.72</v>
      </c>
      <c r="L55" s="46">
        <f t="shared" si="2"/>
        <v>302.29000000000002</v>
      </c>
      <c r="M55" s="46"/>
      <c r="N55" s="46">
        <v>154.94999999999999</v>
      </c>
      <c r="O55" s="46">
        <v>607.9</v>
      </c>
      <c r="P55" s="46">
        <f t="shared" si="3"/>
        <v>452.95</v>
      </c>
      <c r="Q55" s="46"/>
      <c r="R55" s="46">
        <v>13.51</v>
      </c>
      <c r="S55" s="46">
        <v>79.27</v>
      </c>
      <c r="T55" s="46">
        <f t="shared" si="4"/>
        <v>65.759999999999991</v>
      </c>
      <c r="U55" s="46"/>
      <c r="V55" s="46">
        <v>718.01</v>
      </c>
      <c r="W55" s="46">
        <v>2775.04</v>
      </c>
      <c r="X55" s="46">
        <f t="shared" si="5"/>
        <v>2057.0299999999997</v>
      </c>
      <c r="Y55" s="46"/>
      <c r="Z55" s="46">
        <v>353.31</v>
      </c>
      <c r="AA55" s="46">
        <v>1139.93</v>
      </c>
      <c r="AB55" s="46">
        <f t="shared" si="6"/>
        <v>786.62000000000012</v>
      </c>
      <c r="AC55" s="46"/>
      <c r="AD55" s="46">
        <v>917.41</v>
      </c>
      <c r="AE55" s="46">
        <v>4180.57</v>
      </c>
      <c r="AF55" s="46">
        <f t="shared" si="7"/>
        <v>3263.16</v>
      </c>
      <c r="AG55" s="46"/>
      <c r="AH55" s="46">
        <v>4724.6400000000003</v>
      </c>
      <c r="AI55" s="46">
        <v>16888.59</v>
      </c>
      <c r="AJ55" s="46">
        <f t="shared" si="8"/>
        <v>12163.95</v>
      </c>
      <c r="AK55" s="46"/>
      <c r="AL55" s="46">
        <v>2565.71</v>
      </c>
      <c r="AM55" s="46">
        <v>2041</v>
      </c>
      <c r="AN55" s="46">
        <f t="shared" si="9"/>
        <v>-524.71</v>
      </c>
      <c r="AO55" s="46"/>
      <c r="AP55" s="46">
        <v>0.85</v>
      </c>
      <c r="AQ55" s="46">
        <v>152.52000000000001</v>
      </c>
      <c r="AR55" s="46">
        <f t="shared" si="10"/>
        <v>151.67000000000002</v>
      </c>
      <c r="AS55" s="46"/>
      <c r="AT55" s="46">
        <v>4894409.82</v>
      </c>
      <c r="AU55" s="46">
        <v>1799156.7</v>
      </c>
    </row>
    <row r="56" spans="1:47" x14ac:dyDescent="0.25">
      <c r="A56" s="38" t="s">
        <v>55</v>
      </c>
      <c r="B56" s="47"/>
      <c r="C56" s="47"/>
      <c r="D56" s="47">
        <f t="shared" si="0"/>
        <v>0</v>
      </c>
      <c r="E56" s="47"/>
      <c r="F56" s="47"/>
      <c r="G56" s="47"/>
      <c r="H56" s="47">
        <f t="shared" si="1"/>
        <v>0</v>
      </c>
      <c r="I56" s="47"/>
      <c r="J56" s="47"/>
      <c r="K56" s="47"/>
      <c r="L56" s="47">
        <f t="shared" si="2"/>
        <v>0</v>
      </c>
      <c r="M56" s="47"/>
      <c r="N56" s="47"/>
      <c r="O56" s="47"/>
      <c r="P56" s="47">
        <f t="shared" si="3"/>
        <v>0</v>
      </c>
      <c r="Q56" s="47"/>
      <c r="R56" s="47"/>
      <c r="S56" s="47"/>
      <c r="T56" s="47">
        <f t="shared" si="4"/>
        <v>0</v>
      </c>
      <c r="U56" s="47"/>
      <c r="V56" s="47"/>
      <c r="W56" s="47"/>
      <c r="X56" s="47">
        <f t="shared" si="5"/>
        <v>0</v>
      </c>
      <c r="Y56" s="47"/>
      <c r="Z56" s="47"/>
      <c r="AA56" s="47"/>
      <c r="AB56" s="47">
        <f t="shared" si="6"/>
        <v>0</v>
      </c>
      <c r="AC56" s="47"/>
      <c r="AD56" s="47"/>
      <c r="AE56" s="47"/>
      <c r="AF56" s="47">
        <f t="shared" si="7"/>
        <v>0</v>
      </c>
      <c r="AG56" s="47"/>
      <c r="AH56" s="47"/>
      <c r="AI56" s="47"/>
      <c r="AJ56" s="47">
        <f t="shared" si="8"/>
        <v>0</v>
      </c>
      <c r="AK56" s="47"/>
      <c r="AL56" s="47"/>
      <c r="AM56" s="47"/>
      <c r="AN56" s="47">
        <f t="shared" si="9"/>
        <v>0</v>
      </c>
      <c r="AO56" s="47"/>
      <c r="AP56" s="47"/>
      <c r="AQ56" s="47"/>
      <c r="AR56" s="47">
        <f t="shared" si="10"/>
        <v>0</v>
      </c>
      <c r="AS56" s="47"/>
      <c r="AT56" s="47"/>
      <c r="AU56" s="47"/>
    </row>
    <row r="57" spans="1:47" x14ac:dyDescent="0.25">
      <c r="A57" s="38" t="s">
        <v>56</v>
      </c>
      <c r="B57" s="46">
        <v>26734201.239999998</v>
      </c>
      <c r="C57" s="46">
        <v>55448712.25</v>
      </c>
      <c r="D57" s="46">
        <f t="shared" si="0"/>
        <v>28714511.010000002</v>
      </c>
      <c r="E57" s="46"/>
      <c r="F57" s="46">
        <v>8667240.7699999996</v>
      </c>
      <c r="G57" s="46">
        <v>33750190.590000004</v>
      </c>
      <c r="H57" s="46">
        <f t="shared" si="1"/>
        <v>25082949.820000004</v>
      </c>
      <c r="I57" s="46"/>
      <c r="J57" s="46">
        <v>1543547.48</v>
      </c>
      <c r="K57" s="46">
        <v>4073294.62</v>
      </c>
      <c r="L57" s="46">
        <f t="shared" si="2"/>
        <v>2529747.14</v>
      </c>
      <c r="M57" s="46"/>
      <c r="N57" s="46">
        <v>792279.28</v>
      </c>
      <c r="O57" s="46">
        <v>3430805.01</v>
      </c>
      <c r="P57" s="46">
        <f t="shared" si="3"/>
        <v>2638525.7299999995</v>
      </c>
      <c r="Q57" s="46"/>
      <c r="R57" s="46">
        <v>161124.42000000001</v>
      </c>
      <c r="S57" s="46">
        <v>4989123.25</v>
      </c>
      <c r="T57" s="46">
        <f t="shared" si="4"/>
        <v>4827998.83</v>
      </c>
      <c r="U57" s="46"/>
      <c r="V57" s="46">
        <v>500502.9</v>
      </c>
      <c r="W57" s="46">
        <v>1471224.29</v>
      </c>
      <c r="X57" s="46">
        <f t="shared" si="5"/>
        <v>970721.39</v>
      </c>
      <c r="Y57" s="46"/>
      <c r="Z57" s="46">
        <v>5488476.96</v>
      </c>
      <c r="AA57" s="46">
        <v>17899149.219999999</v>
      </c>
      <c r="AB57" s="46">
        <f t="shared" si="6"/>
        <v>12410672.259999998</v>
      </c>
      <c r="AC57" s="46"/>
      <c r="AD57" s="46">
        <v>143382.24</v>
      </c>
      <c r="AE57" s="46">
        <v>1466501.07</v>
      </c>
      <c r="AF57" s="46">
        <f t="shared" si="7"/>
        <v>1323118.83</v>
      </c>
      <c r="AG57" s="46"/>
      <c r="AH57" s="46">
        <v>37927.49</v>
      </c>
      <c r="AI57" s="46">
        <v>420093.13</v>
      </c>
      <c r="AJ57" s="46">
        <f t="shared" si="8"/>
        <v>382165.64</v>
      </c>
      <c r="AK57" s="46"/>
      <c r="AL57" s="46">
        <v>5880072.96</v>
      </c>
      <c r="AM57" s="46">
        <v>9059520.8800000008</v>
      </c>
      <c r="AN57" s="46">
        <f t="shared" si="9"/>
        <v>3179447.9200000009</v>
      </c>
      <c r="AO57" s="46"/>
      <c r="AP57" s="46">
        <v>135100.59</v>
      </c>
      <c r="AQ57" s="46">
        <v>1482538.73</v>
      </c>
      <c r="AR57" s="46">
        <f t="shared" si="10"/>
        <v>1347438.14</v>
      </c>
      <c r="AS57" s="46"/>
      <c r="AT57" s="46">
        <v>3072803.55</v>
      </c>
      <c r="AU57" s="46">
        <v>10114175.84</v>
      </c>
    </row>
    <row r="58" spans="1:47" ht="22.5" x14ac:dyDescent="0.25">
      <c r="A58" s="38" t="s">
        <v>57</v>
      </c>
      <c r="B58" s="47"/>
      <c r="C58" s="47"/>
      <c r="D58" s="47">
        <f t="shared" si="0"/>
        <v>0</v>
      </c>
      <c r="E58" s="47"/>
      <c r="F58" s="47"/>
      <c r="G58" s="47"/>
      <c r="H58" s="47">
        <f t="shared" si="1"/>
        <v>0</v>
      </c>
      <c r="I58" s="47"/>
      <c r="J58" s="47"/>
      <c r="K58" s="47"/>
      <c r="L58" s="47">
        <f t="shared" si="2"/>
        <v>0</v>
      </c>
      <c r="M58" s="47"/>
      <c r="N58" s="47"/>
      <c r="O58" s="47"/>
      <c r="P58" s="47">
        <f t="shared" si="3"/>
        <v>0</v>
      </c>
      <c r="Q58" s="47"/>
      <c r="R58" s="47"/>
      <c r="S58" s="47"/>
      <c r="T58" s="47">
        <f t="shared" si="4"/>
        <v>0</v>
      </c>
      <c r="U58" s="47"/>
      <c r="V58" s="47"/>
      <c r="W58" s="47"/>
      <c r="X58" s="47">
        <f t="shared" si="5"/>
        <v>0</v>
      </c>
      <c r="Y58" s="47"/>
      <c r="Z58" s="47"/>
      <c r="AA58" s="47"/>
      <c r="AB58" s="47">
        <f t="shared" si="6"/>
        <v>0</v>
      </c>
      <c r="AC58" s="47"/>
      <c r="AD58" s="47"/>
      <c r="AE58" s="47"/>
      <c r="AF58" s="47">
        <f t="shared" si="7"/>
        <v>0</v>
      </c>
      <c r="AG58" s="47"/>
      <c r="AH58" s="47"/>
      <c r="AI58" s="47"/>
      <c r="AJ58" s="47">
        <f t="shared" si="8"/>
        <v>0</v>
      </c>
      <c r="AK58" s="47"/>
      <c r="AL58" s="47"/>
      <c r="AM58" s="47"/>
      <c r="AN58" s="47">
        <f t="shared" si="9"/>
        <v>0</v>
      </c>
      <c r="AO58" s="47"/>
      <c r="AP58" s="47"/>
      <c r="AQ58" s="47"/>
      <c r="AR58" s="47">
        <f t="shared" si="10"/>
        <v>0</v>
      </c>
      <c r="AS58" s="47"/>
      <c r="AT58" s="47"/>
      <c r="AU58" s="47"/>
    </row>
    <row r="59" spans="1:47" x14ac:dyDescent="0.25">
      <c r="A59" s="38" t="s">
        <v>58</v>
      </c>
      <c r="B59" s="47"/>
      <c r="C59" s="47"/>
      <c r="D59" s="47">
        <f t="shared" si="0"/>
        <v>0</v>
      </c>
      <c r="E59" s="47"/>
      <c r="F59" s="47"/>
      <c r="G59" s="47"/>
      <c r="H59" s="47">
        <f t="shared" si="1"/>
        <v>0</v>
      </c>
      <c r="I59" s="47"/>
      <c r="J59" s="47"/>
      <c r="K59" s="47"/>
      <c r="L59" s="47">
        <f t="shared" si="2"/>
        <v>0</v>
      </c>
      <c r="M59" s="47"/>
      <c r="N59" s="47"/>
      <c r="O59" s="47"/>
      <c r="P59" s="47">
        <f t="shared" si="3"/>
        <v>0</v>
      </c>
      <c r="Q59" s="47"/>
      <c r="R59" s="47"/>
      <c r="S59" s="47"/>
      <c r="T59" s="47">
        <f t="shared" si="4"/>
        <v>0</v>
      </c>
      <c r="U59" s="47"/>
      <c r="V59" s="47"/>
      <c r="W59" s="47"/>
      <c r="X59" s="47">
        <f t="shared" si="5"/>
        <v>0</v>
      </c>
      <c r="Y59" s="47"/>
      <c r="Z59" s="47"/>
      <c r="AA59" s="47"/>
      <c r="AB59" s="47">
        <f t="shared" si="6"/>
        <v>0</v>
      </c>
      <c r="AC59" s="47"/>
      <c r="AD59" s="47"/>
      <c r="AE59" s="47"/>
      <c r="AF59" s="47">
        <f t="shared" si="7"/>
        <v>0</v>
      </c>
      <c r="AG59" s="47"/>
      <c r="AH59" s="47"/>
      <c r="AI59" s="47"/>
      <c r="AJ59" s="47">
        <f t="shared" si="8"/>
        <v>0</v>
      </c>
      <c r="AK59" s="47"/>
      <c r="AL59" s="47"/>
      <c r="AM59" s="47"/>
      <c r="AN59" s="47">
        <f t="shared" si="9"/>
        <v>0</v>
      </c>
      <c r="AO59" s="47"/>
      <c r="AP59" s="47"/>
      <c r="AQ59" s="47"/>
      <c r="AR59" s="47">
        <f t="shared" si="10"/>
        <v>0</v>
      </c>
      <c r="AS59" s="47"/>
      <c r="AT59" s="47"/>
      <c r="AU59" s="47"/>
    </row>
    <row r="60" spans="1:47" x14ac:dyDescent="0.25">
      <c r="A60" s="33" t="s">
        <v>59</v>
      </c>
      <c r="B60" s="44"/>
      <c r="C60" s="44"/>
      <c r="D60" s="44">
        <f t="shared" si="0"/>
        <v>0</v>
      </c>
      <c r="E60" s="44"/>
      <c r="F60" s="44">
        <v>34199281.82</v>
      </c>
      <c r="G60" s="44">
        <v>56886622.590000004</v>
      </c>
      <c r="H60" s="44">
        <f t="shared" si="1"/>
        <v>22687340.770000003</v>
      </c>
      <c r="I60" s="44"/>
      <c r="J60" s="44">
        <v>-5410315.0300000003</v>
      </c>
      <c r="K60" s="44">
        <v>8241584.6799999997</v>
      </c>
      <c r="L60" s="44">
        <f t="shared" si="2"/>
        <v>13651899.710000001</v>
      </c>
      <c r="M60" s="44"/>
      <c r="N60" s="44">
        <v>-36356202.140000001</v>
      </c>
      <c r="O60" s="44">
        <v>-22804159.949999999</v>
      </c>
      <c r="P60" s="44">
        <f t="shared" si="3"/>
        <v>13552042.190000001</v>
      </c>
      <c r="Q60" s="44"/>
      <c r="R60" s="44">
        <v>13182807.51</v>
      </c>
      <c r="S60" s="44">
        <v>19886110</v>
      </c>
      <c r="T60" s="44">
        <f t="shared" si="4"/>
        <v>6703302.4900000002</v>
      </c>
      <c r="U60" s="44"/>
      <c r="V60" s="44">
        <v>10251228.970000001</v>
      </c>
      <c r="W60" s="44">
        <v>13953232.98</v>
      </c>
      <c r="X60" s="44">
        <f t="shared" si="5"/>
        <v>3702004.01</v>
      </c>
      <c r="Y60" s="44"/>
      <c r="Z60" s="44">
        <v>15362457.93</v>
      </c>
      <c r="AA60" s="44">
        <v>18882619.25</v>
      </c>
      <c r="AB60" s="44">
        <f t="shared" si="6"/>
        <v>3520161.3200000003</v>
      </c>
      <c r="AC60" s="44"/>
      <c r="AD60" s="44">
        <v>28224394.620000001</v>
      </c>
      <c r="AE60" s="44">
        <v>8392671.3200000003</v>
      </c>
      <c r="AF60" s="44">
        <f t="shared" si="7"/>
        <v>-19831723.300000001</v>
      </c>
      <c r="AG60" s="44"/>
      <c r="AH60" s="44">
        <v>8944909.9600000009</v>
      </c>
      <c r="AI60" s="44">
        <v>10334564.310000001</v>
      </c>
      <c r="AJ60" s="44">
        <f t="shared" si="8"/>
        <v>1389654.3499999996</v>
      </c>
      <c r="AK60" s="44"/>
      <c r="AL60" s="44">
        <v>133921713.87</v>
      </c>
      <c r="AM60" s="44">
        <v>92707636.349999994</v>
      </c>
      <c r="AN60" s="44">
        <f t="shared" si="9"/>
        <v>-41214077.520000011</v>
      </c>
      <c r="AO60" s="44"/>
      <c r="AP60" s="44">
        <v>-152220889.80000001</v>
      </c>
      <c r="AQ60" s="44">
        <v>-127235484.73999999</v>
      </c>
      <c r="AR60" s="44">
        <f t="shared" si="10"/>
        <v>24985405.060000017</v>
      </c>
      <c r="AS60" s="44"/>
      <c r="AT60" s="44">
        <v>-15900105.890000001</v>
      </c>
      <c r="AU60" s="44">
        <v>-22358774.199999999</v>
      </c>
    </row>
    <row r="61" spans="1:47" x14ac:dyDescent="0.25">
      <c r="A61" s="34" t="s">
        <v>60</v>
      </c>
      <c r="B61" s="44">
        <v>365200645.68000001</v>
      </c>
      <c r="C61" s="44">
        <v>417728502.82999998</v>
      </c>
      <c r="D61" s="44">
        <f t="shared" si="0"/>
        <v>52527857.149999976</v>
      </c>
      <c r="E61" s="44"/>
      <c r="F61" s="44">
        <v>166010995.84999999</v>
      </c>
      <c r="G61" s="44">
        <v>263182476.22999999</v>
      </c>
      <c r="H61" s="44">
        <f t="shared" si="1"/>
        <v>97171480.379999995</v>
      </c>
      <c r="I61" s="44"/>
      <c r="J61" s="44">
        <v>20461281.16</v>
      </c>
      <c r="K61" s="44">
        <v>46749436.350000001</v>
      </c>
      <c r="L61" s="44">
        <f t="shared" si="2"/>
        <v>26288155.190000001</v>
      </c>
      <c r="M61" s="44"/>
      <c r="N61" s="44">
        <v>16652264.92</v>
      </c>
      <c r="O61" s="44">
        <v>33062243.16</v>
      </c>
      <c r="P61" s="44">
        <f t="shared" si="3"/>
        <v>16409978.24</v>
      </c>
      <c r="Q61" s="44"/>
      <c r="R61" s="44">
        <v>23231268.109999999</v>
      </c>
      <c r="S61" s="44">
        <v>37216205.100000001</v>
      </c>
      <c r="T61" s="44">
        <f t="shared" si="4"/>
        <v>13984936.990000002</v>
      </c>
      <c r="U61" s="44"/>
      <c r="V61" s="44">
        <v>15722116.67</v>
      </c>
      <c r="W61" s="44">
        <v>39347625.189999998</v>
      </c>
      <c r="X61" s="44">
        <f t="shared" si="5"/>
        <v>23625508.519999996</v>
      </c>
      <c r="Y61" s="44"/>
      <c r="Z61" s="44">
        <v>29681437.18</v>
      </c>
      <c r="AA61" s="44">
        <v>44729734.170000002</v>
      </c>
      <c r="AB61" s="44">
        <f t="shared" si="6"/>
        <v>15048296.990000002</v>
      </c>
      <c r="AC61" s="44"/>
      <c r="AD61" s="44">
        <v>41191996.329999998</v>
      </c>
      <c r="AE61" s="44">
        <v>40379974.68</v>
      </c>
      <c r="AF61" s="44">
        <f t="shared" si="7"/>
        <v>-812021.64999999851</v>
      </c>
      <c r="AG61" s="44"/>
      <c r="AH61" s="44">
        <v>19070631.48</v>
      </c>
      <c r="AI61" s="44">
        <v>21697257.579999998</v>
      </c>
      <c r="AJ61" s="44">
        <f t="shared" si="8"/>
        <v>2626626.0999999978</v>
      </c>
      <c r="AK61" s="44"/>
      <c r="AL61" s="44">
        <v>153496993.56</v>
      </c>
      <c r="AM61" s="44">
        <v>116171863.70999999</v>
      </c>
      <c r="AN61" s="44">
        <f t="shared" si="9"/>
        <v>-37325129.850000009</v>
      </c>
      <c r="AO61" s="44"/>
      <c r="AP61" s="44">
        <v>35917939.270000003</v>
      </c>
      <c r="AQ61" s="44">
        <v>26158841.870000001</v>
      </c>
      <c r="AR61" s="44">
        <f t="shared" si="10"/>
        <v>-9759097.4000000022</v>
      </c>
      <c r="AS61" s="44"/>
      <c r="AT61" s="44">
        <v>9774717</v>
      </c>
      <c r="AU61" s="44">
        <v>12215321.02</v>
      </c>
    </row>
    <row r="62" spans="1:47" x14ac:dyDescent="0.25">
      <c r="A62" s="36" t="s">
        <v>61</v>
      </c>
      <c r="B62" s="44">
        <v>1221480</v>
      </c>
      <c r="C62" s="44">
        <v>75687851.090000004</v>
      </c>
      <c r="D62" s="44">
        <f t="shared" si="0"/>
        <v>74466371.090000004</v>
      </c>
      <c r="E62" s="44"/>
      <c r="F62" s="44">
        <v>1020000</v>
      </c>
      <c r="G62" s="44">
        <v>70646493.090000004</v>
      </c>
      <c r="H62" s="44">
        <f t="shared" si="1"/>
        <v>69626493.090000004</v>
      </c>
      <c r="I62" s="44"/>
      <c r="J62" s="45"/>
      <c r="K62" s="44">
        <v>16820164.039999999</v>
      </c>
      <c r="L62" s="44">
        <f t="shared" si="2"/>
        <v>16820164.039999999</v>
      </c>
      <c r="M62" s="44"/>
      <c r="N62" s="45"/>
      <c r="O62" s="44">
        <v>6928128.4900000002</v>
      </c>
      <c r="P62" s="44">
        <f t="shared" si="3"/>
        <v>6928128.4900000002</v>
      </c>
      <c r="Q62" s="44"/>
      <c r="R62" s="45"/>
      <c r="S62" s="44">
        <v>9039513.6300000008</v>
      </c>
      <c r="T62" s="44">
        <f t="shared" si="4"/>
        <v>9039513.6300000008</v>
      </c>
      <c r="U62" s="44"/>
      <c r="V62" s="45"/>
      <c r="W62" s="44">
        <v>12557595.68</v>
      </c>
      <c r="X62" s="44">
        <f t="shared" si="5"/>
        <v>12557595.68</v>
      </c>
      <c r="Y62" s="44"/>
      <c r="Z62" s="45"/>
      <c r="AA62" s="44">
        <v>15828355.949999999</v>
      </c>
      <c r="AB62" s="44">
        <f t="shared" si="6"/>
        <v>15828355.949999999</v>
      </c>
      <c r="AC62" s="44"/>
      <c r="AD62" s="44">
        <v>1020000</v>
      </c>
      <c r="AE62" s="44">
        <v>7790360.04</v>
      </c>
      <c r="AF62" s="44">
        <f t="shared" si="7"/>
        <v>6770360.04</v>
      </c>
      <c r="AG62" s="44"/>
      <c r="AH62" s="45"/>
      <c r="AI62" s="44">
        <v>1682375.26</v>
      </c>
      <c r="AJ62" s="44">
        <f t="shared" si="8"/>
        <v>1682375.26</v>
      </c>
      <c r="AK62" s="44"/>
      <c r="AL62" s="45"/>
      <c r="AM62" s="44">
        <v>1520783.73</v>
      </c>
      <c r="AN62" s="44">
        <f t="shared" si="9"/>
        <v>1520783.73</v>
      </c>
      <c r="AO62" s="44"/>
      <c r="AP62" s="44">
        <v>201480</v>
      </c>
      <c r="AQ62" s="44">
        <v>201480</v>
      </c>
      <c r="AR62" s="44">
        <f t="shared" si="10"/>
        <v>0</v>
      </c>
      <c r="AS62" s="44"/>
      <c r="AT62" s="45"/>
      <c r="AU62" s="44">
        <v>3319094.27</v>
      </c>
    </row>
    <row r="63" spans="1:47" x14ac:dyDescent="0.25">
      <c r="A63" s="37" t="s">
        <v>62</v>
      </c>
      <c r="B63" s="47"/>
      <c r="C63" s="46">
        <v>21522604.309999999</v>
      </c>
      <c r="D63" s="46">
        <f t="shared" si="0"/>
        <v>21522604.309999999</v>
      </c>
      <c r="E63" s="46"/>
      <c r="F63" s="47"/>
      <c r="G63" s="46">
        <v>20714161.600000001</v>
      </c>
      <c r="H63" s="46">
        <f t="shared" si="1"/>
        <v>20714161.600000001</v>
      </c>
      <c r="I63" s="46"/>
      <c r="J63" s="47"/>
      <c r="K63" s="46">
        <v>4216990.95</v>
      </c>
      <c r="L63" s="46">
        <f t="shared" si="2"/>
        <v>4216990.95</v>
      </c>
      <c r="M63" s="46"/>
      <c r="N63" s="47"/>
      <c r="O63" s="46">
        <v>1348872.85</v>
      </c>
      <c r="P63" s="46">
        <f t="shared" si="3"/>
        <v>1348872.85</v>
      </c>
      <c r="Q63" s="46"/>
      <c r="R63" s="47"/>
      <c r="S63" s="46">
        <v>4292826</v>
      </c>
      <c r="T63" s="46">
        <f t="shared" si="4"/>
        <v>4292826</v>
      </c>
      <c r="U63" s="46"/>
      <c r="V63" s="47"/>
      <c r="W63" s="46">
        <v>3632728.53</v>
      </c>
      <c r="X63" s="46">
        <f t="shared" si="5"/>
        <v>3632728.53</v>
      </c>
      <c r="Y63" s="46"/>
      <c r="Z63" s="47"/>
      <c r="AA63" s="46">
        <v>5357324.5199999996</v>
      </c>
      <c r="AB63" s="46">
        <f t="shared" si="6"/>
        <v>5357324.5199999996</v>
      </c>
      <c r="AC63" s="46"/>
      <c r="AD63" s="47"/>
      <c r="AE63" s="46">
        <v>297085.42</v>
      </c>
      <c r="AF63" s="46">
        <f t="shared" si="7"/>
        <v>297085.42</v>
      </c>
      <c r="AG63" s="46"/>
      <c r="AH63" s="47"/>
      <c r="AI63" s="46">
        <v>1568333.33</v>
      </c>
      <c r="AJ63" s="46">
        <f t="shared" si="8"/>
        <v>1568333.33</v>
      </c>
      <c r="AK63" s="46"/>
      <c r="AL63" s="47"/>
      <c r="AM63" s="46">
        <v>598756.43999999994</v>
      </c>
      <c r="AN63" s="46">
        <f t="shared" si="9"/>
        <v>598756.43999999994</v>
      </c>
      <c r="AO63" s="46"/>
      <c r="AP63" s="47"/>
      <c r="AQ63" s="47"/>
      <c r="AR63" s="46">
        <f t="shared" si="10"/>
        <v>0</v>
      </c>
      <c r="AS63" s="46"/>
      <c r="AT63" s="47"/>
      <c r="AU63" s="46">
        <v>209686.27</v>
      </c>
    </row>
    <row r="64" spans="1:47" x14ac:dyDescent="0.25">
      <c r="A64" s="37" t="s">
        <v>63</v>
      </c>
      <c r="B64" s="46">
        <v>201480</v>
      </c>
      <c r="C64" s="46">
        <v>17743257.93</v>
      </c>
      <c r="D64" s="46">
        <f t="shared" si="0"/>
        <v>17541777.93</v>
      </c>
      <c r="E64" s="46"/>
      <c r="F64" s="47"/>
      <c r="G64" s="46">
        <v>16619750.640000001</v>
      </c>
      <c r="H64" s="46">
        <f t="shared" si="1"/>
        <v>16619750.640000001</v>
      </c>
      <c r="I64" s="46"/>
      <c r="J64" s="47"/>
      <c r="K64" s="46">
        <v>1137084.5</v>
      </c>
      <c r="L64" s="46">
        <f t="shared" si="2"/>
        <v>1137084.5</v>
      </c>
      <c r="M64" s="46"/>
      <c r="N64" s="47"/>
      <c r="O64" s="46">
        <v>2015451.63</v>
      </c>
      <c r="P64" s="46">
        <f t="shared" si="3"/>
        <v>2015451.63</v>
      </c>
      <c r="Q64" s="46"/>
      <c r="R64" s="47"/>
      <c r="S64" s="46">
        <v>2526187.63</v>
      </c>
      <c r="T64" s="46">
        <f t="shared" si="4"/>
        <v>2526187.63</v>
      </c>
      <c r="U64" s="46"/>
      <c r="V64" s="47"/>
      <c r="W64" s="46">
        <v>3604540.82</v>
      </c>
      <c r="X64" s="46">
        <f t="shared" si="5"/>
        <v>3604540.82</v>
      </c>
      <c r="Y64" s="46"/>
      <c r="Z64" s="47"/>
      <c r="AA64" s="46">
        <v>4617137.34</v>
      </c>
      <c r="AB64" s="46">
        <f t="shared" si="6"/>
        <v>4617137.34</v>
      </c>
      <c r="AC64" s="46"/>
      <c r="AD64" s="47"/>
      <c r="AE64" s="46">
        <v>2605306.79</v>
      </c>
      <c r="AF64" s="46">
        <f t="shared" si="7"/>
        <v>2605306.79</v>
      </c>
      <c r="AG64" s="46"/>
      <c r="AH64" s="47"/>
      <c r="AI64" s="46">
        <v>114041.93</v>
      </c>
      <c r="AJ64" s="46">
        <f t="shared" si="8"/>
        <v>114041.93</v>
      </c>
      <c r="AK64" s="46"/>
      <c r="AL64" s="47"/>
      <c r="AM64" s="46">
        <v>922027.29</v>
      </c>
      <c r="AN64" s="46">
        <f t="shared" si="9"/>
        <v>922027.29</v>
      </c>
      <c r="AO64" s="46"/>
      <c r="AP64" s="46">
        <v>201480</v>
      </c>
      <c r="AQ64" s="46">
        <v>201480</v>
      </c>
      <c r="AR64" s="46">
        <f t="shared" si="10"/>
        <v>0</v>
      </c>
      <c r="AS64" s="46"/>
      <c r="AT64" s="47"/>
      <c r="AU64" s="47"/>
    </row>
    <row r="65" spans="1:47" x14ac:dyDescent="0.25">
      <c r="A65" s="37" t="s">
        <v>64</v>
      </c>
      <c r="B65" s="46">
        <v>1020000</v>
      </c>
      <c r="C65" s="46">
        <v>36421988.850000001</v>
      </c>
      <c r="D65" s="46">
        <f t="shared" si="0"/>
        <v>35401988.850000001</v>
      </c>
      <c r="E65" s="46"/>
      <c r="F65" s="46">
        <v>1020000</v>
      </c>
      <c r="G65" s="46">
        <v>33312580.850000001</v>
      </c>
      <c r="H65" s="46">
        <f t="shared" si="1"/>
        <v>32292580.850000001</v>
      </c>
      <c r="I65" s="46"/>
      <c r="J65" s="47"/>
      <c r="K65" s="46">
        <v>11466088.59</v>
      </c>
      <c r="L65" s="46">
        <f t="shared" si="2"/>
        <v>11466088.59</v>
      </c>
      <c r="M65" s="46"/>
      <c r="N65" s="47"/>
      <c r="O65" s="46">
        <v>3563804.01</v>
      </c>
      <c r="P65" s="46">
        <f t="shared" si="3"/>
        <v>3563804.01</v>
      </c>
      <c r="Q65" s="46"/>
      <c r="R65" s="47"/>
      <c r="S65" s="46">
        <v>2220500</v>
      </c>
      <c r="T65" s="46">
        <f t="shared" si="4"/>
        <v>2220500</v>
      </c>
      <c r="U65" s="46"/>
      <c r="V65" s="47"/>
      <c r="W65" s="46">
        <v>5320326.33</v>
      </c>
      <c r="X65" s="46">
        <f t="shared" si="5"/>
        <v>5320326.33</v>
      </c>
      <c r="Y65" s="46"/>
      <c r="Z65" s="47"/>
      <c r="AA65" s="46">
        <v>5853894.0899999999</v>
      </c>
      <c r="AB65" s="46">
        <f t="shared" si="6"/>
        <v>5853894.0899999999</v>
      </c>
      <c r="AC65" s="46"/>
      <c r="AD65" s="46">
        <v>1020000</v>
      </c>
      <c r="AE65" s="46">
        <v>4887967.83</v>
      </c>
      <c r="AF65" s="46">
        <f t="shared" si="7"/>
        <v>3867967.83</v>
      </c>
      <c r="AG65" s="46"/>
      <c r="AH65" s="47"/>
      <c r="AI65" s="47"/>
      <c r="AJ65" s="46">
        <f t="shared" si="8"/>
        <v>0</v>
      </c>
      <c r="AK65" s="46"/>
      <c r="AL65" s="47"/>
      <c r="AM65" s="47"/>
      <c r="AN65" s="46">
        <f t="shared" si="9"/>
        <v>0</v>
      </c>
      <c r="AO65" s="46"/>
      <c r="AP65" s="47"/>
      <c r="AQ65" s="47"/>
      <c r="AR65" s="46">
        <f t="shared" si="10"/>
        <v>0</v>
      </c>
      <c r="AS65" s="46"/>
      <c r="AT65" s="47"/>
      <c r="AU65" s="46">
        <v>3109408</v>
      </c>
    </row>
    <row r="66" spans="1:47" x14ac:dyDescent="0.25">
      <c r="A66" s="36" t="s">
        <v>65</v>
      </c>
      <c r="B66" s="45"/>
      <c r="C66" s="44">
        <v>18117120.219999999</v>
      </c>
      <c r="D66" s="44">
        <f t="shared" si="0"/>
        <v>18117120.219999999</v>
      </c>
      <c r="E66" s="44"/>
      <c r="F66" s="45"/>
      <c r="G66" s="44">
        <v>11224501.26</v>
      </c>
      <c r="H66" s="44">
        <f t="shared" si="1"/>
        <v>11224501.26</v>
      </c>
      <c r="I66" s="44"/>
      <c r="J66" s="45"/>
      <c r="K66" s="44">
        <v>2024051.48</v>
      </c>
      <c r="L66" s="44">
        <f t="shared" si="2"/>
        <v>2024051.48</v>
      </c>
      <c r="M66" s="44"/>
      <c r="N66" s="45"/>
      <c r="O66" s="44">
        <v>1024440.07</v>
      </c>
      <c r="P66" s="44">
        <f t="shared" si="3"/>
        <v>1024440.07</v>
      </c>
      <c r="Q66" s="44"/>
      <c r="R66" s="45"/>
      <c r="S66" s="44">
        <v>3663732.22</v>
      </c>
      <c r="T66" s="44">
        <f t="shared" si="4"/>
        <v>3663732.22</v>
      </c>
      <c r="U66" s="44"/>
      <c r="V66" s="45"/>
      <c r="W66" s="44">
        <v>942943.42</v>
      </c>
      <c r="X66" s="44">
        <f t="shared" si="5"/>
        <v>942943.42</v>
      </c>
      <c r="Y66" s="44"/>
      <c r="Z66" s="45"/>
      <c r="AA66" s="44">
        <v>1983420.39</v>
      </c>
      <c r="AB66" s="44">
        <f t="shared" si="6"/>
        <v>1983420.39</v>
      </c>
      <c r="AC66" s="44"/>
      <c r="AD66" s="45"/>
      <c r="AE66" s="44">
        <v>1361355.81</v>
      </c>
      <c r="AF66" s="44">
        <f t="shared" si="7"/>
        <v>1361355.81</v>
      </c>
      <c r="AG66" s="44"/>
      <c r="AH66" s="45"/>
      <c r="AI66" s="44">
        <v>224557.87</v>
      </c>
      <c r="AJ66" s="44">
        <f t="shared" si="8"/>
        <v>224557.87</v>
      </c>
      <c r="AK66" s="44"/>
      <c r="AL66" s="45"/>
      <c r="AM66" s="44">
        <v>6892618.96</v>
      </c>
      <c r="AN66" s="44">
        <f t="shared" si="9"/>
        <v>6892618.96</v>
      </c>
      <c r="AO66" s="44"/>
      <c r="AP66" s="45"/>
      <c r="AQ66" s="45"/>
      <c r="AR66" s="44">
        <f t="shared" si="10"/>
        <v>0</v>
      </c>
      <c r="AS66" s="44"/>
      <c r="AT66" s="45"/>
      <c r="AU66" s="45"/>
    </row>
    <row r="67" spans="1:47" ht="22.5" x14ac:dyDescent="0.25">
      <c r="A67" s="37" t="s">
        <v>66</v>
      </c>
      <c r="B67" s="47"/>
      <c r="C67" s="46">
        <v>5982749.4199999999</v>
      </c>
      <c r="D67" s="46">
        <f t="shared" si="0"/>
        <v>5982749.4199999999</v>
      </c>
      <c r="E67" s="46"/>
      <c r="F67" s="47"/>
      <c r="G67" s="46">
        <v>2779688.98</v>
      </c>
      <c r="H67" s="46">
        <f t="shared" si="1"/>
        <v>2779688.98</v>
      </c>
      <c r="I67" s="46"/>
      <c r="J67" s="47"/>
      <c r="K67" s="46">
        <v>779377.32</v>
      </c>
      <c r="L67" s="46">
        <f t="shared" si="2"/>
        <v>779377.32</v>
      </c>
      <c r="M67" s="46"/>
      <c r="N67" s="47"/>
      <c r="O67" s="46">
        <v>15176.06</v>
      </c>
      <c r="P67" s="46">
        <f t="shared" si="3"/>
        <v>15176.06</v>
      </c>
      <c r="Q67" s="46"/>
      <c r="R67" s="47"/>
      <c r="S67" s="46">
        <v>449794.45</v>
      </c>
      <c r="T67" s="46">
        <f t="shared" si="4"/>
        <v>449794.45</v>
      </c>
      <c r="U67" s="46"/>
      <c r="V67" s="47"/>
      <c r="W67" s="46">
        <v>282148.06</v>
      </c>
      <c r="X67" s="46">
        <f t="shared" si="5"/>
        <v>282148.06</v>
      </c>
      <c r="Y67" s="46"/>
      <c r="Z67" s="47"/>
      <c r="AA67" s="46">
        <v>885500</v>
      </c>
      <c r="AB67" s="46">
        <f t="shared" si="6"/>
        <v>885500</v>
      </c>
      <c r="AC67" s="46"/>
      <c r="AD67" s="47"/>
      <c r="AE67" s="46">
        <v>364952</v>
      </c>
      <c r="AF67" s="46">
        <f t="shared" si="7"/>
        <v>364952</v>
      </c>
      <c r="AG67" s="46"/>
      <c r="AH67" s="47"/>
      <c r="AI67" s="46">
        <v>2741.09</v>
      </c>
      <c r="AJ67" s="46">
        <f t="shared" si="8"/>
        <v>2741.09</v>
      </c>
      <c r="AK67" s="46"/>
      <c r="AL67" s="47"/>
      <c r="AM67" s="46">
        <v>3203060.44</v>
      </c>
      <c r="AN67" s="46">
        <f t="shared" si="9"/>
        <v>3203060.44</v>
      </c>
      <c r="AO67" s="46"/>
      <c r="AP67" s="47"/>
      <c r="AQ67" s="47"/>
      <c r="AR67" s="46">
        <f t="shared" si="10"/>
        <v>0</v>
      </c>
      <c r="AS67" s="46"/>
      <c r="AT67" s="47"/>
      <c r="AU67" s="47"/>
    </row>
    <row r="68" spans="1:47" ht="22.5" x14ac:dyDescent="0.25">
      <c r="A68" s="37" t="s">
        <v>67</v>
      </c>
      <c r="B68" s="47"/>
      <c r="C68" s="46">
        <v>9137510.6500000004</v>
      </c>
      <c r="D68" s="46">
        <f t="shared" si="0"/>
        <v>9137510.6500000004</v>
      </c>
      <c r="E68" s="46"/>
      <c r="F68" s="47"/>
      <c r="G68" s="46">
        <v>8444812.2799999993</v>
      </c>
      <c r="H68" s="46">
        <f t="shared" si="1"/>
        <v>8444812.2799999993</v>
      </c>
      <c r="I68" s="46"/>
      <c r="J68" s="47"/>
      <c r="K68" s="46">
        <v>1244674.1599999999</v>
      </c>
      <c r="L68" s="46">
        <f t="shared" si="2"/>
        <v>1244674.1599999999</v>
      </c>
      <c r="M68" s="46"/>
      <c r="N68" s="47"/>
      <c r="O68" s="46">
        <v>1009264.01</v>
      </c>
      <c r="P68" s="46">
        <f t="shared" si="3"/>
        <v>1009264.01</v>
      </c>
      <c r="Q68" s="46"/>
      <c r="R68" s="47"/>
      <c r="S68" s="46">
        <v>3213937.77</v>
      </c>
      <c r="T68" s="46">
        <f t="shared" si="4"/>
        <v>3213937.77</v>
      </c>
      <c r="U68" s="46"/>
      <c r="V68" s="47"/>
      <c r="W68" s="46">
        <v>660795.36</v>
      </c>
      <c r="X68" s="46">
        <f t="shared" si="5"/>
        <v>660795.36</v>
      </c>
      <c r="Y68" s="46"/>
      <c r="Z68" s="47"/>
      <c r="AA68" s="46">
        <v>1097920.3899999999</v>
      </c>
      <c r="AB68" s="46">
        <f t="shared" si="6"/>
        <v>1097920.3899999999</v>
      </c>
      <c r="AC68" s="46"/>
      <c r="AD68" s="47"/>
      <c r="AE68" s="46">
        <v>996403.81</v>
      </c>
      <c r="AF68" s="46">
        <f t="shared" si="7"/>
        <v>996403.81</v>
      </c>
      <c r="AG68" s="46"/>
      <c r="AH68" s="47"/>
      <c r="AI68" s="46">
        <v>221816.78</v>
      </c>
      <c r="AJ68" s="46">
        <f t="shared" si="8"/>
        <v>221816.78</v>
      </c>
      <c r="AK68" s="46"/>
      <c r="AL68" s="47"/>
      <c r="AM68" s="46">
        <v>692698.37</v>
      </c>
      <c r="AN68" s="46">
        <f t="shared" si="9"/>
        <v>692698.37</v>
      </c>
      <c r="AO68" s="46"/>
      <c r="AP68" s="47"/>
      <c r="AQ68" s="47"/>
      <c r="AR68" s="46">
        <f t="shared" si="10"/>
        <v>0</v>
      </c>
      <c r="AS68" s="46"/>
      <c r="AT68" s="47"/>
      <c r="AU68" s="47"/>
    </row>
    <row r="69" spans="1:47" ht="22.5" x14ac:dyDescent="0.25">
      <c r="A69" s="37" t="s">
        <v>68</v>
      </c>
      <c r="B69" s="47"/>
      <c r="C69" s="46">
        <v>2996860.15</v>
      </c>
      <c r="D69" s="46">
        <f t="shared" si="0"/>
        <v>2996860.15</v>
      </c>
      <c r="E69" s="46"/>
      <c r="F69" s="47"/>
      <c r="G69" s="47"/>
      <c r="H69" s="46">
        <f t="shared" si="1"/>
        <v>0</v>
      </c>
      <c r="I69" s="46"/>
      <c r="J69" s="47"/>
      <c r="K69" s="47"/>
      <c r="L69" s="46">
        <f t="shared" si="2"/>
        <v>0</v>
      </c>
      <c r="M69" s="46"/>
      <c r="N69" s="47"/>
      <c r="O69" s="47"/>
      <c r="P69" s="46">
        <f t="shared" si="3"/>
        <v>0</v>
      </c>
      <c r="Q69" s="46"/>
      <c r="R69" s="47"/>
      <c r="S69" s="47"/>
      <c r="T69" s="46">
        <f t="shared" si="4"/>
        <v>0</v>
      </c>
      <c r="U69" s="46"/>
      <c r="V69" s="47"/>
      <c r="W69" s="47"/>
      <c r="X69" s="46">
        <f t="shared" si="5"/>
        <v>0</v>
      </c>
      <c r="Y69" s="46"/>
      <c r="Z69" s="47"/>
      <c r="AA69" s="47"/>
      <c r="AB69" s="46">
        <f t="shared" si="6"/>
        <v>0</v>
      </c>
      <c r="AC69" s="46"/>
      <c r="AD69" s="47"/>
      <c r="AE69" s="47"/>
      <c r="AF69" s="46">
        <f t="shared" si="7"/>
        <v>0</v>
      </c>
      <c r="AG69" s="46"/>
      <c r="AH69" s="47"/>
      <c r="AI69" s="47"/>
      <c r="AJ69" s="46">
        <f t="shared" si="8"/>
        <v>0</v>
      </c>
      <c r="AK69" s="46"/>
      <c r="AL69" s="47"/>
      <c r="AM69" s="46">
        <v>2996860.15</v>
      </c>
      <c r="AN69" s="46">
        <f t="shared" si="9"/>
        <v>2996860.15</v>
      </c>
      <c r="AO69" s="46"/>
      <c r="AP69" s="47"/>
      <c r="AQ69" s="47"/>
      <c r="AR69" s="46">
        <f t="shared" si="10"/>
        <v>0</v>
      </c>
      <c r="AS69" s="46"/>
      <c r="AT69" s="47"/>
      <c r="AU69" s="47"/>
    </row>
    <row r="70" spans="1:47" x14ac:dyDescent="0.25">
      <c r="A70" s="36" t="s">
        <v>69</v>
      </c>
      <c r="B70" s="45"/>
      <c r="C70" s="44">
        <v>8636076.9100000001</v>
      </c>
      <c r="D70" s="44">
        <f t="shared" si="0"/>
        <v>8636076.9100000001</v>
      </c>
      <c r="E70" s="44"/>
      <c r="F70" s="45"/>
      <c r="G70" s="44">
        <v>6610689.5599999996</v>
      </c>
      <c r="H70" s="44">
        <f t="shared" si="1"/>
        <v>6610689.5599999996</v>
      </c>
      <c r="I70" s="44"/>
      <c r="J70" s="45"/>
      <c r="K70" s="44">
        <v>428630.51</v>
      </c>
      <c r="L70" s="44">
        <f t="shared" si="2"/>
        <v>428630.51</v>
      </c>
      <c r="M70" s="44"/>
      <c r="N70" s="45"/>
      <c r="O70" s="44">
        <v>1938781.97</v>
      </c>
      <c r="P70" s="44">
        <f t="shared" si="3"/>
        <v>1938781.97</v>
      </c>
      <c r="Q70" s="44"/>
      <c r="R70" s="45"/>
      <c r="S70" s="44">
        <v>1120161.47</v>
      </c>
      <c r="T70" s="44">
        <f t="shared" si="4"/>
        <v>1120161.47</v>
      </c>
      <c r="U70" s="44"/>
      <c r="V70" s="45"/>
      <c r="W70" s="44">
        <v>2799079.68</v>
      </c>
      <c r="X70" s="44">
        <f t="shared" si="5"/>
        <v>2799079.68</v>
      </c>
      <c r="Y70" s="44"/>
      <c r="Z70" s="45"/>
      <c r="AA70" s="44">
        <v>252422.88</v>
      </c>
      <c r="AB70" s="44">
        <f t="shared" si="6"/>
        <v>252422.88</v>
      </c>
      <c r="AC70" s="44"/>
      <c r="AD70" s="45"/>
      <c r="AE70" s="44">
        <v>53292.41</v>
      </c>
      <c r="AF70" s="44">
        <f t="shared" si="7"/>
        <v>53292.41</v>
      </c>
      <c r="AG70" s="44"/>
      <c r="AH70" s="45"/>
      <c r="AI70" s="44">
        <v>18320.64</v>
      </c>
      <c r="AJ70" s="44">
        <f t="shared" si="8"/>
        <v>18320.64</v>
      </c>
      <c r="AK70" s="44"/>
      <c r="AL70" s="45"/>
      <c r="AM70" s="44">
        <v>2025387.35</v>
      </c>
      <c r="AN70" s="44">
        <f t="shared" si="9"/>
        <v>2025387.35</v>
      </c>
      <c r="AO70" s="44"/>
      <c r="AP70" s="45"/>
      <c r="AQ70" s="45"/>
      <c r="AR70" s="44">
        <f t="shared" si="10"/>
        <v>0</v>
      </c>
      <c r="AS70" s="44"/>
      <c r="AT70" s="45"/>
      <c r="AU70" s="45"/>
    </row>
    <row r="71" spans="1:47" x14ac:dyDescent="0.25">
      <c r="A71" s="37" t="s">
        <v>70</v>
      </c>
      <c r="B71" s="47"/>
      <c r="C71" s="46">
        <v>1107529.49</v>
      </c>
      <c r="D71" s="46">
        <f t="shared" si="0"/>
        <v>1107529.49</v>
      </c>
      <c r="E71" s="46"/>
      <c r="F71" s="47"/>
      <c r="G71" s="46">
        <v>418974.89</v>
      </c>
      <c r="H71" s="46">
        <f t="shared" si="1"/>
        <v>418974.89</v>
      </c>
      <c r="I71" s="46"/>
      <c r="J71" s="47"/>
      <c r="K71" s="46">
        <v>20071.28</v>
      </c>
      <c r="L71" s="46">
        <f t="shared" si="2"/>
        <v>20071.28</v>
      </c>
      <c r="M71" s="46"/>
      <c r="N71" s="47"/>
      <c r="O71" s="46">
        <v>113215.86</v>
      </c>
      <c r="P71" s="46">
        <f t="shared" si="3"/>
        <v>113215.86</v>
      </c>
      <c r="Q71" s="46"/>
      <c r="R71" s="47"/>
      <c r="S71" s="46">
        <v>50485.120000000003</v>
      </c>
      <c r="T71" s="46">
        <f t="shared" si="4"/>
        <v>50485.120000000003</v>
      </c>
      <c r="U71" s="46"/>
      <c r="V71" s="47"/>
      <c r="W71" s="46">
        <v>228700.38</v>
      </c>
      <c r="X71" s="46">
        <f t="shared" si="5"/>
        <v>228700.38</v>
      </c>
      <c r="Y71" s="46"/>
      <c r="Z71" s="47"/>
      <c r="AA71" s="46">
        <v>-5577.12</v>
      </c>
      <c r="AB71" s="46">
        <f t="shared" si="6"/>
        <v>-5577.12</v>
      </c>
      <c r="AC71" s="46"/>
      <c r="AD71" s="47"/>
      <c r="AE71" s="46">
        <v>3660.27</v>
      </c>
      <c r="AF71" s="46">
        <f t="shared" si="7"/>
        <v>3660.27</v>
      </c>
      <c r="AG71" s="46"/>
      <c r="AH71" s="47"/>
      <c r="AI71" s="46">
        <v>8419.1</v>
      </c>
      <c r="AJ71" s="46">
        <f t="shared" si="8"/>
        <v>8419.1</v>
      </c>
      <c r="AK71" s="46"/>
      <c r="AL71" s="47"/>
      <c r="AM71" s="46">
        <v>688554.6</v>
      </c>
      <c r="AN71" s="46">
        <f t="shared" si="9"/>
        <v>688554.6</v>
      </c>
      <c r="AO71" s="46"/>
      <c r="AP71" s="47"/>
      <c r="AQ71" s="47"/>
      <c r="AR71" s="46">
        <f t="shared" si="10"/>
        <v>0</v>
      </c>
      <c r="AS71" s="46"/>
      <c r="AT71" s="47"/>
      <c r="AU71" s="47"/>
    </row>
    <row r="72" spans="1:47" x14ac:dyDescent="0.25">
      <c r="A72" s="37" t="s">
        <v>71</v>
      </c>
      <c r="B72" s="47"/>
      <c r="C72" s="46">
        <v>744213.19</v>
      </c>
      <c r="D72" s="46">
        <f t="shared" si="0"/>
        <v>744213.19</v>
      </c>
      <c r="E72" s="46"/>
      <c r="F72" s="47"/>
      <c r="G72" s="46">
        <v>574096.06999999995</v>
      </c>
      <c r="H72" s="46">
        <f t="shared" si="1"/>
        <v>574096.06999999995</v>
      </c>
      <c r="I72" s="46"/>
      <c r="J72" s="47"/>
      <c r="K72" s="46">
        <v>80000</v>
      </c>
      <c r="L72" s="46">
        <f t="shared" si="2"/>
        <v>80000</v>
      </c>
      <c r="M72" s="46"/>
      <c r="N72" s="47"/>
      <c r="O72" s="46">
        <v>316996.12</v>
      </c>
      <c r="P72" s="46">
        <f t="shared" si="3"/>
        <v>316996.12</v>
      </c>
      <c r="Q72" s="46"/>
      <c r="R72" s="47"/>
      <c r="S72" s="46">
        <v>19449.740000000002</v>
      </c>
      <c r="T72" s="46">
        <f t="shared" si="4"/>
        <v>19449.740000000002</v>
      </c>
      <c r="U72" s="46"/>
      <c r="V72" s="47"/>
      <c r="W72" s="46">
        <v>64477.74</v>
      </c>
      <c r="X72" s="46">
        <f t="shared" si="5"/>
        <v>64477.74</v>
      </c>
      <c r="Y72" s="46"/>
      <c r="Z72" s="47"/>
      <c r="AA72" s="46">
        <v>48000</v>
      </c>
      <c r="AB72" s="46">
        <f t="shared" si="6"/>
        <v>48000</v>
      </c>
      <c r="AC72" s="46"/>
      <c r="AD72" s="47"/>
      <c r="AE72" s="46">
        <v>45172.47</v>
      </c>
      <c r="AF72" s="46">
        <f t="shared" si="7"/>
        <v>45172.47</v>
      </c>
      <c r="AG72" s="46"/>
      <c r="AH72" s="47"/>
      <c r="AI72" s="47"/>
      <c r="AJ72" s="46">
        <f t="shared" si="8"/>
        <v>0</v>
      </c>
      <c r="AK72" s="46"/>
      <c r="AL72" s="47"/>
      <c r="AM72" s="46">
        <v>170117.12</v>
      </c>
      <c r="AN72" s="46">
        <f t="shared" si="9"/>
        <v>170117.12</v>
      </c>
      <c r="AO72" s="46"/>
      <c r="AP72" s="47"/>
      <c r="AQ72" s="47"/>
      <c r="AR72" s="46">
        <f t="shared" si="10"/>
        <v>0</v>
      </c>
      <c r="AS72" s="46"/>
      <c r="AT72" s="47"/>
      <c r="AU72" s="47"/>
    </row>
    <row r="73" spans="1:47" x14ac:dyDescent="0.25">
      <c r="A73" s="37" t="s">
        <v>72</v>
      </c>
      <c r="B73" s="47"/>
      <c r="C73" s="46">
        <v>6784334.2300000004</v>
      </c>
      <c r="D73" s="46">
        <f t="shared" ref="D73:D136" si="11">C73-B73</f>
        <v>6784334.2300000004</v>
      </c>
      <c r="E73" s="46"/>
      <c r="F73" s="47"/>
      <c r="G73" s="46">
        <v>5617618.5999999996</v>
      </c>
      <c r="H73" s="46">
        <f t="shared" ref="H73:H136" si="12">G73-F73</f>
        <v>5617618.5999999996</v>
      </c>
      <c r="I73" s="46"/>
      <c r="J73" s="47"/>
      <c r="K73" s="46">
        <v>328559.23</v>
      </c>
      <c r="L73" s="46">
        <f t="shared" ref="L73:L136" si="13">K73-J73</f>
        <v>328559.23</v>
      </c>
      <c r="M73" s="46"/>
      <c r="N73" s="47"/>
      <c r="O73" s="46">
        <v>1508569.99</v>
      </c>
      <c r="P73" s="46">
        <f t="shared" ref="P73:P136" si="14">O73-N73</f>
        <v>1508569.99</v>
      </c>
      <c r="Q73" s="46"/>
      <c r="R73" s="47"/>
      <c r="S73" s="46">
        <v>1050226.6100000001</v>
      </c>
      <c r="T73" s="46">
        <f t="shared" ref="T73:T136" si="15">S73-R73</f>
        <v>1050226.6100000001</v>
      </c>
      <c r="U73" s="46"/>
      <c r="V73" s="47"/>
      <c r="W73" s="46">
        <v>2505901.56</v>
      </c>
      <c r="X73" s="46">
        <f t="shared" ref="X73:X136" si="16">W73-V73</f>
        <v>2505901.56</v>
      </c>
      <c r="Y73" s="46"/>
      <c r="Z73" s="47"/>
      <c r="AA73" s="46">
        <v>210000</v>
      </c>
      <c r="AB73" s="46">
        <f t="shared" ref="AB73:AB136" si="17">AA73-Z73</f>
        <v>210000</v>
      </c>
      <c r="AC73" s="46"/>
      <c r="AD73" s="47"/>
      <c r="AE73" s="46">
        <v>4459.67</v>
      </c>
      <c r="AF73" s="46">
        <f t="shared" ref="AF73:AF136" si="18">AE73-AD73</f>
        <v>4459.67</v>
      </c>
      <c r="AG73" s="46"/>
      <c r="AH73" s="47"/>
      <c r="AI73" s="46">
        <v>9901.5400000000009</v>
      </c>
      <c r="AJ73" s="46">
        <f t="shared" ref="AJ73:AJ136" si="19">AI73-AH73</f>
        <v>9901.5400000000009</v>
      </c>
      <c r="AK73" s="46"/>
      <c r="AL73" s="47"/>
      <c r="AM73" s="46">
        <v>1166715.6299999999</v>
      </c>
      <c r="AN73" s="46">
        <f t="shared" ref="AN73:AN136" si="20">AM73-AL73</f>
        <v>1166715.6299999999</v>
      </c>
      <c r="AO73" s="46"/>
      <c r="AP73" s="47"/>
      <c r="AQ73" s="47"/>
      <c r="AR73" s="46">
        <f t="shared" ref="AR73:AR136" si="21">AQ73-AP73</f>
        <v>0</v>
      </c>
      <c r="AS73" s="46"/>
      <c r="AT73" s="47"/>
      <c r="AU73" s="47"/>
    </row>
    <row r="74" spans="1:47" ht="22.5" x14ac:dyDescent="0.25">
      <c r="A74" s="36" t="s">
        <v>73</v>
      </c>
      <c r="B74" s="44">
        <v>363160165.68000001</v>
      </c>
      <c r="C74" s="44">
        <v>306025897.12</v>
      </c>
      <c r="D74" s="44">
        <f t="shared" si="11"/>
        <v>-57134268.560000002</v>
      </c>
      <c r="E74" s="44"/>
      <c r="F74" s="44">
        <v>164171995.84999999</v>
      </c>
      <c r="G74" s="44">
        <v>169035514.63</v>
      </c>
      <c r="H74" s="44">
        <f t="shared" si="12"/>
        <v>4863518.7800000012</v>
      </c>
      <c r="I74" s="44"/>
      <c r="J74" s="44">
        <v>20461281.16</v>
      </c>
      <c r="K74" s="44">
        <v>25062262.550000001</v>
      </c>
      <c r="L74" s="44">
        <f t="shared" si="13"/>
        <v>4600981.3900000006</v>
      </c>
      <c r="M74" s="44"/>
      <c r="N74" s="44">
        <v>16652264.92</v>
      </c>
      <c r="O74" s="44">
        <v>22380845.359999999</v>
      </c>
      <c r="P74" s="44">
        <f t="shared" si="14"/>
        <v>5728580.4399999995</v>
      </c>
      <c r="Q74" s="44"/>
      <c r="R74" s="44">
        <v>23231268.109999999</v>
      </c>
      <c r="S74" s="44">
        <v>23368425.199999999</v>
      </c>
      <c r="T74" s="44">
        <f t="shared" si="15"/>
        <v>137157.08999999985</v>
      </c>
      <c r="U74" s="44"/>
      <c r="V74" s="44">
        <v>15722116.67</v>
      </c>
      <c r="W74" s="44">
        <v>23015697.149999999</v>
      </c>
      <c r="X74" s="44">
        <f t="shared" si="16"/>
        <v>7293580.4799999986</v>
      </c>
      <c r="Y74" s="44"/>
      <c r="Z74" s="44">
        <v>29681437.18</v>
      </c>
      <c r="AA74" s="44">
        <v>26500197.449999999</v>
      </c>
      <c r="AB74" s="44">
        <f t="shared" si="17"/>
        <v>-3181239.7300000004</v>
      </c>
      <c r="AC74" s="44"/>
      <c r="AD74" s="44">
        <v>39352996.329999998</v>
      </c>
      <c r="AE74" s="44">
        <v>28951671.109999999</v>
      </c>
      <c r="AF74" s="44">
        <f t="shared" si="18"/>
        <v>-10401325.219999999</v>
      </c>
      <c r="AG74" s="44"/>
      <c r="AH74" s="44">
        <v>19070631.48</v>
      </c>
      <c r="AI74" s="44">
        <v>19756415.809999999</v>
      </c>
      <c r="AJ74" s="44">
        <f t="shared" si="19"/>
        <v>685784.32999999821</v>
      </c>
      <c r="AK74" s="44"/>
      <c r="AL74" s="44">
        <v>153496993.56</v>
      </c>
      <c r="AM74" s="44">
        <v>102519384.53</v>
      </c>
      <c r="AN74" s="44">
        <f t="shared" si="20"/>
        <v>-50977609.030000001</v>
      </c>
      <c r="AO74" s="44"/>
      <c r="AP74" s="44">
        <v>35716459.270000003</v>
      </c>
      <c r="AQ74" s="44">
        <v>25925056.890000001</v>
      </c>
      <c r="AR74" s="44">
        <f t="shared" si="21"/>
        <v>-9791402.3800000027</v>
      </c>
      <c r="AS74" s="44"/>
      <c r="AT74" s="44">
        <v>9774717</v>
      </c>
      <c r="AU74" s="44">
        <v>8545941.0700000003</v>
      </c>
    </row>
    <row r="75" spans="1:47" x14ac:dyDescent="0.25">
      <c r="A75" s="39" t="s">
        <v>74</v>
      </c>
      <c r="B75" s="44">
        <v>214059840.31</v>
      </c>
      <c r="C75" s="44">
        <v>107331138.93000001</v>
      </c>
      <c r="D75" s="44">
        <f t="shared" si="11"/>
        <v>-106728701.38</v>
      </c>
      <c r="E75" s="44"/>
      <c r="F75" s="44">
        <v>50614910.210000001</v>
      </c>
      <c r="G75" s="44">
        <v>51672716.25</v>
      </c>
      <c r="H75" s="44">
        <f t="shared" si="12"/>
        <v>1057806.0399999991</v>
      </c>
      <c r="I75" s="44"/>
      <c r="J75" s="44">
        <v>2342894.36</v>
      </c>
      <c r="K75" s="44">
        <v>3732973.44</v>
      </c>
      <c r="L75" s="44">
        <f t="shared" si="13"/>
        <v>1390079.08</v>
      </c>
      <c r="M75" s="44"/>
      <c r="N75" s="44">
        <v>1865986.5</v>
      </c>
      <c r="O75" s="44">
        <v>6726670.9800000004</v>
      </c>
      <c r="P75" s="44">
        <f t="shared" si="14"/>
        <v>4860684.4800000004</v>
      </c>
      <c r="Q75" s="44"/>
      <c r="R75" s="44">
        <v>9131796.1899999995</v>
      </c>
      <c r="S75" s="44">
        <v>9110445.8300000001</v>
      </c>
      <c r="T75" s="44">
        <f t="shared" si="15"/>
        <v>-21350.359999999404</v>
      </c>
      <c r="U75" s="44"/>
      <c r="V75" s="44">
        <v>2031993.22</v>
      </c>
      <c r="W75" s="44">
        <v>9474497.6500000004</v>
      </c>
      <c r="X75" s="44">
        <f t="shared" si="16"/>
        <v>7442504.4300000006</v>
      </c>
      <c r="Y75" s="44"/>
      <c r="Z75" s="44">
        <v>14365465.289999999</v>
      </c>
      <c r="AA75" s="44">
        <v>12407759.880000001</v>
      </c>
      <c r="AB75" s="44">
        <f t="shared" si="17"/>
        <v>-1957705.4099999983</v>
      </c>
      <c r="AC75" s="44"/>
      <c r="AD75" s="44">
        <v>18688334.059999999</v>
      </c>
      <c r="AE75" s="44">
        <v>5700898.0099999998</v>
      </c>
      <c r="AF75" s="44">
        <f t="shared" si="18"/>
        <v>-12987436.049999999</v>
      </c>
      <c r="AG75" s="44"/>
      <c r="AH75" s="44">
        <v>2188440.59</v>
      </c>
      <c r="AI75" s="44">
        <v>4519470.46</v>
      </c>
      <c r="AJ75" s="44">
        <f t="shared" si="19"/>
        <v>2331029.87</v>
      </c>
      <c r="AK75" s="44"/>
      <c r="AL75" s="44">
        <v>153496993.56</v>
      </c>
      <c r="AM75" s="44">
        <v>53695705.469999999</v>
      </c>
      <c r="AN75" s="44">
        <f t="shared" si="20"/>
        <v>-99801288.090000004</v>
      </c>
      <c r="AO75" s="44"/>
      <c r="AP75" s="44">
        <v>173219.54</v>
      </c>
      <c r="AQ75" s="44">
        <v>-6583223.8600000003</v>
      </c>
      <c r="AR75" s="44">
        <f t="shared" si="21"/>
        <v>-6756443.4000000004</v>
      </c>
      <c r="AS75" s="44"/>
      <c r="AT75" s="44">
        <v>9774717</v>
      </c>
      <c r="AU75" s="44">
        <v>8545941.0700000003</v>
      </c>
    </row>
    <row r="76" spans="1:47" ht="22.5" x14ac:dyDescent="0.25">
      <c r="A76" s="40" t="s">
        <v>75</v>
      </c>
      <c r="B76" s="46">
        <v>214059840.31</v>
      </c>
      <c r="C76" s="46">
        <v>79610680.659999996</v>
      </c>
      <c r="D76" s="46">
        <f t="shared" si="11"/>
        <v>-134449159.65000001</v>
      </c>
      <c r="E76" s="46"/>
      <c r="F76" s="46">
        <v>50614910.210000001</v>
      </c>
      <c r="G76" s="46">
        <v>32924571.079999998</v>
      </c>
      <c r="H76" s="46">
        <f t="shared" si="12"/>
        <v>-17690339.130000003</v>
      </c>
      <c r="I76" s="46"/>
      <c r="J76" s="46">
        <v>2342894.36</v>
      </c>
      <c r="K76" s="46">
        <v>1953837.34</v>
      </c>
      <c r="L76" s="46">
        <f t="shared" si="13"/>
        <v>-389057.01999999979</v>
      </c>
      <c r="M76" s="46"/>
      <c r="N76" s="46">
        <v>1865986.5</v>
      </c>
      <c r="O76" s="46">
        <v>3620088.21</v>
      </c>
      <c r="P76" s="46">
        <f t="shared" si="14"/>
        <v>1754101.71</v>
      </c>
      <c r="Q76" s="46"/>
      <c r="R76" s="46">
        <v>9131796.1899999995</v>
      </c>
      <c r="S76" s="46">
        <v>5400393.0199999996</v>
      </c>
      <c r="T76" s="46">
        <f t="shared" si="15"/>
        <v>-3731403.17</v>
      </c>
      <c r="U76" s="46"/>
      <c r="V76" s="46">
        <v>2031993.22</v>
      </c>
      <c r="W76" s="46">
        <v>3738531.16</v>
      </c>
      <c r="X76" s="46">
        <f t="shared" si="16"/>
        <v>1706537.9400000002</v>
      </c>
      <c r="Y76" s="46"/>
      <c r="Z76" s="46">
        <v>14365465.289999999</v>
      </c>
      <c r="AA76" s="46">
        <v>9510209.1400000006</v>
      </c>
      <c r="AB76" s="46">
        <f t="shared" si="17"/>
        <v>-4855256.1499999985</v>
      </c>
      <c r="AC76" s="46"/>
      <c r="AD76" s="46">
        <v>18688334.059999999</v>
      </c>
      <c r="AE76" s="46">
        <v>5345144.75</v>
      </c>
      <c r="AF76" s="46">
        <f t="shared" si="18"/>
        <v>-13343189.309999999</v>
      </c>
      <c r="AG76" s="46"/>
      <c r="AH76" s="46">
        <v>2188440.59</v>
      </c>
      <c r="AI76" s="46">
        <v>3356367.46</v>
      </c>
      <c r="AJ76" s="46">
        <f t="shared" si="19"/>
        <v>1167926.8700000001</v>
      </c>
      <c r="AK76" s="46"/>
      <c r="AL76" s="46">
        <v>153496993.56</v>
      </c>
      <c r="AM76" s="46">
        <v>44723392.369999997</v>
      </c>
      <c r="AN76" s="46">
        <f t="shared" si="20"/>
        <v>-108773601.19</v>
      </c>
      <c r="AO76" s="46"/>
      <c r="AP76" s="46">
        <v>173219.54</v>
      </c>
      <c r="AQ76" s="46">
        <v>-6583223.8600000003</v>
      </c>
      <c r="AR76" s="46">
        <f t="shared" si="21"/>
        <v>-6756443.4000000004</v>
      </c>
      <c r="AS76" s="46"/>
      <c r="AT76" s="46">
        <v>9774717</v>
      </c>
      <c r="AU76" s="46">
        <v>8545941.0700000003</v>
      </c>
    </row>
    <row r="77" spans="1:47" x14ac:dyDescent="0.25">
      <c r="A77" s="40" t="s">
        <v>76</v>
      </c>
      <c r="B77" s="47"/>
      <c r="C77" s="46">
        <v>11853879.689999999</v>
      </c>
      <c r="D77" s="46">
        <f t="shared" si="11"/>
        <v>11853879.689999999</v>
      </c>
      <c r="E77" s="46"/>
      <c r="F77" s="47"/>
      <c r="G77" s="46">
        <v>3190437.3</v>
      </c>
      <c r="H77" s="46">
        <f t="shared" si="12"/>
        <v>3190437.3</v>
      </c>
      <c r="I77" s="46"/>
      <c r="J77" s="47"/>
      <c r="K77" s="46">
        <v>356771.9</v>
      </c>
      <c r="L77" s="46">
        <f t="shared" si="13"/>
        <v>356771.9</v>
      </c>
      <c r="M77" s="46"/>
      <c r="N77" s="47"/>
      <c r="O77" s="46">
        <v>138554.09</v>
      </c>
      <c r="P77" s="46">
        <f t="shared" si="14"/>
        <v>138554.09</v>
      </c>
      <c r="Q77" s="46"/>
      <c r="R77" s="47"/>
      <c r="S77" s="46">
        <v>1295810.3899999999</v>
      </c>
      <c r="T77" s="46">
        <f t="shared" si="15"/>
        <v>1295810.3899999999</v>
      </c>
      <c r="U77" s="46"/>
      <c r="V77" s="47"/>
      <c r="W77" s="46">
        <v>255571.29</v>
      </c>
      <c r="X77" s="46">
        <f t="shared" si="16"/>
        <v>255571.29</v>
      </c>
      <c r="Y77" s="46"/>
      <c r="Z77" s="47"/>
      <c r="AA77" s="46">
        <v>490352.51</v>
      </c>
      <c r="AB77" s="46">
        <f t="shared" si="17"/>
        <v>490352.51</v>
      </c>
      <c r="AC77" s="46"/>
      <c r="AD77" s="47"/>
      <c r="AE77" s="46">
        <v>38894.22</v>
      </c>
      <c r="AF77" s="46">
        <f t="shared" si="18"/>
        <v>38894.22</v>
      </c>
      <c r="AG77" s="46"/>
      <c r="AH77" s="47"/>
      <c r="AI77" s="46">
        <v>614482.9</v>
      </c>
      <c r="AJ77" s="46">
        <f t="shared" si="19"/>
        <v>614482.9</v>
      </c>
      <c r="AK77" s="46"/>
      <c r="AL77" s="47"/>
      <c r="AM77" s="46">
        <v>8663442.3900000006</v>
      </c>
      <c r="AN77" s="46">
        <f t="shared" si="20"/>
        <v>8663442.3900000006</v>
      </c>
      <c r="AO77" s="46"/>
      <c r="AP77" s="47"/>
      <c r="AQ77" s="47"/>
      <c r="AR77" s="46">
        <f t="shared" si="21"/>
        <v>0</v>
      </c>
      <c r="AS77" s="46"/>
      <c r="AT77" s="47"/>
      <c r="AU77" s="47"/>
    </row>
    <row r="78" spans="1:47" x14ac:dyDescent="0.25">
      <c r="A78" s="40" t="s">
        <v>77</v>
      </c>
      <c r="B78" s="47"/>
      <c r="C78" s="46">
        <v>15866578.58</v>
      </c>
      <c r="D78" s="46">
        <f t="shared" si="11"/>
        <v>15866578.58</v>
      </c>
      <c r="E78" s="46"/>
      <c r="F78" s="47"/>
      <c r="G78" s="46">
        <v>15557707.869999999</v>
      </c>
      <c r="H78" s="46">
        <f t="shared" si="12"/>
        <v>15557707.869999999</v>
      </c>
      <c r="I78" s="46"/>
      <c r="J78" s="47"/>
      <c r="K78" s="46">
        <v>1422364.2</v>
      </c>
      <c r="L78" s="46">
        <f t="shared" si="13"/>
        <v>1422364.2</v>
      </c>
      <c r="M78" s="46"/>
      <c r="N78" s="47"/>
      <c r="O78" s="46">
        <v>2968028.68</v>
      </c>
      <c r="P78" s="46">
        <f t="shared" si="14"/>
        <v>2968028.68</v>
      </c>
      <c r="Q78" s="46"/>
      <c r="R78" s="47"/>
      <c r="S78" s="46">
        <v>2414242.42</v>
      </c>
      <c r="T78" s="46">
        <f t="shared" si="15"/>
        <v>2414242.42</v>
      </c>
      <c r="U78" s="46"/>
      <c r="V78" s="47"/>
      <c r="W78" s="46">
        <v>5480395.2000000002</v>
      </c>
      <c r="X78" s="46">
        <f t="shared" si="16"/>
        <v>5480395.2000000002</v>
      </c>
      <c r="Y78" s="46"/>
      <c r="Z78" s="47"/>
      <c r="AA78" s="46">
        <v>2407198.23</v>
      </c>
      <c r="AB78" s="46">
        <f t="shared" si="17"/>
        <v>2407198.23</v>
      </c>
      <c r="AC78" s="46"/>
      <c r="AD78" s="47"/>
      <c r="AE78" s="46">
        <v>316859.03999999998</v>
      </c>
      <c r="AF78" s="46">
        <f t="shared" si="18"/>
        <v>316859.03999999998</v>
      </c>
      <c r="AG78" s="46"/>
      <c r="AH78" s="47"/>
      <c r="AI78" s="46">
        <v>548620.1</v>
      </c>
      <c r="AJ78" s="46">
        <f t="shared" si="19"/>
        <v>548620.1</v>
      </c>
      <c r="AK78" s="46"/>
      <c r="AL78" s="47"/>
      <c r="AM78" s="46">
        <v>308870.71000000002</v>
      </c>
      <c r="AN78" s="46">
        <f t="shared" si="20"/>
        <v>308870.71000000002</v>
      </c>
      <c r="AO78" s="46"/>
      <c r="AP78" s="47"/>
      <c r="AQ78" s="47"/>
      <c r="AR78" s="46">
        <f t="shared" si="21"/>
        <v>0</v>
      </c>
      <c r="AS78" s="46"/>
      <c r="AT78" s="47"/>
      <c r="AU78" s="47"/>
    </row>
    <row r="79" spans="1:47" x14ac:dyDescent="0.25">
      <c r="A79" s="39" t="s">
        <v>78</v>
      </c>
      <c r="B79" s="44">
        <v>149100325.37</v>
      </c>
      <c r="C79" s="44">
        <v>198645570.88999999</v>
      </c>
      <c r="D79" s="44">
        <f t="shared" si="11"/>
        <v>49545245.519999981</v>
      </c>
      <c r="E79" s="44"/>
      <c r="F79" s="44">
        <v>113557085.64</v>
      </c>
      <c r="G79" s="44">
        <v>117313611.08</v>
      </c>
      <c r="H79" s="44">
        <f t="shared" si="12"/>
        <v>3756525.4399999976</v>
      </c>
      <c r="I79" s="44"/>
      <c r="J79" s="44">
        <v>18118386.800000001</v>
      </c>
      <c r="K79" s="44">
        <v>21329289.109999999</v>
      </c>
      <c r="L79" s="44">
        <f t="shared" si="13"/>
        <v>3210902.3099999987</v>
      </c>
      <c r="M79" s="44"/>
      <c r="N79" s="44">
        <v>14786278.42</v>
      </c>
      <c r="O79" s="44">
        <v>15654174.380000001</v>
      </c>
      <c r="P79" s="44">
        <f t="shared" si="14"/>
        <v>867895.96000000089</v>
      </c>
      <c r="Q79" s="44"/>
      <c r="R79" s="44">
        <v>14099471.92</v>
      </c>
      <c r="S79" s="44">
        <v>14257979.369999999</v>
      </c>
      <c r="T79" s="44">
        <f t="shared" si="15"/>
        <v>158507.44999999925</v>
      </c>
      <c r="U79" s="44"/>
      <c r="V79" s="44">
        <v>13690123.449999999</v>
      </c>
      <c r="W79" s="44">
        <v>13541199.5</v>
      </c>
      <c r="X79" s="44">
        <f t="shared" si="16"/>
        <v>-148923.94999999925</v>
      </c>
      <c r="Y79" s="44"/>
      <c r="Z79" s="44">
        <v>15315971.890000001</v>
      </c>
      <c r="AA79" s="44">
        <v>14092437.57</v>
      </c>
      <c r="AB79" s="44">
        <f t="shared" si="17"/>
        <v>-1223534.3200000003</v>
      </c>
      <c r="AC79" s="44"/>
      <c r="AD79" s="44">
        <v>20664662.27</v>
      </c>
      <c r="AE79" s="44">
        <v>23201585.800000001</v>
      </c>
      <c r="AF79" s="44">
        <f t="shared" si="18"/>
        <v>2536923.5300000012</v>
      </c>
      <c r="AG79" s="44"/>
      <c r="AH79" s="44">
        <v>16882190.890000001</v>
      </c>
      <c r="AI79" s="44">
        <v>15236945.35</v>
      </c>
      <c r="AJ79" s="44">
        <f t="shared" si="19"/>
        <v>-1645245.540000001</v>
      </c>
      <c r="AK79" s="44"/>
      <c r="AL79" s="45"/>
      <c r="AM79" s="44">
        <v>48823679.060000002</v>
      </c>
      <c r="AN79" s="44">
        <f t="shared" si="20"/>
        <v>48823679.060000002</v>
      </c>
      <c r="AO79" s="44"/>
      <c r="AP79" s="44">
        <v>35543239.729999997</v>
      </c>
      <c r="AQ79" s="44">
        <v>32508280.75</v>
      </c>
      <c r="AR79" s="44">
        <f t="shared" si="21"/>
        <v>-3034958.9799999967</v>
      </c>
      <c r="AS79" s="44"/>
      <c r="AT79" s="45"/>
      <c r="AU79" s="45"/>
    </row>
    <row r="80" spans="1:47" ht="22.5" x14ac:dyDescent="0.25">
      <c r="A80" s="40" t="s">
        <v>79</v>
      </c>
      <c r="B80" s="46">
        <v>149100325.37</v>
      </c>
      <c r="C80" s="46">
        <v>119261822.75</v>
      </c>
      <c r="D80" s="46">
        <f t="shared" si="11"/>
        <v>-29838502.620000005</v>
      </c>
      <c r="E80" s="46"/>
      <c r="F80" s="46">
        <v>113557085.64</v>
      </c>
      <c r="G80" s="46">
        <v>70589820.989999995</v>
      </c>
      <c r="H80" s="46">
        <f t="shared" si="12"/>
        <v>-42967264.650000006</v>
      </c>
      <c r="I80" s="46"/>
      <c r="J80" s="46">
        <v>18118386.800000001</v>
      </c>
      <c r="K80" s="46">
        <v>14893349.57</v>
      </c>
      <c r="L80" s="46">
        <f t="shared" si="13"/>
        <v>-3225037.2300000004</v>
      </c>
      <c r="M80" s="46"/>
      <c r="N80" s="46">
        <v>14786278.42</v>
      </c>
      <c r="O80" s="46">
        <v>7327159.3300000001</v>
      </c>
      <c r="P80" s="46">
        <f t="shared" si="14"/>
        <v>-7459119.0899999999</v>
      </c>
      <c r="Q80" s="46"/>
      <c r="R80" s="46">
        <v>14099471.92</v>
      </c>
      <c r="S80" s="46">
        <v>6999907.9500000002</v>
      </c>
      <c r="T80" s="46">
        <f t="shared" si="15"/>
        <v>-7099563.9699999997</v>
      </c>
      <c r="U80" s="46"/>
      <c r="V80" s="46">
        <v>13690123.449999999</v>
      </c>
      <c r="W80" s="46">
        <v>6171514.0899999999</v>
      </c>
      <c r="X80" s="46">
        <f t="shared" si="16"/>
        <v>-7518609.3599999994</v>
      </c>
      <c r="Y80" s="46"/>
      <c r="Z80" s="46">
        <v>15315971.890000001</v>
      </c>
      <c r="AA80" s="46">
        <v>6430784.4400000004</v>
      </c>
      <c r="AB80" s="46">
        <f t="shared" si="17"/>
        <v>-8885187.4499999993</v>
      </c>
      <c r="AC80" s="46"/>
      <c r="AD80" s="46">
        <v>20664662.27</v>
      </c>
      <c r="AE80" s="46">
        <v>16286776.43</v>
      </c>
      <c r="AF80" s="46">
        <f t="shared" si="18"/>
        <v>-4377885.84</v>
      </c>
      <c r="AG80" s="46"/>
      <c r="AH80" s="46">
        <v>16882190.890000001</v>
      </c>
      <c r="AI80" s="46">
        <v>12480329.18</v>
      </c>
      <c r="AJ80" s="46">
        <f t="shared" si="19"/>
        <v>-4401861.7100000009</v>
      </c>
      <c r="AK80" s="46"/>
      <c r="AL80" s="47"/>
      <c r="AM80" s="46">
        <v>34997593.82</v>
      </c>
      <c r="AN80" s="46">
        <f t="shared" si="20"/>
        <v>34997593.82</v>
      </c>
      <c r="AO80" s="46"/>
      <c r="AP80" s="46">
        <v>35543239.729999997</v>
      </c>
      <c r="AQ80" s="46">
        <v>13674407.939999999</v>
      </c>
      <c r="AR80" s="46">
        <f t="shared" si="21"/>
        <v>-21868831.789999999</v>
      </c>
      <c r="AS80" s="46"/>
      <c r="AT80" s="47"/>
      <c r="AU80" s="47"/>
    </row>
    <row r="81" spans="1:47" x14ac:dyDescent="0.25">
      <c r="A81" s="40" t="s">
        <v>80</v>
      </c>
      <c r="B81" s="47"/>
      <c r="C81" s="46">
        <v>77389028</v>
      </c>
      <c r="D81" s="46">
        <f t="shared" si="11"/>
        <v>77389028</v>
      </c>
      <c r="E81" s="46"/>
      <c r="F81" s="47"/>
      <c r="G81" s="46">
        <v>44811010.100000001</v>
      </c>
      <c r="H81" s="46">
        <f t="shared" si="12"/>
        <v>44811010.100000001</v>
      </c>
      <c r="I81" s="46"/>
      <c r="J81" s="47"/>
      <c r="K81" s="46">
        <v>6190944.2800000003</v>
      </c>
      <c r="L81" s="46">
        <f t="shared" si="13"/>
        <v>6190944.2800000003</v>
      </c>
      <c r="M81" s="46"/>
      <c r="N81" s="47"/>
      <c r="O81" s="46">
        <v>7428371.4400000004</v>
      </c>
      <c r="P81" s="46">
        <f t="shared" si="14"/>
        <v>7428371.4400000004</v>
      </c>
      <c r="Q81" s="46"/>
      <c r="R81" s="47"/>
      <c r="S81" s="46">
        <v>7132849.9299999997</v>
      </c>
      <c r="T81" s="46">
        <f t="shared" si="15"/>
        <v>7132849.9299999997</v>
      </c>
      <c r="U81" s="46"/>
      <c r="V81" s="47"/>
      <c r="W81" s="46">
        <v>7332300.4400000004</v>
      </c>
      <c r="X81" s="46">
        <f t="shared" si="16"/>
        <v>7332300.4400000004</v>
      </c>
      <c r="Y81" s="46"/>
      <c r="Z81" s="47"/>
      <c r="AA81" s="46">
        <v>7574973.7300000004</v>
      </c>
      <c r="AB81" s="46">
        <f t="shared" si="17"/>
        <v>7574973.7300000004</v>
      </c>
      <c r="AC81" s="46"/>
      <c r="AD81" s="47"/>
      <c r="AE81" s="46">
        <v>6629250.9299999997</v>
      </c>
      <c r="AF81" s="46">
        <f t="shared" si="18"/>
        <v>6629250.9299999997</v>
      </c>
      <c r="AG81" s="46"/>
      <c r="AH81" s="47"/>
      <c r="AI81" s="46">
        <v>2522319.35</v>
      </c>
      <c r="AJ81" s="46">
        <f t="shared" si="19"/>
        <v>2522319.35</v>
      </c>
      <c r="AK81" s="46"/>
      <c r="AL81" s="47"/>
      <c r="AM81" s="46">
        <v>13826085.24</v>
      </c>
      <c r="AN81" s="46">
        <f t="shared" si="20"/>
        <v>13826085.24</v>
      </c>
      <c r="AO81" s="46"/>
      <c r="AP81" s="47"/>
      <c r="AQ81" s="46">
        <v>18751932.66</v>
      </c>
      <c r="AR81" s="46">
        <f t="shared" si="21"/>
        <v>18751932.66</v>
      </c>
      <c r="AS81" s="46"/>
      <c r="AT81" s="47"/>
      <c r="AU81" s="47"/>
    </row>
    <row r="82" spans="1:47" x14ac:dyDescent="0.25">
      <c r="A82" s="40" t="s">
        <v>81</v>
      </c>
      <c r="B82" s="47"/>
      <c r="C82" s="46">
        <v>1994720.14</v>
      </c>
      <c r="D82" s="46">
        <f t="shared" si="11"/>
        <v>1994720.14</v>
      </c>
      <c r="E82" s="46"/>
      <c r="F82" s="47"/>
      <c r="G82" s="46">
        <v>1912779.99</v>
      </c>
      <c r="H82" s="46">
        <f t="shared" si="12"/>
        <v>1912779.99</v>
      </c>
      <c r="I82" s="46"/>
      <c r="J82" s="47"/>
      <c r="K82" s="46">
        <v>244995.26</v>
      </c>
      <c r="L82" s="46">
        <f t="shared" si="13"/>
        <v>244995.26</v>
      </c>
      <c r="M82" s="46"/>
      <c r="N82" s="47"/>
      <c r="O82" s="46">
        <v>898643.61</v>
      </c>
      <c r="P82" s="46">
        <f t="shared" si="14"/>
        <v>898643.61</v>
      </c>
      <c r="Q82" s="46"/>
      <c r="R82" s="47"/>
      <c r="S82" s="46">
        <v>125221.49</v>
      </c>
      <c r="T82" s="46">
        <f t="shared" si="15"/>
        <v>125221.49</v>
      </c>
      <c r="U82" s="46"/>
      <c r="V82" s="47"/>
      <c r="W82" s="46">
        <v>37384.97</v>
      </c>
      <c r="X82" s="46">
        <f t="shared" si="16"/>
        <v>37384.97</v>
      </c>
      <c r="Y82" s="46"/>
      <c r="Z82" s="47"/>
      <c r="AA82" s="46">
        <v>86679.4</v>
      </c>
      <c r="AB82" s="46">
        <f t="shared" si="17"/>
        <v>86679.4</v>
      </c>
      <c r="AC82" s="46"/>
      <c r="AD82" s="47"/>
      <c r="AE82" s="46">
        <v>285558.44</v>
      </c>
      <c r="AF82" s="46">
        <f t="shared" si="18"/>
        <v>285558.44</v>
      </c>
      <c r="AG82" s="46"/>
      <c r="AH82" s="47"/>
      <c r="AI82" s="46">
        <v>234296.82</v>
      </c>
      <c r="AJ82" s="46">
        <f t="shared" si="19"/>
        <v>234296.82</v>
      </c>
      <c r="AK82" s="46"/>
      <c r="AL82" s="47"/>
      <c r="AM82" s="47"/>
      <c r="AN82" s="46">
        <f t="shared" si="20"/>
        <v>0</v>
      </c>
      <c r="AO82" s="46"/>
      <c r="AP82" s="47"/>
      <c r="AQ82" s="46">
        <v>81940.149999999994</v>
      </c>
      <c r="AR82" s="46">
        <f t="shared" si="21"/>
        <v>81940.149999999994</v>
      </c>
      <c r="AS82" s="46"/>
      <c r="AT82" s="47"/>
      <c r="AU82" s="47"/>
    </row>
    <row r="83" spans="1:47" x14ac:dyDescent="0.25">
      <c r="A83" s="37" t="s">
        <v>82</v>
      </c>
      <c r="B83" s="47"/>
      <c r="C83" s="46">
        <v>49187.3</v>
      </c>
      <c r="D83" s="46">
        <f t="shared" si="11"/>
        <v>49187.3</v>
      </c>
      <c r="E83" s="46"/>
      <c r="F83" s="47"/>
      <c r="G83" s="46">
        <v>49187.3</v>
      </c>
      <c r="H83" s="46">
        <f t="shared" si="12"/>
        <v>49187.3</v>
      </c>
      <c r="I83" s="46"/>
      <c r="J83" s="47"/>
      <c r="K83" s="47"/>
      <c r="L83" s="46">
        <f t="shared" si="13"/>
        <v>0</v>
      </c>
      <c r="M83" s="46"/>
      <c r="N83" s="47"/>
      <c r="O83" s="47"/>
      <c r="P83" s="46">
        <f t="shared" si="14"/>
        <v>0</v>
      </c>
      <c r="Q83" s="46"/>
      <c r="R83" s="47"/>
      <c r="S83" s="47"/>
      <c r="T83" s="46">
        <f t="shared" si="15"/>
        <v>0</v>
      </c>
      <c r="U83" s="46"/>
      <c r="V83" s="47"/>
      <c r="W83" s="47"/>
      <c r="X83" s="46">
        <f t="shared" si="16"/>
        <v>0</v>
      </c>
      <c r="Y83" s="46"/>
      <c r="Z83" s="47"/>
      <c r="AA83" s="47"/>
      <c r="AB83" s="46">
        <f t="shared" si="17"/>
        <v>0</v>
      </c>
      <c r="AC83" s="46"/>
      <c r="AD83" s="47"/>
      <c r="AE83" s="46">
        <v>49187.3</v>
      </c>
      <c r="AF83" s="46">
        <f t="shared" si="18"/>
        <v>49187.3</v>
      </c>
      <c r="AG83" s="46"/>
      <c r="AH83" s="47"/>
      <c r="AI83" s="47"/>
      <c r="AJ83" s="46">
        <f t="shared" si="19"/>
        <v>0</v>
      </c>
      <c r="AK83" s="46"/>
      <c r="AL83" s="47"/>
      <c r="AM83" s="47"/>
      <c r="AN83" s="46">
        <f t="shared" si="20"/>
        <v>0</v>
      </c>
      <c r="AO83" s="46"/>
      <c r="AP83" s="47"/>
      <c r="AQ83" s="47"/>
      <c r="AR83" s="46">
        <f t="shared" si="21"/>
        <v>0</v>
      </c>
      <c r="AS83" s="46"/>
      <c r="AT83" s="47"/>
      <c r="AU83" s="47"/>
    </row>
    <row r="84" spans="1:47" x14ac:dyDescent="0.25">
      <c r="A84" s="36" t="s">
        <v>83</v>
      </c>
      <c r="B84" s="45"/>
      <c r="C84" s="44">
        <v>2317168.84</v>
      </c>
      <c r="D84" s="44">
        <f t="shared" si="11"/>
        <v>2317168.84</v>
      </c>
      <c r="E84" s="44"/>
      <c r="F84" s="45"/>
      <c r="G84" s="44">
        <v>17000</v>
      </c>
      <c r="H84" s="44">
        <f t="shared" si="12"/>
        <v>17000</v>
      </c>
      <c r="I84" s="44"/>
      <c r="J84" s="45"/>
      <c r="K84" s="45"/>
      <c r="L84" s="44">
        <f t="shared" si="13"/>
        <v>0</v>
      </c>
      <c r="M84" s="44"/>
      <c r="N84" s="45"/>
      <c r="O84" s="44">
        <v>17000</v>
      </c>
      <c r="P84" s="44">
        <f t="shared" si="14"/>
        <v>17000</v>
      </c>
      <c r="Q84" s="44"/>
      <c r="R84" s="45"/>
      <c r="S84" s="45"/>
      <c r="T84" s="44">
        <f t="shared" si="15"/>
        <v>0</v>
      </c>
      <c r="U84" s="44"/>
      <c r="V84" s="45"/>
      <c r="W84" s="45"/>
      <c r="X84" s="44">
        <f t="shared" si="16"/>
        <v>0</v>
      </c>
      <c r="Y84" s="44"/>
      <c r="Z84" s="45"/>
      <c r="AA84" s="45"/>
      <c r="AB84" s="44">
        <f t="shared" si="17"/>
        <v>0</v>
      </c>
      <c r="AC84" s="44"/>
      <c r="AD84" s="45"/>
      <c r="AE84" s="45"/>
      <c r="AF84" s="44">
        <f t="shared" si="18"/>
        <v>0</v>
      </c>
      <c r="AG84" s="44"/>
      <c r="AH84" s="45"/>
      <c r="AI84" s="45"/>
      <c r="AJ84" s="44">
        <f t="shared" si="19"/>
        <v>0</v>
      </c>
      <c r="AK84" s="44"/>
      <c r="AL84" s="45"/>
      <c r="AM84" s="44">
        <v>2300168.84</v>
      </c>
      <c r="AN84" s="44">
        <f t="shared" si="20"/>
        <v>2300168.84</v>
      </c>
      <c r="AO84" s="44"/>
      <c r="AP84" s="45"/>
      <c r="AQ84" s="45"/>
      <c r="AR84" s="44">
        <f t="shared" si="21"/>
        <v>0</v>
      </c>
      <c r="AS84" s="44"/>
      <c r="AT84" s="45"/>
      <c r="AU84" s="45"/>
    </row>
    <row r="85" spans="1:47" x14ac:dyDescent="0.25">
      <c r="A85" s="37" t="s">
        <v>84</v>
      </c>
      <c r="B85" s="47"/>
      <c r="C85" s="46">
        <v>17000</v>
      </c>
      <c r="D85" s="46">
        <f t="shared" si="11"/>
        <v>17000</v>
      </c>
      <c r="E85" s="46"/>
      <c r="F85" s="47"/>
      <c r="G85" s="46">
        <v>17000</v>
      </c>
      <c r="H85" s="46">
        <f t="shared" si="12"/>
        <v>17000</v>
      </c>
      <c r="I85" s="46"/>
      <c r="J85" s="47"/>
      <c r="K85" s="47"/>
      <c r="L85" s="46">
        <f t="shared" si="13"/>
        <v>0</v>
      </c>
      <c r="M85" s="46"/>
      <c r="N85" s="47"/>
      <c r="O85" s="46">
        <v>17000</v>
      </c>
      <c r="P85" s="46">
        <f t="shared" si="14"/>
        <v>17000</v>
      </c>
      <c r="Q85" s="46"/>
      <c r="R85" s="47"/>
      <c r="S85" s="47"/>
      <c r="T85" s="46">
        <f t="shared" si="15"/>
        <v>0</v>
      </c>
      <c r="U85" s="46"/>
      <c r="V85" s="47"/>
      <c r="W85" s="47"/>
      <c r="X85" s="46">
        <f t="shared" si="16"/>
        <v>0</v>
      </c>
      <c r="Y85" s="46"/>
      <c r="Z85" s="47"/>
      <c r="AA85" s="47"/>
      <c r="AB85" s="46">
        <f t="shared" si="17"/>
        <v>0</v>
      </c>
      <c r="AC85" s="46"/>
      <c r="AD85" s="47"/>
      <c r="AE85" s="47"/>
      <c r="AF85" s="46">
        <f t="shared" si="18"/>
        <v>0</v>
      </c>
      <c r="AG85" s="46"/>
      <c r="AH85" s="47"/>
      <c r="AI85" s="47"/>
      <c r="AJ85" s="46">
        <f t="shared" si="19"/>
        <v>0</v>
      </c>
      <c r="AK85" s="46"/>
      <c r="AL85" s="47"/>
      <c r="AM85" s="47"/>
      <c r="AN85" s="46">
        <f t="shared" si="20"/>
        <v>0</v>
      </c>
      <c r="AO85" s="46"/>
      <c r="AP85" s="47"/>
      <c r="AQ85" s="47"/>
      <c r="AR85" s="46">
        <f t="shared" si="21"/>
        <v>0</v>
      </c>
      <c r="AS85" s="46"/>
      <c r="AT85" s="47"/>
      <c r="AU85" s="47"/>
    </row>
    <row r="86" spans="1:47" x14ac:dyDescent="0.25">
      <c r="A86" s="37" t="s">
        <v>85</v>
      </c>
      <c r="B86" s="47"/>
      <c r="C86" s="46">
        <v>2300168.84</v>
      </c>
      <c r="D86" s="46">
        <f t="shared" si="11"/>
        <v>2300168.84</v>
      </c>
      <c r="E86" s="46"/>
      <c r="F86" s="47"/>
      <c r="G86" s="47"/>
      <c r="H86" s="46">
        <f t="shared" si="12"/>
        <v>0</v>
      </c>
      <c r="I86" s="46"/>
      <c r="J86" s="47"/>
      <c r="K86" s="47"/>
      <c r="L86" s="46">
        <f t="shared" si="13"/>
        <v>0</v>
      </c>
      <c r="M86" s="46"/>
      <c r="N86" s="47"/>
      <c r="O86" s="47"/>
      <c r="P86" s="46">
        <f t="shared" si="14"/>
        <v>0</v>
      </c>
      <c r="Q86" s="46"/>
      <c r="R86" s="47"/>
      <c r="S86" s="47"/>
      <c r="T86" s="46">
        <f t="shared" si="15"/>
        <v>0</v>
      </c>
      <c r="U86" s="46"/>
      <c r="V86" s="47"/>
      <c r="W86" s="47"/>
      <c r="X86" s="46">
        <f t="shared" si="16"/>
        <v>0</v>
      </c>
      <c r="Y86" s="46"/>
      <c r="Z86" s="47"/>
      <c r="AA86" s="47"/>
      <c r="AB86" s="46">
        <f t="shared" si="17"/>
        <v>0</v>
      </c>
      <c r="AC86" s="46"/>
      <c r="AD86" s="47"/>
      <c r="AE86" s="47"/>
      <c r="AF86" s="46">
        <f t="shared" si="18"/>
        <v>0</v>
      </c>
      <c r="AG86" s="46"/>
      <c r="AH86" s="47"/>
      <c r="AI86" s="47"/>
      <c r="AJ86" s="46">
        <f t="shared" si="19"/>
        <v>0</v>
      </c>
      <c r="AK86" s="46"/>
      <c r="AL86" s="47"/>
      <c r="AM86" s="46">
        <v>2300168.84</v>
      </c>
      <c r="AN86" s="46">
        <f t="shared" si="20"/>
        <v>2300168.84</v>
      </c>
      <c r="AO86" s="46"/>
      <c r="AP86" s="47"/>
      <c r="AQ86" s="47"/>
      <c r="AR86" s="46">
        <f t="shared" si="21"/>
        <v>0</v>
      </c>
      <c r="AS86" s="46"/>
      <c r="AT86" s="47"/>
      <c r="AU86" s="47"/>
    </row>
    <row r="87" spans="1:47" x14ac:dyDescent="0.25">
      <c r="A87" s="37" t="s">
        <v>86</v>
      </c>
      <c r="B87" s="47"/>
      <c r="C87" s="47"/>
      <c r="D87" s="47">
        <f t="shared" si="11"/>
        <v>0</v>
      </c>
      <c r="E87" s="47"/>
      <c r="F87" s="47"/>
      <c r="G87" s="47"/>
      <c r="H87" s="47">
        <f t="shared" si="12"/>
        <v>0</v>
      </c>
      <c r="I87" s="47"/>
      <c r="J87" s="47"/>
      <c r="K87" s="47"/>
      <c r="L87" s="47">
        <f t="shared" si="13"/>
        <v>0</v>
      </c>
      <c r="M87" s="47"/>
      <c r="N87" s="47"/>
      <c r="O87" s="47"/>
      <c r="P87" s="47">
        <f t="shared" si="14"/>
        <v>0</v>
      </c>
      <c r="Q87" s="47"/>
      <c r="R87" s="47"/>
      <c r="S87" s="47"/>
      <c r="T87" s="47">
        <f t="shared" si="15"/>
        <v>0</v>
      </c>
      <c r="U87" s="47"/>
      <c r="V87" s="47"/>
      <c r="W87" s="47"/>
      <c r="X87" s="47">
        <f t="shared" si="16"/>
        <v>0</v>
      </c>
      <c r="Y87" s="47"/>
      <c r="Z87" s="47"/>
      <c r="AA87" s="47"/>
      <c r="AB87" s="47">
        <f t="shared" si="17"/>
        <v>0</v>
      </c>
      <c r="AC87" s="47"/>
      <c r="AD87" s="47"/>
      <c r="AE87" s="47"/>
      <c r="AF87" s="47">
        <f t="shared" si="18"/>
        <v>0</v>
      </c>
      <c r="AG87" s="47"/>
      <c r="AH87" s="47"/>
      <c r="AI87" s="47"/>
      <c r="AJ87" s="47">
        <f t="shared" si="19"/>
        <v>0</v>
      </c>
      <c r="AK87" s="47"/>
      <c r="AL87" s="47"/>
      <c r="AM87" s="47"/>
      <c r="AN87" s="47">
        <f t="shared" si="20"/>
        <v>0</v>
      </c>
      <c r="AO87" s="47"/>
      <c r="AP87" s="47"/>
      <c r="AQ87" s="47"/>
      <c r="AR87" s="47">
        <f t="shared" si="21"/>
        <v>0</v>
      </c>
      <c r="AS87" s="47"/>
      <c r="AT87" s="47"/>
      <c r="AU87" s="47"/>
    </row>
    <row r="88" spans="1:47" x14ac:dyDescent="0.25">
      <c r="A88" s="35" t="s">
        <v>87</v>
      </c>
      <c r="B88" s="46">
        <v>819000</v>
      </c>
      <c r="C88" s="46">
        <v>6625994.0499999998</v>
      </c>
      <c r="D88" s="46">
        <f t="shared" si="11"/>
        <v>5806994.0499999998</v>
      </c>
      <c r="E88" s="46"/>
      <c r="F88" s="46">
        <v>819000</v>
      </c>
      <c r="G88" s="46">
        <v>5348918.79</v>
      </c>
      <c r="H88" s="46">
        <f t="shared" si="12"/>
        <v>4529918.79</v>
      </c>
      <c r="I88" s="46"/>
      <c r="J88" s="47"/>
      <c r="K88" s="46">
        <v>2406549.2400000002</v>
      </c>
      <c r="L88" s="46">
        <f t="shared" si="13"/>
        <v>2406549.2400000002</v>
      </c>
      <c r="M88" s="46"/>
      <c r="N88" s="47"/>
      <c r="O88" s="46">
        <v>486596.04</v>
      </c>
      <c r="P88" s="46">
        <f t="shared" si="14"/>
        <v>486596.04</v>
      </c>
      <c r="Q88" s="46"/>
      <c r="R88" s="47"/>
      <c r="S88" s="46">
        <v>24372.58</v>
      </c>
      <c r="T88" s="46">
        <f t="shared" si="15"/>
        <v>24372.58</v>
      </c>
      <c r="U88" s="46"/>
      <c r="V88" s="47"/>
      <c r="W88" s="46">
        <v>32309.26</v>
      </c>
      <c r="X88" s="46">
        <f t="shared" si="16"/>
        <v>32309.26</v>
      </c>
      <c r="Y88" s="46"/>
      <c r="Z88" s="47"/>
      <c r="AA88" s="46">
        <v>162988.70000000001</v>
      </c>
      <c r="AB88" s="46">
        <f t="shared" si="17"/>
        <v>162988.70000000001</v>
      </c>
      <c r="AC88" s="46"/>
      <c r="AD88" s="46">
        <v>819000</v>
      </c>
      <c r="AE88" s="46">
        <v>2220514.9700000002</v>
      </c>
      <c r="AF88" s="46">
        <f t="shared" si="18"/>
        <v>1401514.9700000002</v>
      </c>
      <c r="AG88" s="46"/>
      <c r="AH88" s="47"/>
      <c r="AI88" s="46">
        <v>15588</v>
      </c>
      <c r="AJ88" s="46">
        <f t="shared" si="19"/>
        <v>15588</v>
      </c>
      <c r="AK88" s="46"/>
      <c r="AL88" s="47"/>
      <c r="AM88" s="46">
        <v>894484.6</v>
      </c>
      <c r="AN88" s="46">
        <f t="shared" si="20"/>
        <v>894484.6</v>
      </c>
      <c r="AO88" s="46"/>
      <c r="AP88" s="47"/>
      <c r="AQ88" s="46">
        <v>32304.98</v>
      </c>
      <c r="AR88" s="46">
        <f t="shared" si="21"/>
        <v>32304.98</v>
      </c>
      <c r="AS88" s="46"/>
      <c r="AT88" s="47"/>
      <c r="AU88" s="46">
        <v>350285.68</v>
      </c>
    </row>
    <row r="89" spans="1:47" ht="22.5" x14ac:dyDescent="0.25">
      <c r="A89" s="35" t="s">
        <v>88</v>
      </c>
      <c r="B89" s="47"/>
      <c r="C89" s="46">
        <v>318394.59999999998</v>
      </c>
      <c r="D89" s="46">
        <f t="shared" si="11"/>
        <v>318394.59999999998</v>
      </c>
      <c r="E89" s="46"/>
      <c r="F89" s="47"/>
      <c r="G89" s="46">
        <v>299358.90000000002</v>
      </c>
      <c r="H89" s="46">
        <f t="shared" si="12"/>
        <v>299358.90000000002</v>
      </c>
      <c r="I89" s="46"/>
      <c r="J89" s="47"/>
      <c r="K89" s="46">
        <v>7778.53</v>
      </c>
      <c r="L89" s="46">
        <f t="shared" si="13"/>
        <v>7778.53</v>
      </c>
      <c r="M89" s="46"/>
      <c r="N89" s="47"/>
      <c r="O89" s="46">
        <v>286451.23</v>
      </c>
      <c r="P89" s="46">
        <f t="shared" si="14"/>
        <v>286451.23</v>
      </c>
      <c r="Q89" s="46"/>
      <c r="R89" s="47"/>
      <c r="S89" s="47"/>
      <c r="T89" s="46">
        <f t="shared" si="15"/>
        <v>0</v>
      </c>
      <c r="U89" s="46"/>
      <c r="V89" s="47"/>
      <c r="W89" s="47"/>
      <c r="X89" s="46">
        <f t="shared" si="16"/>
        <v>0</v>
      </c>
      <c r="Y89" s="46"/>
      <c r="Z89" s="47"/>
      <c r="AA89" s="46">
        <v>2348.8000000000002</v>
      </c>
      <c r="AB89" s="46">
        <f t="shared" si="17"/>
        <v>2348.8000000000002</v>
      </c>
      <c r="AC89" s="46"/>
      <c r="AD89" s="47"/>
      <c r="AE89" s="46">
        <v>2780.34</v>
      </c>
      <c r="AF89" s="46">
        <f t="shared" si="18"/>
        <v>2780.34</v>
      </c>
      <c r="AG89" s="46"/>
      <c r="AH89" s="47"/>
      <c r="AI89" s="47"/>
      <c r="AJ89" s="46">
        <f t="shared" si="19"/>
        <v>0</v>
      </c>
      <c r="AK89" s="46"/>
      <c r="AL89" s="47"/>
      <c r="AM89" s="46">
        <v>19035.7</v>
      </c>
      <c r="AN89" s="46">
        <f t="shared" si="20"/>
        <v>19035.7</v>
      </c>
      <c r="AO89" s="46"/>
      <c r="AP89" s="47"/>
      <c r="AQ89" s="47"/>
      <c r="AR89" s="46">
        <f t="shared" si="21"/>
        <v>0</v>
      </c>
      <c r="AS89" s="46"/>
      <c r="AT89" s="47"/>
      <c r="AU89" s="47"/>
    </row>
    <row r="90" spans="1:47" x14ac:dyDescent="0.25">
      <c r="A90" s="34" t="s">
        <v>89</v>
      </c>
      <c r="B90" s="44">
        <v>-365200645.68000001</v>
      </c>
      <c r="C90" s="44">
        <v>-417728502.82999998</v>
      </c>
      <c r="D90" s="44">
        <f t="shared" si="11"/>
        <v>-52527857.149999976</v>
      </c>
      <c r="E90" s="44"/>
      <c r="F90" s="44">
        <v>-131811714.03</v>
      </c>
      <c r="G90" s="44">
        <v>-206295853.63999999</v>
      </c>
      <c r="H90" s="44">
        <f t="shared" si="12"/>
        <v>-74484139.609999985</v>
      </c>
      <c r="I90" s="44"/>
      <c r="J90" s="44">
        <v>-25871596.190000001</v>
      </c>
      <c r="K90" s="44">
        <v>-38507851.670000002</v>
      </c>
      <c r="L90" s="44">
        <f t="shared" si="13"/>
        <v>-12636255.48</v>
      </c>
      <c r="M90" s="44"/>
      <c r="N90" s="44">
        <v>-53008467.060000002</v>
      </c>
      <c r="O90" s="44">
        <v>-55866403.109999999</v>
      </c>
      <c r="P90" s="44">
        <f t="shared" si="14"/>
        <v>-2857936.049999997</v>
      </c>
      <c r="Q90" s="44"/>
      <c r="R90" s="44">
        <v>-10048460.6</v>
      </c>
      <c r="S90" s="44">
        <v>-17330095.100000001</v>
      </c>
      <c r="T90" s="44">
        <f t="shared" si="15"/>
        <v>-7281634.5000000019</v>
      </c>
      <c r="U90" s="44"/>
      <c r="V90" s="44">
        <v>-5470887.7000000002</v>
      </c>
      <c r="W90" s="44">
        <v>-25394392.210000001</v>
      </c>
      <c r="X90" s="44">
        <f t="shared" si="16"/>
        <v>-19923504.510000002</v>
      </c>
      <c r="Y90" s="44"/>
      <c r="Z90" s="44">
        <v>-14318979.25</v>
      </c>
      <c r="AA90" s="44">
        <v>-25847114.920000002</v>
      </c>
      <c r="AB90" s="44">
        <f t="shared" si="17"/>
        <v>-11528135.670000002</v>
      </c>
      <c r="AC90" s="44"/>
      <c r="AD90" s="44">
        <v>-12967601.710000001</v>
      </c>
      <c r="AE90" s="44">
        <v>-31987303.359999999</v>
      </c>
      <c r="AF90" s="44">
        <f t="shared" si="18"/>
        <v>-19019701.649999999</v>
      </c>
      <c r="AG90" s="44"/>
      <c r="AH90" s="44">
        <v>-10125721.52</v>
      </c>
      <c r="AI90" s="44">
        <v>-11362693.27</v>
      </c>
      <c r="AJ90" s="44">
        <f t="shared" si="19"/>
        <v>-1236971.75</v>
      </c>
      <c r="AK90" s="44"/>
      <c r="AL90" s="44">
        <v>-19575279.690000001</v>
      </c>
      <c r="AM90" s="44">
        <v>-23464227.359999999</v>
      </c>
      <c r="AN90" s="44">
        <f t="shared" si="20"/>
        <v>-3888947.6699999981</v>
      </c>
      <c r="AO90" s="44"/>
      <c r="AP90" s="44">
        <v>-188138829.06999999</v>
      </c>
      <c r="AQ90" s="44">
        <v>-153394326.61000001</v>
      </c>
      <c r="AR90" s="44">
        <f t="shared" si="21"/>
        <v>34744502.459999979</v>
      </c>
      <c r="AS90" s="44"/>
      <c r="AT90" s="44">
        <v>-25674822.890000001</v>
      </c>
      <c r="AU90" s="44">
        <v>-34574095.219999999</v>
      </c>
    </row>
    <row r="91" spans="1:47" x14ac:dyDescent="0.25">
      <c r="A91" s="36" t="s">
        <v>90</v>
      </c>
      <c r="B91" s="44">
        <v>-1020000</v>
      </c>
      <c r="C91" s="44">
        <v>-75486371.090000004</v>
      </c>
      <c r="D91" s="44">
        <f t="shared" si="11"/>
        <v>-74466371.090000004</v>
      </c>
      <c r="E91" s="44"/>
      <c r="F91" s="44">
        <v>-1020000</v>
      </c>
      <c r="G91" s="44">
        <v>-50730759.18</v>
      </c>
      <c r="H91" s="44">
        <f t="shared" si="12"/>
        <v>-49710759.18</v>
      </c>
      <c r="I91" s="44"/>
      <c r="J91" s="45"/>
      <c r="K91" s="44">
        <v>-12379656.1</v>
      </c>
      <c r="L91" s="44">
        <f t="shared" si="13"/>
        <v>-12379656.1</v>
      </c>
      <c r="M91" s="44"/>
      <c r="N91" s="45"/>
      <c r="O91" s="44">
        <v>-766869.4</v>
      </c>
      <c r="P91" s="44">
        <f t="shared" si="14"/>
        <v>-766869.4</v>
      </c>
      <c r="Q91" s="44"/>
      <c r="R91" s="45"/>
      <c r="S91" s="44">
        <v>-3061888</v>
      </c>
      <c r="T91" s="44">
        <f t="shared" si="15"/>
        <v>-3061888</v>
      </c>
      <c r="U91" s="44"/>
      <c r="V91" s="45"/>
      <c r="W91" s="44">
        <v>-10507620.59</v>
      </c>
      <c r="X91" s="44">
        <f t="shared" si="16"/>
        <v>-10507620.59</v>
      </c>
      <c r="Y91" s="44"/>
      <c r="Z91" s="45"/>
      <c r="AA91" s="44">
        <v>-7927571.2199999997</v>
      </c>
      <c r="AB91" s="44">
        <f t="shared" si="17"/>
        <v>-7927571.2199999997</v>
      </c>
      <c r="AC91" s="44"/>
      <c r="AD91" s="44">
        <v>-1020000</v>
      </c>
      <c r="AE91" s="44">
        <v>-15089840.439999999</v>
      </c>
      <c r="AF91" s="44">
        <f t="shared" si="18"/>
        <v>-14069840.439999999</v>
      </c>
      <c r="AG91" s="44"/>
      <c r="AH91" s="45"/>
      <c r="AI91" s="44">
        <v>-997313.43</v>
      </c>
      <c r="AJ91" s="44">
        <f t="shared" si="19"/>
        <v>-997313.43</v>
      </c>
      <c r="AK91" s="44"/>
      <c r="AL91" s="45"/>
      <c r="AM91" s="44">
        <v>-3981223.11</v>
      </c>
      <c r="AN91" s="44">
        <f t="shared" si="20"/>
        <v>-3981223.11</v>
      </c>
      <c r="AO91" s="44"/>
      <c r="AP91" s="45"/>
      <c r="AQ91" s="45"/>
      <c r="AR91" s="44">
        <f t="shared" si="21"/>
        <v>0</v>
      </c>
      <c r="AS91" s="44"/>
      <c r="AT91" s="45"/>
      <c r="AU91" s="44">
        <v>-20774388.800000001</v>
      </c>
    </row>
    <row r="92" spans="1:47" x14ac:dyDescent="0.25">
      <c r="A92" s="37" t="s">
        <v>91</v>
      </c>
      <c r="B92" s="47"/>
      <c r="C92" s="46">
        <v>-21522604.309999999</v>
      </c>
      <c r="D92" s="46">
        <f t="shared" si="11"/>
        <v>-21522604.309999999</v>
      </c>
      <c r="E92" s="46"/>
      <c r="F92" s="47"/>
      <c r="G92" s="46">
        <v>-9247127.5800000001</v>
      </c>
      <c r="H92" s="46">
        <f t="shared" si="12"/>
        <v>-9247127.5800000001</v>
      </c>
      <c r="I92" s="46"/>
      <c r="J92" s="47"/>
      <c r="K92" s="46">
        <v>-1597962.84</v>
      </c>
      <c r="L92" s="46">
        <f t="shared" si="13"/>
        <v>-1597962.84</v>
      </c>
      <c r="M92" s="46"/>
      <c r="N92" s="47"/>
      <c r="O92" s="46">
        <v>-52251</v>
      </c>
      <c r="P92" s="46">
        <f t="shared" si="14"/>
        <v>-52251</v>
      </c>
      <c r="Q92" s="46"/>
      <c r="R92" s="47"/>
      <c r="S92" s="46">
        <v>-1998637.4</v>
      </c>
      <c r="T92" s="46">
        <f t="shared" si="15"/>
        <v>-1998637.4</v>
      </c>
      <c r="U92" s="46"/>
      <c r="V92" s="47"/>
      <c r="W92" s="46">
        <v>-3214552.93</v>
      </c>
      <c r="X92" s="46">
        <f t="shared" si="16"/>
        <v>-3214552.93</v>
      </c>
      <c r="Y92" s="46"/>
      <c r="Z92" s="47"/>
      <c r="AA92" s="46">
        <v>-1825351.48</v>
      </c>
      <c r="AB92" s="46">
        <f t="shared" si="17"/>
        <v>-1825351.48</v>
      </c>
      <c r="AC92" s="46"/>
      <c r="AD92" s="47"/>
      <c r="AE92" s="47"/>
      <c r="AF92" s="46">
        <f t="shared" si="18"/>
        <v>0</v>
      </c>
      <c r="AG92" s="46"/>
      <c r="AH92" s="47"/>
      <c r="AI92" s="46">
        <v>-558371.93000000005</v>
      </c>
      <c r="AJ92" s="46">
        <f t="shared" si="19"/>
        <v>-558371.93000000005</v>
      </c>
      <c r="AK92" s="46"/>
      <c r="AL92" s="47"/>
      <c r="AM92" s="46">
        <v>-619602.88</v>
      </c>
      <c r="AN92" s="46">
        <f t="shared" si="20"/>
        <v>-619602.88</v>
      </c>
      <c r="AO92" s="46"/>
      <c r="AP92" s="47"/>
      <c r="AQ92" s="47"/>
      <c r="AR92" s="46">
        <f t="shared" si="21"/>
        <v>0</v>
      </c>
      <c r="AS92" s="46"/>
      <c r="AT92" s="47"/>
      <c r="AU92" s="46">
        <v>-11655873.85</v>
      </c>
    </row>
    <row r="93" spans="1:47" x14ac:dyDescent="0.25">
      <c r="A93" s="37" t="s">
        <v>92</v>
      </c>
      <c r="B93" s="47"/>
      <c r="C93" s="46">
        <v>-17541777.93</v>
      </c>
      <c r="D93" s="46">
        <f t="shared" si="11"/>
        <v>-17541777.93</v>
      </c>
      <c r="E93" s="46"/>
      <c r="F93" s="47"/>
      <c r="G93" s="46">
        <v>-14497948.33</v>
      </c>
      <c r="H93" s="46">
        <f t="shared" si="12"/>
        <v>-14497948.33</v>
      </c>
      <c r="I93" s="46"/>
      <c r="J93" s="47"/>
      <c r="K93" s="46">
        <v>-249086.16</v>
      </c>
      <c r="L93" s="46">
        <f t="shared" si="13"/>
        <v>-249086.16</v>
      </c>
      <c r="M93" s="46"/>
      <c r="N93" s="47"/>
      <c r="O93" s="46">
        <v>-665017.4</v>
      </c>
      <c r="P93" s="46">
        <f t="shared" si="14"/>
        <v>-665017.4</v>
      </c>
      <c r="Q93" s="46"/>
      <c r="R93" s="47"/>
      <c r="S93" s="46">
        <v>-796318.6</v>
      </c>
      <c r="T93" s="46">
        <f t="shared" si="15"/>
        <v>-796318.6</v>
      </c>
      <c r="U93" s="46"/>
      <c r="V93" s="47"/>
      <c r="W93" s="46">
        <v>-2761200.16</v>
      </c>
      <c r="X93" s="46">
        <f t="shared" si="16"/>
        <v>-2761200.16</v>
      </c>
      <c r="Y93" s="46"/>
      <c r="Z93" s="47"/>
      <c r="AA93" s="46">
        <v>-3331034.97</v>
      </c>
      <c r="AB93" s="46">
        <f t="shared" si="17"/>
        <v>-3331034.97</v>
      </c>
      <c r="AC93" s="46"/>
      <c r="AD93" s="47"/>
      <c r="AE93" s="46">
        <v>-6306349.54</v>
      </c>
      <c r="AF93" s="46">
        <f t="shared" si="18"/>
        <v>-6306349.54</v>
      </c>
      <c r="AG93" s="46"/>
      <c r="AH93" s="47"/>
      <c r="AI93" s="46">
        <v>-388941.5</v>
      </c>
      <c r="AJ93" s="46">
        <f t="shared" si="19"/>
        <v>-388941.5</v>
      </c>
      <c r="AK93" s="46"/>
      <c r="AL93" s="47"/>
      <c r="AM93" s="46">
        <v>-828270.23</v>
      </c>
      <c r="AN93" s="46">
        <f t="shared" si="20"/>
        <v>-828270.23</v>
      </c>
      <c r="AO93" s="46"/>
      <c r="AP93" s="47"/>
      <c r="AQ93" s="47"/>
      <c r="AR93" s="46">
        <f t="shared" si="21"/>
        <v>0</v>
      </c>
      <c r="AS93" s="46"/>
      <c r="AT93" s="47"/>
      <c r="AU93" s="46">
        <v>-2215559.37</v>
      </c>
    </row>
    <row r="94" spans="1:47" x14ac:dyDescent="0.25">
      <c r="A94" s="37" t="s">
        <v>93</v>
      </c>
      <c r="B94" s="46">
        <v>-1020000</v>
      </c>
      <c r="C94" s="46">
        <v>-36421988.850000001</v>
      </c>
      <c r="D94" s="46">
        <f t="shared" si="11"/>
        <v>-35401988.850000001</v>
      </c>
      <c r="E94" s="46"/>
      <c r="F94" s="46">
        <v>-1020000</v>
      </c>
      <c r="G94" s="46">
        <v>-26985683.27</v>
      </c>
      <c r="H94" s="46">
        <f t="shared" si="12"/>
        <v>-25965683.27</v>
      </c>
      <c r="I94" s="46"/>
      <c r="J94" s="47"/>
      <c r="K94" s="46">
        <v>-10532607.1</v>
      </c>
      <c r="L94" s="46">
        <f t="shared" si="13"/>
        <v>-10532607.1</v>
      </c>
      <c r="M94" s="46"/>
      <c r="N94" s="47"/>
      <c r="O94" s="46">
        <v>-49601</v>
      </c>
      <c r="P94" s="46">
        <f t="shared" si="14"/>
        <v>-49601</v>
      </c>
      <c r="Q94" s="46"/>
      <c r="R94" s="47"/>
      <c r="S94" s="46">
        <v>-266932</v>
      </c>
      <c r="T94" s="46">
        <f t="shared" si="15"/>
        <v>-266932</v>
      </c>
      <c r="U94" s="46"/>
      <c r="V94" s="47"/>
      <c r="W94" s="46">
        <v>-4531867.5</v>
      </c>
      <c r="X94" s="46">
        <f t="shared" si="16"/>
        <v>-4531867.5</v>
      </c>
      <c r="Y94" s="46"/>
      <c r="Z94" s="47"/>
      <c r="AA94" s="46">
        <v>-2771184.77</v>
      </c>
      <c r="AB94" s="46">
        <f t="shared" si="17"/>
        <v>-2771184.77</v>
      </c>
      <c r="AC94" s="46"/>
      <c r="AD94" s="46">
        <v>-1020000</v>
      </c>
      <c r="AE94" s="46">
        <v>-8783490.9000000004</v>
      </c>
      <c r="AF94" s="46">
        <f t="shared" si="18"/>
        <v>-7763490.9000000004</v>
      </c>
      <c r="AG94" s="46"/>
      <c r="AH94" s="47"/>
      <c r="AI94" s="46">
        <v>-50000</v>
      </c>
      <c r="AJ94" s="46">
        <f t="shared" si="19"/>
        <v>-50000</v>
      </c>
      <c r="AK94" s="46"/>
      <c r="AL94" s="47"/>
      <c r="AM94" s="46">
        <v>-2533350</v>
      </c>
      <c r="AN94" s="46">
        <f t="shared" si="20"/>
        <v>-2533350</v>
      </c>
      <c r="AO94" s="46"/>
      <c r="AP94" s="47"/>
      <c r="AQ94" s="47"/>
      <c r="AR94" s="46">
        <f t="shared" si="21"/>
        <v>0</v>
      </c>
      <c r="AS94" s="46"/>
      <c r="AT94" s="47"/>
      <c r="AU94" s="46">
        <v>-6902955.5800000001</v>
      </c>
    </row>
    <row r="95" spans="1:47" x14ac:dyDescent="0.25">
      <c r="A95" s="36" t="s">
        <v>94</v>
      </c>
      <c r="B95" s="45"/>
      <c r="C95" s="44">
        <v>-18117120.219999999</v>
      </c>
      <c r="D95" s="44">
        <f t="shared" si="11"/>
        <v>-18117120.219999999</v>
      </c>
      <c r="E95" s="44"/>
      <c r="F95" s="45"/>
      <c r="G95" s="44">
        <v>-6807513.1799999997</v>
      </c>
      <c r="H95" s="44">
        <f t="shared" si="12"/>
        <v>-6807513.1799999997</v>
      </c>
      <c r="I95" s="44"/>
      <c r="J95" s="45"/>
      <c r="K95" s="44">
        <v>-999725.45</v>
      </c>
      <c r="L95" s="44">
        <f t="shared" si="13"/>
        <v>-999725.45</v>
      </c>
      <c r="M95" s="44"/>
      <c r="N95" s="45"/>
      <c r="O95" s="44">
        <v>-121327.27</v>
      </c>
      <c r="P95" s="44">
        <f t="shared" si="14"/>
        <v>-121327.27</v>
      </c>
      <c r="Q95" s="44"/>
      <c r="R95" s="45"/>
      <c r="S95" s="44">
        <v>-3769234.92</v>
      </c>
      <c r="T95" s="44">
        <f t="shared" si="15"/>
        <v>-3769234.92</v>
      </c>
      <c r="U95" s="44"/>
      <c r="V95" s="45"/>
      <c r="W95" s="44">
        <v>-324641.67</v>
      </c>
      <c r="X95" s="44">
        <f t="shared" si="16"/>
        <v>-324641.67</v>
      </c>
      <c r="Y95" s="44"/>
      <c r="Z95" s="45"/>
      <c r="AA95" s="44">
        <v>-969479.5</v>
      </c>
      <c r="AB95" s="44">
        <f t="shared" si="17"/>
        <v>-969479.5</v>
      </c>
      <c r="AC95" s="44"/>
      <c r="AD95" s="45"/>
      <c r="AE95" s="44">
        <v>-566417.66</v>
      </c>
      <c r="AF95" s="44">
        <f t="shared" si="18"/>
        <v>-566417.66</v>
      </c>
      <c r="AG95" s="44"/>
      <c r="AH95" s="45"/>
      <c r="AI95" s="44">
        <v>-56686.71</v>
      </c>
      <c r="AJ95" s="44">
        <f t="shared" si="19"/>
        <v>-56686.71</v>
      </c>
      <c r="AK95" s="44"/>
      <c r="AL95" s="45"/>
      <c r="AM95" s="44">
        <v>-8312746.8899999997</v>
      </c>
      <c r="AN95" s="44">
        <f t="shared" si="20"/>
        <v>-8312746.8899999997</v>
      </c>
      <c r="AO95" s="44"/>
      <c r="AP95" s="45"/>
      <c r="AQ95" s="45"/>
      <c r="AR95" s="44">
        <f t="shared" si="21"/>
        <v>0</v>
      </c>
      <c r="AS95" s="44"/>
      <c r="AT95" s="45"/>
      <c r="AU95" s="44">
        <v>-2996860.15</v>
      </c>
    </row>
    <row r="96" spans="1:47" ht="22.5" x14ac:dyDescent="0.25">
      <c r="A96" s="37" t="s">
        <v>95</v>
      </c>
      <c r="B96" s="47"/>
      <c r="C96" s="46">
        <v>-5982749.4199999999</v>
      </c>
      <c r="D96" s="46">
        <f t="shared" si="11"/>
        <v>-5982749.4199999999</v>
      </c>
      <c r="E96" s="46"/>
      <c r="F96" s="47"/>
      <c r="G96" s="46">
        <v>-5981250.9199999999</v>
      </c>
      <c r="H96" s="46">
        <f t="shared" si="12"/>
        <v>-5981250.9199999999</v>
      </c>
      <c r="I96" s="46"/>
      <c r="J96" s="47"/>
      <c r="K96" s="46">
        <v>-945616.08</v>
      </c>
      <c r="L96" s="46">
        <f t="shared" si="13"/>
        <v>-945616.08</v>
      </c>
      <c r="M96" s="46"/>
      <c r="N96" s="47"/>
      <c r="O96" s="46">
        <v>-97797.42</v>
      </c>
      <c r="P96" s="46">
        <f t="shared" si="14"/>
        <v>-97797.42</v>
      </c>
      <c r="Q96" s="46"/>
      <c r="R96" s="47"/>
      <c r="S96" s="46">
        <v>-3400677.95</v>
      </c>
      <c r="T96" s="46">
        <f t="shared" si="15"/>
        <v>-3400677.95</v>
      </c>
      <c r="U96" s="46"/>
      <c r="V96" s="47"/>
      <c r="W96" s="46">
        <v>-284450.21000000002</v>
      </c>
      <c r="X96" s="46">
        <f t="shared" si="16"/>
        <v>-284450.21000000002</v>
      </c>
      <c r="Y96" s="46"/>
      <c r="Z96" s="47"/>
      <c r="AA96" s="46">
        <v>-885500</v>
      </c>
      <c r="AB96" s="46">
        <f t="shared" si="17"/>
        <v>-885500</v>
      </c>
      <c r="AC96" s="46"/>
      <c r="AD96" s="47"/>
      <c r="AE96" s="46">
        <v>-367209.26</v>
      </c>
      <c r="AF96" s="46">
        <f t="shared" si="18"/>
        <v>-367209.26</v>
      </c>
      <c r="AG96" s="46"/>
      <c r="AH96" s="47"/>
      <c r="AI96" s="47"/>
      <c r="AJ96" s="46">
        <f t="shared" si="19"/>
        <v>0</v>
      </c>
      <c r="AK96" s="46"/>
      <c r="AL96" s="47"/>
      <c r="AM96" s="46">
        <v>-1498.5</v>
      </c>
      <c r="AN96" s="46">
        <f t="shared" si="20"/>
        <v>-1498.5</v>
      </c>
      <c r="AO96" s="46"/>
      <c r="AP96" s="47"/>
      <c r="AQ96" s="47"/>
      <c r="AR96" s="46">
        <f t="shared" si="21"/>
        <v>0</v>
      </c>
      <c r="AS96" s="46"/>
      <c r="AT96" s="47"/>
      <c r="AU96" s="47"/>
    </row>
    <row r="97" spans="1:47" ht="22.5" x14ac:dyDescent="0.25">
      <c r="A97" s="37" t="s">
        <v>96</v>
      </c>
      <c r="B97" s="47"/>
      <c r="C97" s="46">
        <v>-9132236.9900000002</v>
      </c>
      <c r="D97" s="46">
        <f t="shared" si="11"/>
        <v>-9132236.9900000002</v>
      </c>
      <c r="E97" s="46"/>
      <c r="F97" s="47"/>
      <c r="G97" s="46">
        <v>-820988.6</v>
      </c>
      <c r="H97" s="46">
        <f t="shared" si="12"/>
        <v>-820988.6</v>
      </c>
      <c r="I97" s="46"/>
      <c r="J97" s="47"/>
      <c r="K97" s="46">
        <v>-54109.37</v>
      </c>
      <c r="L97" s="46">
        <f t="shared" si="13"/>
        <v>-54109.37</v>
      </c>
      <c r="M97" s="46"/>
      <c r="N97" s="47"/>
      <c r="O97" s="46">
        <v>-23529.85</v>
      </c>
      <c r="P97" s="46">
        <f t="shared" si="14"/>
        <v>-23529.85</v>
      </c>
      <c r="Q97" s="46"/>
      <c r="R97" s="47"/>
      <c r="S97" s="46">
        <v>-368556.97</v>
      </c>
      <c r="T97" s="46">
        <f t="shared" si="15"/>
        <v>-368556.97</v>
      </c>
      <c r="U97" s="46"/>
      <c r="V97" s="47"/>
      <c r="W97" s="46">
        <v>-34917.800000000003</v>
      </c>
      <c r="X97" s="46">
        <f t="shared" si="16"/>
        <v>-34917.800000000003</v>
      </c>
      <c r="Y97" s="46"/>
      <c r="Z97" s="47"/>
      <c r="AA97" s="46">
        <v>-83979.5</v>
      </c>
      <c r="AB97" s="46">
        <f t="shared" si="17"/>
        <v>-83979.5</v>
      </c>
      <c r="AC97" s="46"/>
      <c r="AD97" s="47"/>
      <c r="AE97" s="46">
        <v>-199208.4</v>
      </c>
      <c r="AF97" s="46">
        <f t="shared" si="18"/>
        <v>-199208.4</v>
      </c>
      <c r="AG97" s="46"/>
      <c r="AH97" s="47"/>
      <c r="AI97" s="46">
        <v>-56686.71</v>
      </c>
      <c r="AJ97" s="46">
        <f t="shared" si="19"/>
        <v>-56686.71</v>
      </c>
      <c r="AK97" s="46"/>
      <c r="AL97" s="47"/>
      <c r="AM97" s="46">
        <v>-8311248.3899999997</v>
      </c>
      <c r="AN97" s="46">
        <f t="shared" si="20"/>
        <v>-8311248.3899999997</v>
      </c>
      <c r="AO97" s="46"/>
      <c r="AP97" s="47"/>
      <c r="AQ97" s="47"/>
      <c r="AR97" s="46">
        <f t="shared" si="21"/>
        <v>0</v>
      </c>
      <c r="AS97" s="46"/>
      <c r="AT97" s="47"/>
      <c r="AU97" s="47"/>
    </row>
    <row r="98" spans="1:47" ht="22.5" x14ac:dyDescent="0.25">
      <c r="A98" s="37" t="s">
        <v>97</v>
      </c>
      <c r="B98" s="47"/>
      <c r="C98" s="46">
        <v>-3002133.81</v>
      </c>
      <c r="D98" s="46">
        <f t="shared" si="11"/>
        <v>-3002133.81</v>
      </c>
      <c r="E98" s="46"/>
      <c r="F98" s="47"/>
      <c r="G98" s="46">
        <v>-5273.66</v>
      </c>
      <c r="H98" s="46">
        <f t="shared" si="12"/>
        <v>-5273.66</v>
      </c>
      <c r="I98" s="46"/>
      <c r="J98" s="47"/>
      <c r="K98" s="47"/>
      <c r="L98" s="46">
        <f t="shared" si="13"/>
        <v>0</v>
      </c>
      <c r="M98" s="46"/>
      <c r="N98" s="47"/>
      <c r="O98" s="47"/>
      <c r="P98" s="46">
        <f t="shared" si="14"/>
        <v>0</v>
      </c>
      <c r="Q98" s="46"/>
      <c r="R98" s="47"/>
      <c r="S98" s="47"/>
      <c r="T98" s="46">
        <f t="shared" si="15"/>
        <v>0</v>
      </c>
      <c r="U98" s="46"/>
      <c r="V98" s="47"/>
      <c r="W98" s="46">
        <v>-5273.66</v>
      </c>
      <c r="X98" s="46">
        <f t="shared" si="16"/>
        <v>-5273.66</v>
      </c>
      <c r="Y98" s="46"/>
      <c r="Z98" s="47"/>
      <c r="AA98" s="47"/>
      <c r="AB98" s="46">
        <f t="shared" si="17"/>
        <v>0</v>
      </c>
      <c r="AC98" s="46"/>
      <c r="AD98" s="47"/>
      <c r="AE98" s="47"/>
      <c r="AF98" s="46">
        <f t="shared" si="18"/>
        <v>0</v>
      </c>
      <c r="AG98" s="46"/>
      <c r="AH98" s="47"/>
      <c r="AI98" s="47"/>
      <c r="AJ98" s="46">
        <f t="shared" si="19"/>
        <v>0</v>
      </c>
      <c r="AK98" s="46"/>
      <c r="AL98" s="47"/>
      <c r="AM98" s="47"/>
      <c r="AN98" s="46">
        <f t="shared" si="20"/>
        <v>0</v>
      </c>
      <c r="AO98" s="46"/>
      <c r="AP98" s="47"/>
      <c r="AQ98" s="47"/>
      <c r="AR98" s="46">
        <f t="shared" si="21"/>
        <v>0</v>
      </c>
      <c r="AS98" s="46"/>
      <c r="AT98" s="47"/>
      <c r="AU98" s="46">
        <v>-2996860.15</v>
      </c>
    </row>
    <row r="99" spans="1:47" x14ac:dyDescent="0.25">
      <c r="A99" s="36" t="s">
        <v>98</v>
      </c>
      <c r="B99" s="45"/>
      <c r="C99" s="44">
        <v>-8636076.9100000001</v>
      </c>
      <c r="D99" s="44">
        <f t="shared" si="11"/>
        <v>-8636076.9100000001</v>
      </c>
      <c r="E99" s="44"/>
      <c r="F99" s="45"/>
      <c r="G99" s="44">
        <v>-7860300.1500000004</v>
      </c>
      <c r="H99" s="44">
        <f t="shared" si="12"/>
        <v>-7860300.1500000004</v>
      </c>
      <c r="I99" s="44"/>
      <c r="J99" s="45"/>
      <c r="K99" s="44">
        <v>-351520.22</v>
      </c>
      <c r="L99" s="44">
        <f t="shared" si="13"/>
        <v>-351520.22</v>
      </c>
      <c r="M99" s="44"/>
      <c r="N99" s="45"/>
      <c r="O99" s="44">
        <v>-560492.02</v>
      </c>
      <c r="P99" s="44">
        <f t="shared" si="14"/>
        <v>-560492.02</v>
      </c>
      <c r="Q99" s="44"/>
      <c r="R99" s="45"/>
      <c r="S99" s="44">
        <v>-1881568.18</v>
      </c>
      <c r="T99" s="44">
        <f t="shared" si="15"/>
        <v>-1881568.18</v>
      </c>
      <c r="U99" s="44"/>
      <c r="V99" s="45"/>
      <c r="W99" s="44">
        <v>-2765468.72</v>
      </c>
      <c r="X99" s="44">
        <f t="shared" si="16"/>
        <v>-2765468.72</v>
      </c>
      <c r="Y99" s="44"/>
      <c r="Z99" s="45"/>
      <c r="AA99" s="44">
        <v>-1452900.19</v>
      </c>
      <c r="AB99" s="44">
        <f t="shared" si="17"/>
        <v>-1452900.19</v>
      </c>
      <c r="AC99" s="44"/>
      <c r="AD99" s="45"/>
      <c r="AE99" s="44">
        <v>-828367.81</v>
      </c>
      <c r="AF99" s="44">
        <f t="shared" si="18"/>
        <v>-828367.81</v>
      </c>
      <c r="AG99" s="44"/>
      <c r="AH99" s="45"/>
      <c r="AI99" s="44">
        <v>-19983.009999999998</v>
      </c>
      <c r="AJ99" s="44">
        <f t="shared" si="19"/>
        <v>-19983.009999999998</v>
      </c>
      <c r="AK99" s="44"/>
      <c r="AL99" s="45"/>
      <c r="AM99" s="44">
        <v>-355016.99</v>
      </c>
      <c r="AN99" s="44">
        <f t="shared" si="20"/>
        <v>-355016.99</v>
      </c>
      <c r="AO99" s="44"/>
      <c r="AP99" s="45"/>
      <c r="AQ99" s="45"/>
      <c r="AR99" s="44">
        <f t="shared" si="21"/>
        <v>0</v>
      </c>
      <c r="AS99" s="44"/>
      <c r="AT99" s="45"/>
      <c r="AU99" s="44">
        <v>-420759.77</v>
      </c>
    </row>
    <row r="100" spans="1:47" ht="22.5" x14ac:dyDescent="0.25">
      <c r="A100" s="37" t="s">
        <v>99</v>
      </c>
      <c r="B100" s="47"/>
      <c r="C100" s="46">
        <v>-1107529.49</v>
      </c>
      <c r="D100" s="46">
        <f t="shared" si="11"/>
        <v>-1107529.49</v>
      </c>
      <c r="E100" s="46"/>
      <c r="F100" s="47"/>
      <c r="G100" s="46">
        <v>-1127512.5</v>
      </c>
      <c r="H100" s="46">
        <f t="shared" si="12"/>
        <v>-1127512.5</v>
      </c>
      <c r="I100" s="46"/>
      <c r="J100" s="47"/>
      <c r="K100" s="46">
        <v>-14130.89</v>
      </c>
      <c r="L100" s="46">
        <f t="shared" si="13"/>
        <v>-14130.89</v>
      </c>
      <c r="M100" s="46"/>
      <c r="N100" s="47"/>
      <c r="O100" s="46">
        <v>-160467.29</v>
      </c>
      <c r="P100" s="46">
        <f t="shared" si="14"/>
        <v>-160467.29</v>
      </c>
      <c r="Q100" s="46"/>
      <c r="R100" s="47"/>
      <c r="S100" s="46">
        <v>-14718.36</v>
      </c>
      <c r="T100" s="46">
        <f t="shared" si="15"/>
        <v>-14718.36</v>
      </c>
      <c r="U100" s="46"/>
      <c r="V100" s="47"/>
      <c r="W100" s="46">
        <v>-134810.72</v>
      </c>
      <c r="X100" s="46">
        <f t="shared" si="16"/>
        <v>-134810.72</v>
      </c>
      <c r="Y100" s="46"/>
      <c r="Z100" s="47"/>
      <c r="AA100" s="46">
        <v>-731017.73</v>
      </c>
      <c r="AB100" s="46">
        <f t="shared" si="17"/>
        <v>-731017.73</v>
      </c>
      <c r="AC100" s="46"/>
      <c r="AD100" s="47"/>
      <c r="AE100" s="46">
        <v>-52384.5</v>
      </c>
      <c r="AF100" s="46">
        <f t="shared" si="18"/>
        <v>-52384.5</v>
      </c>
      <c r="AG100" s="46"/>
      <c r="AH100" s="47"/>
      <c r="AI100" s="46">
        <v>-19983.009999999998</v>
      </c>
      <c r="AJ100" s="46">
        <f t="shared" si="19"/>
        <v>-19983.009999999998</v>
      </c>
      <c r="AK100" s="46"/>
      <c r="AL100" s="47"/>
      <c r="AM100" s="46">
        <v>19983.009999999998</v>
      </c>
      <c r="AN100" s="46">
        <f t="shared" si="20"/>
        <v>19983.009999999998</v>
      </c>
      <c r="AO100" s="46"/>
      <c r="AP100" s="47"/>
      <c r="AQ100" s="47"/>
      <c r="AR100" s="46">
        <f t="shared" si="21"/>
        <v>0</v>
      </c>
      <c r="AS100" s="46"/>
      <c r="AT100" s="47"/>
      <c r="AU100" s="47"/>
    </row>
    <row r="101" spans="1:47" x14ac:dyDescent="0.25">
      <c r="A101" s="37" t="s">
        <v>100</v>
      </c>
      <c r="B101" s="47"/>
      <c r="C101" s="46">
        <v>-744213.19</v>
      </c>
      <c r="D101" s="46">
        <f t="shared" si="11"/>
        <v>-744213.19</v>
      </c>
      <c r="E101" s="46"/>
      <c r="F101" s="47"/>
      <c r="G101" s="46">
        <v>-296453.42</v>
      </c>
      <c r="H101" s="46">
        <f t="shared" si="12"/>
        <v>-296453.42</v>
      </c>
      <c r="I101" s="46"/>
      <c r="J101" s="47"/>
      <c r="K101" s="46">
        <v>-59186.01</v>
      </c>
      <c r="L101" s="46">
        <f t="shared" si="13"/>
        <v>-59186.01</v>
      </c>
      <c r="M101" s="46"/>
      <c r="N101" s="47"/>
      <c r="O101" s="46">
        <v>-9065.43</v>
      </c>
      <c r="P101" s="46">
        <f t="shared" si="14"/>
        <v>-9065.43</v>
      </c>
      <c r="Q101" s="46"/>
      <c r="R101" s="47"/>
      <c r="S101" s="47"/>
      <c r="T101" s="46">
        <f t="shared" si="15"/>
        <v>0</v>
      </c>
      <c r="U101" s="46"/>
      <c r="V101" s="47"/>
      <c r="W101" s="46">
        <v>-126170.59</v>
      </c>
      <c r="X101" s="46">
        <f t="shared" si="16"/>
        <v>-126170.59</v>
      </c>
      <c r="Y101" s="46"/>
      <c r="Z101" s="47"/>
      <c r="AA101" s="46">
        <v>-86509.759999999995</v>
      </c>
      <c r="AB101" s="46">
        <f t="shared" si="17"/>
        <v>-86509.759999999995</v>
      </c>
      <c r="AC101" s="46"/>
      <c r="AD101" s="47"/>
      <c r="AE101" s="46">
        <v>-15521.63</v>
      </c>
      <c r="AF101" s="46">
        <f t="shared" si="18"/>
        <v>-15521.63</v>
      </c>
      <c r="AG101" s="46"/>
      <c r="AH101" s="47"/>
      <c r="AI101" s="47"/>
      <c r="AJ101" s="46">
        <f t="shared" si="19"/>
        <v>0</v>
      </c>
      <c r="AK101" s="46"/>
      <c r="AL101" s="47"/>
      <c r="AM101" s="46">
        <v>-375000</v>
      </c>
      <c r="AN101" s="46">
        <f t="shared" si="20"/>
        <v>-375000</v>
      </c>
      <c r="AO101" s="46"/>
      <c r="AP101" s="47"/>
      <c r="AQ101" s="47"/>
      <c r="AR101" s="46">
        <f t="shared" si="21"/>
        <v>0</v>
      </c>
      <c r="AS101" s="46"/>
      <c r="AT101" s="47"/>
      <c r="AU101" s="46">
        <v>-72759.77</v>
      </c>
    </row>
    <row r="102" spans="1:47" x14ac:dyDescent="0.25">
      <c r="A102" s="37" t="s">
        <v>101</v>
      </c>
      <c r="B102" s="47"/>
      <c r="C102" s="46">
        <v>-6784334.2300000004</v>
      </c>
      <c r="D102" s="46">
        <f t="shared" si="11"/>
        <v>-6784334.2300000004</v>
      </c>
      <c r="E102" s="46"/>
      <c r="F102" s="47"/>
      <c r="G102" s="46">
        <v>-6436334.2300000004</v>
      </c>
      <c r="H102" s="46">
        <f t="shared" si="12"/>
        <v>-6436334.2300000004</v>
      </c>
      <c r="I102" s="46"/>
      <c r="J102" s="47"/>
      <c r="K102" s="46">
        <v>-278203.32</v>
      </c>
      <c r="L102" s="46">
        <f t="shared" si="13"/>
        <v>-278203.32</v>
      </c>
      <c r="M102" s="46"/>
      <c r="N102" s="47"/>
      <c r="O102" s="46">
        <v>-390959.3</v>
      </c>
      <c r="P102" s="46">
        <f t="shared" si="14"/>
        <v>-390959.3</v>
      </c>
      <c r="Q102" s="46"/>
      <c r="R102" s="47"/>
      <c r="S102" s="46">
        <v>-1866849.82</v>
      </c>
      <c r="T102" s="46">
        <f t="shared" si="15"/>
        <v>-1866849.82</v>
      </c>
      <c r="U102" s="46"/>
      <c r="V102" s="47"/>
      <c r="W102" s="46">
        <v>-2504487.41</v>
      </c>
      <c r="X102" s="46">
        <f t="shared" si="16"/>
        <v>-2504487.41</v>
      </c>
      <c r="Y102" s="46"/>
      <c r="Z102" s="47"/>
      <c r="AA102" s="46">
        <v>-635372.69999999995</v>
      </c>
      <c r="AB102" s="46">
        <f t="shared" si="17"/>
        <v>-635372.69999999995</v>
      </c>
      <c r="AC102" s="46"/>
      <c r="AD102" s="47"/>
      <c r="AE102" s="46">
        <v>-760461.68</v>
      </c>
      <c r="AF102" s="46">
        <f t="shared" si="18"/>
        <v>-760461.68</v>
      </c>
      <c r="AG102" s="46"/>
      <c r="AH102" s="47"/>
      <c r="AI102" s="47"/>
      <c r="AJ102" s="46">
        <f t="shared" si="19"/>
        <v>0</v>
      </c>
      <c r="AK102" s="46"/>
      <c r="AL102" s="47"/>
      <c r="AM102" s="47"/>
      <c r="AN102" s="46">
        <f t="shared" si="20"/>
        <v>0</v>
      </c>
      <c r="AO102" s="46"/>
      <c r="AP102" s="47"/>
      <c r="AQ102" s="47"/>
      <c r="AR102" s="46">
        <f t="shared" si="21"/>
        <v>0</v>
      </c>
      <c r="AS102" s="46"/>
      <c r="AT102" s="47"/>
      <c r="AU102" s="46">
        <v>-348000</v>
      </c>
    </row>
    <row r="103" spans="1:47" ht="22.5" x14ac:dyDescent="0.25">
      <c r="A103" s="36" t="s">
        <v>102</v>
      </c>
      <c r="B103" s="44">
        <v>-363361645.68000001</v>
      </c>
      <c r="C103" s="44">
        <v>-306227377.12</v>
      </c>
      <c r="D103" s="44">
        <f t="shared" si="11"/>
        <v>57134268.560000002</v>
      </c>
      <c r="E103" s="44"/>
      <c r="F103" s="44">
        <v>-129972714.03</v>
      </c>
      <c r="G103" s="44">
        <v>-133949787.37</v>
      </c>
      <c r="H103" s="44">
        <f t="shared" si="12"/>
        <v>-3977073.3400000036</v>
      </c>
      <c r="I103" s="44"/>
      <c r="J103" s="44">
        <v>-25871596.190000001</v>
      </c>
      <c r="K103" s="44">
        <v>-24399226.940000001</v>
      </c>
      <c r="L103" s="44">
        <f t="shared" si="13"/>
        <v>1472369.25</v>
      </c>
      <c r="M103" s="44"/>
      <c r="N103" s="44">
        <v>-53008467.060000002</v>
      </c>
      <c r="O103" s="44">
        <v>-53497548.439999998</v>
      </c>
      <c r="P103" s="44">
        <f t="shared" si="14"/>
        <v>-489081.37999999523</v>
      </c>
      <c r="Q103" s="44"/>
      <c r="R103" s="44">
        <v>-10048460.6</v>
      </c>
      <c r="S103" s="44">
        <v>-8472954.8100000005</v>
      </c>
      <c r="T103" s="44">
        <f t="shared" si="15"/>
        <v>1575505.7899999991</v>
      </c>
      <c r="U103" s="44"/>
      <c r="V103" s="44">
        <v>-5470887.7000000002</v>
      </c>
      <c r="W103" s="44">
        <v>-11664724.48</v>
      </c>
      <c r="X103" s="44">
        <f t="shared" si="16"/>
        <v>-6193836.7800000003</v>
      </c>
      <c r="Y103" s="44"/>
      <c r="Z103" s="44">
        <v>-14318979.25</v>
      </c>
      <c r="AA103" s="44">
        <v>-15387226.83</v>
      </c>
      <c r="AB103" s="44">
        <f t="shared" si="17"/>
        <v>-1068247.58</v>
      </c>
      <c r="AC103" s="44"/>
      <c r="AD103" s="44">
        <v>-11128601.710000001</v>
      </c>
      <c r="AE103" s="44">
        <v>-13038660.039999999</v>
      </c>
      <c r="AF103" s="44">
        <f t="shared" si="18"/>
        <v>-1910058.3299999982</v>
      </c>
      <c r="AG103" s="44"/>
      <c r="AH103" s="44">
        <v>-10125721.52</v>
      </c>
      <c r="AI103" s="44">
        <v>-7489445.8300000001</v>
      </c>
      <c r="AJ103" s="44">
        <f t="shared" si="19"/>
        <v>2636275.6899999995</v>
      </c>
      <c r="AK103" s="44"/>
      <c r="AL103" s="44">
        <v>-19575279.690000001</v>
      </c>
      <c r="AM103" s="44">
        <v>-10801345.48</v>
      </c>
      <c r="AN103" s="44">
        <f t="shared" si="20"/>
        <v>8773934.2100000009</v>
      </c>
      <c r="AO103" s="44"/>
      <c r="AP103" s="44">
        <v>-188138829.06999999</v>
      </c>
      <c r="AQ103" s="44">
        <v>-153394326.61000001</v>
      </c>
      <c r="AR103" s="44">
        <f t="shared" si="21"/>
        <v>34744502.459999979</v>
      </c>
      <c r="AS103" s="44"/>
      <c r="AT103" s="44">
        <v>-25674822.890000001</v>
      </c>
      <c r="AU103" s="44">
        <v>-8081917.6600000001</v>
      </c>
    </row>
    <row r="104" spans="1:47" x14ac:dyDescent="0.25">
      <c r="A104" s="39" t="s">
        <v>103</v>
      </c>
      <c r="B104" s="44">
        <v>-214059840.31</v>
      </c>
      <c r="C104" s="44">
        <v>-107331138.93000001</v>
      </c>
      <c r="D104" s="44">
        <f t="shared" si="11"/>
        <v>106728701.38</v>
      </c>
      <c r="E104" s="44"/>
      <c r="F104" s="44">
        <v>-42150979.350000001</v>
      </c>
      <c r="G104" s="44">
        <v>-49997895.340000004</v>
      </c>
      <c r="H104" s="44">
        <f t="shared" si="12"/>
        <v>-7846915.9900000021</v>
      </c>
      <c r="I104" s="44"/>
      <c r="J104" s="44">
        <v>-2641754.7000000002</v>
      </c>
      <c r="K104" s="44">
        <v>-2375170.88</v>
      </c>
      <c r="L104" s="44">
        <f t="shared" si="13"/>
        <v>266583.8200000003</v>
      </c>
      <c r="M104" s="44"/>
      <c r="N104" s="44">
        <v>-14910871.48</v>
      </c>
      <c r="O104" s="44">
        <v>-16667375.949999999</v>
      </c>
      <c r="P104" s="44">
        <f t="shared" si="14"/>
        <v>-1756504.4699999988</v>
      </c>
      <c r="Q104" s="44"/>
      <c r="R104" s="44">
        <v>-5936018.3399999999</v>
      </c>
      <c r="S104" s="44">
        <v>-4352984.2699999996</v>
      </c>
      <c r="T104" s="44">
        <f t="shared" si="15"/>
        <v>1583034.0700000003</v>
      </c>
      <c r="U104" s="44"/>
      <c r="V104" s="44">
        <v>-768204.11</v>
      </c>
      <c r="W104" s="44">
        <v>-7007446.0700000003</v>
      </c>
      <c r="X104" s="44">
        <f t="shared" si="16"/>
        <v>-6239241.96</v>
      </c>
      <c r="Y104" s="44"/>
      <c r="Z104" s="44">
        <v>-6691597.0999999996</v>
      </c>
      <c r="AA104" s="44">
        <v>-9425068.1400000006</v>
      </c>
      <c r="AB104" s="44">
        <f t="shared" si="17"/>
        <v>-2733471.040000001</v>
      </c>
      <c r="AC104" s="44"/>
      <c r="AD104" s="44">
        <v>-3914452.32</v>
      </c>
      <c r="AE104" s="44">
        <v>-4308291</v>
      </c>
      <c r="AF104" s="44">
        <f t="shared" si="18"/>
        <v>-393838.68000000017</v>
      </c>
      <c r="AG104" s="44"/>
      <c r="AH104" s="44">
        <v>-7288081.2999999998</v>
      </c>
      <c r="AI104" s="44">
        <v>-5861559.0300000003</v>
      </c>
      <c r="AJ104" s="44">
        <f t="shared" si="19"/>
        <v>1426522.2699999996</v>
      </c>
      <c r="AK104" s="44"/>
      <c r="AL104" s="44">
        <v>-18521521.370000001</v>
      </c>
      <c r="AM104" s="44">
        <v>-9173412.8200000003</v>
      </c>
      <c r="AN104" s="44">
        <f t="shared" si="20"/>
        <v>9348108.5500000007</v>
      </c>
      <c r="AO104" s="44"/>
      <c r="AP104" s="44">
        <v>-127791837.48999999</v>
      </c>
      <c r="AQ104" s="44">
        <v>-40107358.350000001</v>
      </c>
      <c r="AR104" s="44">
        <f t="shared" si="21"/>
        <v>87684479.139999986</v>
      </c>
      <c r="AS104" s="44"/>
      <c r="AT104" s="44">
        <v>-25595502.100000001</v>
      </c>
      <c r="AU104" s="44">
        <v>-8052472.4199999999</v>
      </c>
    </row>
    <row r="105" spans="1:47" ht="22.5" x14ac:dyDescent="0.25">
      <c r="A105" s="40" t="s">
        <v>104</v>
      </c>
      <c r="B105" s="46">
        <v>-214059840.31</v>
      </c>
      <c r="C105" s="46">
        <v>-79610680.659999996</v>
      </c>
      <c r="D105" s="46">
        <f t="shared" si="11"/>
        <v>134449159.65000001</v>
      </c>
      <c r="E105" s="46"/>
      <c r="F105" s="46">
        <v>-42150979.350000001</v>
      </c>
      <c r="G105" s="46">
        <v>-39813960.390000001</v>
      </c>
      <c r="H105" s="46">
        <f t="shared" si="12"/>
        <v>2337018.9600000009</v>
      </c>
      <c r="I105" s="46"/>
      <c r="J105" s="46">
        <v>-2641754.7000000002</v>
      </c>
      <c r="K105" s="46">
        <v>-1652365.05</v>
      </c>
      <c r="L105" s="46">
        <f t="shared" si="13"/>
        <v>989389.65000000014</v>
      </c>
      <c r="M105" s="46"/>
      <c r="N105" s="46">
        <v>-14910871.48</v>
      </c>
      <c r="O105" s="46">
        <v>-12985811.34</v>
      </c>
      <c r="P105" s="46">
        <f t="shared" si="14"/>
        <v>1925060.1400000006</v>
      </c>
      <c r="Q105" s="46"/>
      <c r="R105" s="46">
        <v>-5936018.3399999999</v>
      </c>
      <c r="S105" s="46">
        <v>-4286614.8499999996</v>
      </c>
      <c r="T105" s="46">
        <f t="shared" si="15"/>
        <v>1649403.4900000002</v>
      </c>
      <c r="U105" s="46"/>
      <c r="V105" s="46">
        <v>-768204.11</v>
      </c>
      <c r="W105" s="46">
        <v>-2545885.58</v>
      </c>
      <c r="X105" s="46">
        <f t="shared" si="16"/>
        <v>-1777681.4700000002</v>
      </c>
      <c r="Y105" s="46"/>
      <c r="Z105" s="46">
        <v>-6691597.0999999996</v>
      </c>
      <c r="AA105" s="46">
        <v>-8616038.9700000007</v>
      </c>
      <c r="AB105" s="46">
        <f t="shared" si="17"/>
        <v>-1924441.870000001</v>
      </c>
      <c r="AC105" s="46"/>
      <c r="AD105" s="46">
        <v>-3914452.32</v>
      </c>
      <c r="AE105" s="46">
        <v>-4214344.53</v>
      </c>
      <c r="AF105" s="46">
        <f t="shared" si="18"/>
        <v>-299892.21000000043</v>
      </c>
      <c r="AG105" s="46"/>
      <c r="AH105" s="46">
        <v>-7288081.2999999998</v>
      </c>
      <c r="AI105" s="46">
        <v>-5512900.0700000003</v>
      </c>
      <c r="AJ105" s="46">
        <f t="shared" si="19"/>
        <v>1775181.2299999995</v>
      </c>
      <c r="AK105" s="46"/>
      <c r="AL105" s="46">
        <v>-18521521.370000001</v>
      </c>
      <c r="AM105" s="46">
        <v>-3782446.96</v>
      </c>
      <c r="AN105" s="46">
        <f t="shared" si="20"/>
        <v>14739074.41</v>
      </c>
      <c r="AO105" s="46"/>
      <c r="AP105" s="46">
        <v>-127791837.48999999</v>
      </c>
      <c r="AQ105" s="46">
        <v>-32091640.550000001</v>
      </c>
      <c r="AR105" s="46">
        <f t="shared" si="21"/>
        <v>95700196.939999998</v>
      </c>
      <c r="AS105" s="46"/>
      <c r="AT105" s="46">
        <v>-25595502.100000001</v>
      </c>
      <c r="AU105" s="46">
        <v>-3922632.76</v>
      </c>
    </row>
    <row r="106" spans="1:47" x14ac:dyDescent="0.25">
      <c r="A106" s="40" t="s">
        <v>105</v>
      </c>
      <c r="B106" s="47"/>
      <c r="C106" s="46">
        <v>-11853879.689999999</v>
      </c>
      <c r="D106" s="46">
        <f t="shared" si="11"/>
        <v>-11853879.689999999</v>
      </c>
      <c r="E106" s="46"/>
      <c r="F106" s="47"/>
      <c r="G106" s="46">
        <v>-2192722.62</v>
      </c>
      <c r="H106" s="46">
        <f t="shared" si="12"/>
        <v>-2192722.62</v>
      </c>
      <c r="I106" s="46"/>
      <c r="J106" s="47"/>
      <c r="K106" s="46">
        <v>-120029.94</v>
      </c>
      <c r="L106" s="46">
        <f t="shared" si="13"/>
        <v>-120029.94</v>
      </c>
      <c r="M106" s="46"/>
      <c r="N106" s="47"/>
      <c r="O106" s="46">
        <v>-829102.55</v>
      </c>
      <c r="P106" s="46">
        <f t="shared" si="14"/>
        <v>-829102.55</v>
      </c>
      <c r="Q106" s="46"/>
      <c r="R106" s="47"/>
      <c r="S106" s="46">
        <v>-66369.42</v>
      </c>
      <c r="T106" s="46">
        <f t="shared" si="15"/>
        <v>-66369.42</v>
      </c>
      <c r="U106" s="46"/>
      <c r="V106" s="47"/>
      <c r="W106" s="46">
        <v>-19682.29</v>
      </c>
      <c r="X106" s="46">
        <f t="shared" si="16"/>
        <v>-19682.29</v>
      </c>
      <c r="Y106" s="46"/>
      <c r="Z106" s="47"/>
      <c r="AA106" s="46">
        <v>-760690.56</v>
      </c>
      <c r="AB106" s="46">
        <f t="shared" si="17"/>
        <v>-760690.56</v>
      </c>
      <c r="AC106" s="46"/>
      <c r="AD106" s="47"/>
      <c r="AE106" s="46">
        <v>-48188.9</v>
      </c>
      <c r="AF106" s="46">
        <f t="shared" si="18"/>
        <v>-48188.9</v>
      </c>
      <c r="AG106" s="46"/>
      <c r="AH106" s="47"/>
      <c r="AI106" s="46">
        <v>-348658.96</v>
      </c>
      <c r="AJ106" s="46">
        <f t="shared" si="19"/>
        <v>-348658.96</v>
      </c>
      <c r="AK106" s="46"/>
      <c r="AL106" s="47"/>
      <c r="AM106" s="46">
        <v>-1645439.27</v>
      </c>
      <c r="AN106" s="46">
        <f t="shared" si="20"/>
        <v>-1645439.27</v>
      </c>
      <c r="AO106" s="46"/>
      <c r="AP106" s="47"/>
      <c r="AQ106" s="46">
        <v>-8015717.7999999998</v>
      </c>
      <c r="AR106" s="46">
        <f t="shared" si="21"/>
        <v>-8015717.7999999998</v>
      </c>
      <c r="AS106" s="46"/>
      <c r="AT106" s="47"/>
      <c r="AU106" s="47"/>
    </row>
    <row r="107" spans="1:47" x14ac:dyDescent="0.25">
      <c r="A107" s="40" t="s">
        <v>106</v>
      </c>
      <c r="B107" s="47"/>
      <c r="C107" s="46">
        <v>-15866578.58</v>
      </c>
      <c r="D107" s="46">
        <f t="shared" si="11"/>
        <v>-15866578.58</v>
      </c>
      <c r="E107" s="46"/>
      <c r="F107" s="47"/>
      <c r="G107" s="46">
        <v>-7991212.3300000001</v>
      </c>
      <c r="H107" s="46">
        <f t="shared" si="12"/>
        <v>-7991212.3300000001</v>
      </c>
      <c r="I107" s="46"/>
      <c r="J107" s="47"/>
      <c r="K107" s="46">
        <v>-602775.89</v>
      </c>
      <c r="L107" s="46">
        <f t="shared" si="13"/>
        <v>-602775.89</v>
      </c>
      <c r="M107" s="46"/>
      <c r="N107" s="47"/>
      <c r="O107" s="46">
        <v>-2852462.06</v>
      </c>
      <c r="P107" s="46">
        <f t="shared" si="14"/>
        <v>-2852462.06</v>
      </c>
      <c r="Q107" s="46"/>
      <c r="R107" s="47"/>
      <c r="S107" s="47"/>
      <c r="T107" s="46">
        <f t="shared" si="15"/>
        <v>0</v>
      </c>
      <c r="U107" s="46"/>
      <c r="V107" s="47"/>
      <c r="W107" s="46">
        <v>-4441878.2</v>
      </c>
      <c r="X107" s="46">
        <f t="shared" si="16"/>
        <v>-4441878.2</v>
      </c>
      <c r="Y107" s="46"/>
      <c r="Z107" s="47"/>
      <c r="AA107" s="46">
        <v>-48338.61</v>
      </c>
      <c r="AB107" s="46">
        <f t="shared" si="17"/>
        <v>-48338.61</v>
      </c>
      <c r="AC107" s="46"/>
      <c r="AD107" s="47"/>
      <c r="AE107" s="46">
        <v>-45757.57</v>
      </c>
      <c r="AF107" s="46">
        <f t="shared" si="18"/>
        <v>-45757.57</v>
      </c>
      <c r="AG107" s="46"/>
      <c r="AH107" s="47"/>
      <c r="AI107" s="47"/>
      <c r="AJ107" s="46">
        <f t="shared" si="19"/>
        <v>0</v>
      </c>
      <c r="AK107" s="46"/>
      <c r="AL107" s="47"/>
      <c r="AM107" s="46">
        <v>-3745526.59</v>
      </c>
      <c r="AN107" s="46">
        <f t="shared" si="20"/>
        <v>-3745526.59</v>
      </c>
      <c r="AO107" s="46"/>
      <c r="AP107" s="47"/>
      <c r="AQ107" s="47"/>
      <c r="AR107" s="46">
        <f t="shared" si="21"/>
        <v>0</v>
      </c>
      <c r="AS107" s="46"/>
      <c r="AT107" s="47"/>
      <c r="AU107" s="46">
        <v>-4129839.66</v>
      </c>
    </row>
    <row r="108" spans="1:47" x14ac:dyDescent="0.25">
      <c r="A108" s="39" t="s">
        <v>107</v>
      </c>
      <c r="B108" s="44">
        <v>-149301805.37</v>
      </c>
      <c r="C108" s="44">
        <v>-198847050.88999999</v>
      </c>
      <c r="D108" s="44">
        <f t="shared" si="11"/>
        <v>-49545245.519999981</v>
      </c>
      <c r="E108" s="44"/>
      <c r="F108" s="44">
        <v>-87821734.680000007</v>
      </c>
      <c r="G108" s="44">
        <v>-83902704.730000004</v>
      </c>
      <c r="H108" s="44">
        <f t="shared" si="12"/>
        <v>3919029.950000003</v>
      </c>
      <c r="I108" s="44"/>
      <c r="J108" s="44">
        <v>-23229841.489999998</v>
      </c>
      <c r="K108" s="44">
        <v>-22024056.059999999</v>
      </c>
      <c r="L108" s="44">
        <f t="shared" si="13"/>
        <v>1205785.4299999997</v>
      </c>
      <c r="M108" s="44"/>
      <c r="N108" s="44">
        <v>-38097595.579999998</v>
      </c>
      <c r="O108" s="44">
        <v>-36830172.490000002</v>
      </c>
      <c r="P108" s="44">
        <f t="shared" si="14"/>
        <v>1267423.0899999961</v>
      </c>
      <c r="Q108" s="44"/>
      <c r="R108" s="44">
        <v>-4112442.26</v>
      </c>
      <c r="S108" s="44">
        <v>-4119970.54</v>
      </c>
      <c r="T108" s="44">
        <f t="shared" si="15"/>
        <v>-7528.2800000002608</v>
      </c>
      <c r="U108" s="44"/>
      <c r="V108" s="44">
        <v>-4702683.59</v>
      </c>
      <c r="W108" s="44">
        <v>-4657278.41</v>
      </c>
      <c r="X108" s="44">
        <f t="shared" si="16"/>
        <v>45405.179999999702</v>
      </c>
      <c r="Y108" s="44"/>
      <c r="Z108" s="44">
        <v>-7627382.1500000004</v>
      </c>
      <c r="AA108" s="44">
        <v>-5962158.6900000004</v>
      </c>
      <c r="AB108" s="44">
        <f t="shared" si="17"/>
        <v>1665223.46</v>
      </c>
      <c r="AC108" s="44"/>
      <c r="AD108" s="44">
        <v>-7214149.3899999997</v>
      </c>
      <c r="AE108" s="44">
        <v>-8681181.7400000002</v>
      </c>
      <c r="AF108" s="44">
        <f t="shared" si="18"/>
        <v>-1467032.3500000006</v>
      </c>
      <c r="AG108" s="44"/>
      <c r="AH108" s="44">
        <v>-2837640.22</v>
      </c>
      <c r="AI108" s="44">
        <v>-1627886.8</v>
      </c>
      <c r="AJ108" s="44">
        <f t="shared" si="19"/>
        <v>1209753.4200000002</v>
      </c>
      <c r="AK108" s="44"/>
      <c r="AL108" s="44">
        <v>-1053758.32</v>
      </c>
      <c r="AM108" s="44">
        <v>-1627932.66</v>
      </c>
      <c r="AN108" s="44">
        <f t="shared" si="20"/>
        <v>-574174.33999999985</v>
      </c>
      <c r="AO108" s="44"/>
      <c r="AP108" s="44">
        <v>-60346991.579999998</v>
      </c>
      <c r="AQ108" s="44">
        <v>-113286968.26000001</v>
      </c>
      <c r="AR108" s="44">
        <f t="shared" si="21"/>
        <v>-52939976.680000007</v>
      </c>
      <c r="AS108" s="44"/>
      <c r="AT108" s="44">
        <v>-79320.789999999994</v>
      </c>
      <c r="AU108" s="44">
        <v>-29445.24</v>
      </c>
    </row>
    <row r="109" spans="1:47" ht="22.5" x14ac:dyDescent="0.25">
      <c r="A109" s="40" t="s">
        <v>108</v>
      </c>
      <c r="B109" s="46">
        <v>-149301805.37</v>
      </c>
      <c r="C109" s="46">
        <v>-119664026.23999999</v>
      </c>
      <c r="D109" s="46">
        <f t="shared" si="11"/>
        <v>29637779.13000001</v>
      </c>
      <c r="E109" s="46"/>
      <c r="F109" s="46">
        <v>-87821734.680000007</v>
      </c>
      <c r="G109" s="46">
        <v>-36889259.899999999</v>
      </c>
      <c r="H109" s="46">
        <f t="shared" si="12"/>
        <v>50932474.780000009</v>
      </c>
      <c r="I109" s="46"/>
      <c r="J109" s="46">
        <v>-23229841.489999998</v>
      </c>
      <c r="K109" s="46">
        <v>-8785112.8200000003</v>
      </c>
      <c r="L109" s="46">
        <f t="shared" si="13"/>
        <v>14444728.669999998</v>
      </c>
      <c r="M109" s="46"/>
      <c r="N109" s="46">
        <v>-38097595.579999998</v>
      </c>
      <c r="O109" s="46">
        <v>-15166126.09</v>
      </c>
      <c r="P109" s="46">
        <f t="shared" si="14"/>
        <v>22931469.489999998</v>
      </c>
      <c r="Q109" s="46"/>
      <c r="R109" s="46">
        <v>-4112442.26</v>
      </c>
      <c r="S109" s="46">
        <v>-1823186.97</v>
      </c>
      <c r="T109" s="46">
        <f t="shared" si="15"/>
        <v>2289255.29</v>
      </c>
      <c r="U109" s="46"/>
      <c r="V109" s="46">
        <v>-4702683.59</v>
      </c>
      <c r="W109" s="46">
        <v>-2339666.9</v>
      </c>
      <c r="X109" s="46">
        <f t="shared" si="16"/>
        <v>2363016.69</v>
      </c>
      <c r="Y109" s="46"/>
      <c r="Z109" s="46">
        <v>-7627382.1500000004</v>
      </c>
      <c r="AA109" s="46">
        <v>-2495726.71</v>
      </c>
      <c r="AB109" s="46">
        <f t="shared" si="17"/>
        <v>5131655.4400000004</v>
      </c>
      <c r="AC109" s="46"/>
      <c r="AD109" s="46">
        <v>-7214149.3899999997</v>
      </c>
      <c r="AE109" s="46">
        <v>-5297594.41</v>
      </c>
      <c r="AF109" s="46">
        <f t="shared" si="18"/>
        <v>1916554.9799999995</v>
      </c>
      <c r="AG109" s="46"/>
      <c r="AH109" s="46">
        <v>-2837640.22</v>
      </c>
      <c r="AI109" s="46">
        <v>-981846</v>
      </c>
      <c r="AJ109" s="46">
        <f t="shared" si="19"/>
        <v>1855794.2200000002</v>
      </c>
      <c r="AK109" s="46"/>
      <c r="AL109" s="46">
        <v>-1053758.32</v>
      </c>
      <c r="AM109" s="46">
        <v>-372618.01</v>
      </c>
      <c r="AN109" s="46">
        <f t="shared" si="20"/>
        <v>681140.31</v>
      </c>
      <c r="AO109" s="46"/>
      <c r="AP109" s="46">
        <v>-60346991.579999998</v>
      </c>
      <c r="AQ109" s="46">
        <v>-82397164.810000002</v>
      </c>
      <c r="AR109" s="46">
        <f t="shared" si="21"/>
        <v>-22050173.230000004</v>
      </c>
      <c r="AS109" s="46"/>
      <c r="AT109" s="46">
        <v>-79320.789999999994</v>
      </c>
      <c r="AU109" s="46">
        <v>-4983.5200000000004</v>
      </c>
    </row>
    <row r="110" spans="1:47" x14ac:dyDescent="0.25">
      <c r="A110" s="40" t="s">
        <v>109</v>
      </c>
      <c r="B110" s="47"/>
      <c r="C110" s="46">
        <v>-77182357.189999998</v>
      </c>
      <c r="D110" s="46">
        <f t="shared" si="11"/>
        <v>-77182357.189999998</v>
      </c>
      <c r="E110" s="46"/>
      <c r="F110" s="47"/>
      <c r="G110" s="46">
        <v>-45028329.159999996</v>
      </c>
      <c r="H110" s="46">
        <f t="shared" si="12"/>
        <v>-45028329.159999996</v>
      </c>
      <c r="I110" s="46"/>
      <c r="J110" s="47"/>
      <c r="K110" s="46">
        <v>-12423044.810000001</v>
      </c>
      <c r="L110" s="46">
        <f t="shared" si="13"/>
        <v>-12423044.810000001</v>
      </c>
      <c r="M110" s="46"/>
      <c r="N110" s="47"/>
      <c r="O110" s="46">
        <v>-20721723.670000002</v>
      </c>
      <c r="P110" s="46">
        <f t="shared" si="14"/>
        <v>-20721723.670000002</v>
      </c>
      <c r="Q110" s="46"/>
      <c r="R110" s="47"/>
      <c r="S110" s="46">
        <v>-2289606.5699999998</v>
      </c>
      <c r="T110" s="46">
        <f t="shared" si="15"/>
        <v>-2289606.5699999998</v>
      </c>
      <c r="U110" s="46"/>
      <c r="V110" s="47"/>
      <c r="W110" s="46">
        <v>-2240955.71</v>
      </c>
      <c r="X110" s="46">
        <f t="shared" si="16"/>
        <v>-2240955.71</v>
      </c>
      <c r="Y110" s="46"/>
      <c r="Z110" s="47"/>
      <c r="AA110" s="46">
        <v>-3443050.16</v>
      </c>
      <c r="AB110" s="46">
        <f t="shared" si="17"/>
        <v>-3443050.16</v>
      </c>
      <c r="AC110" s="46"/>
      <c r="AD110" s="47"/>
      <c r="AE110" s="46">
        <v>-3267078.41</v>
      </c>
      <c r="AF110" s="46">
        <f t="shared" si="18"/>
        <v>-3267078.41</v>
      </c>
      <c r="AG110" s="46"/>
      <c r="AH110" s="47"/>
      <c r="AI110" s="46">
        <v>-642869.82999999996</v>
      </c>
      <c r="AJ110" s="46">
        <f t="shared" si="19"/>
        <v>-642869.82999999996</v>
      </c>
      <c r="AK110" s="46"/>
      <c r="AL110" s="47"/>
      <c r="AM110" s="46">
        <v>-1239762.8600000001</v>
      </c>
      <c r="AN110" s="46">
        <f t="shared" si="20"/>
        <v>-1239762.8600000001</v>
      </c>
      <c r="AO110" s="46"/>
      <c r="AP110" s="47"/>
      <c r="AQ110" s="46">
        <v>-30889803.449999999</v>
      </c>
      <c r="AR110" s="46">
        <f t="shared" si="21"/>
        <v>-30889803.449999999</v>
      </c>
      <c r="AS110" s="46"/>
      <c r="AT110" s="47"/>
      <c r="AU110" s="46">
        <v>-24461.72</v>
      </c>
    </row>
    <row r="111" spans="1:47" x14ac:dyDescent="0.25">
      <c r="A111" s="40" t="s">
        <v>110</v>
      </c>
      <c r="B111" s="47"/>
      <c r="C111" s="46">
        <v>-2000667.46</v>
      </c>
      <c r="D111" s="46">
        <f t="shared" si="11"/>
        <v>-2000667.46</v>
      </c>
      <c r="E111" s="46"/>
      <c r="F111" s="47"/>
      <c r="G111" s="46">
        <v>-1985115.67</v>
      </c>
      <c r="H111" s="46">
        <f t="shared" si="12"/>
        <v>-1985115.67</v>
      </c>
      <c r="I111" s="46"/>
      <c r="J111" s="47"/>
      <c r="K111" s="46">
        <v>-815898.43</v>
      </c>
      <c r="L111" s="46">
        <f t="shared" si="13"/>
        <v>-815898.43</v>
      </c>
      <c r="M111" s="46"/>
      <c r="N111" s="47"/>
      <c r="O111" s="46">
        <v>-942322.73</v>
      </c>
      <c r="P111" s="46">
        <f t="shared" si="14"/>
        <v>-942322.73</v>
      </c>
      <c r="Q111" s="46"/>
      <c r="R111" s="47"/>
      <c r="S111" s="46">
        <v>-7177</v>
      </c>
      <c r="T111" s="46">
        <f t="shared" si="15"/>
        <v>-7177</v>
      </c>
      <c r="U111" s="46"/>
      <c r="V111" s="47"/>
      <c r="W111" s="46">
        <v>-76655.8</v>
      </c>
      <c r="X111" s="46">
        <f t="shared" si="16"/>
        <v>-76655.8</v>
      </c>
      <c r="Y111" s="46"/>
      <c r="Z111" s="47"/>
      <c r="AA111" s="46">
        <v>-23381.82</v>
      </c>
      <c r="AB111" s="46">
        <f t="shared" si="17"/>
        <v>-23381.82</v>
      </c>
      <c r="AC111" s="46"/>
      <c r="AD111" s="47"/>
      <c r="AE111" s="46">
        <v>-116508.92</v>
      </c>
      <c r="AF111" s="46">
        <f t="shared" si="18"/>
        <v>-116508.92</v>
      </c>
      <c r="AG111" s="46"/>
      <c r="AH111" s="47"/>
      <c r="AI111" s="46">
        <v>-3170.97</v>
      </c>
      <c r="AJ111" s="46">
        <f t="shared" si="19"/>
        <v>-3170.97</v>
      </c>
      <c r="AK111" s="46"/>
      <c r="AL111" s="47"/>
      <c r="AM111" s="46">
        <v>-15551.79</v>
      </c>
      <c r="AN111" s="46">
        <f t="shared" si="20"/>
        <v>-15551.79</v>
      </c>
      <c r="AO111" s="46"/>
      <c r="AP111" s="47"/>
      <c r="AQ111" s="47"/>
      <c r="AR111" s="46">
        <f t="shared" si="21"/>
        <v>0</v>
      </c>
      <c r="AS111" s="46"/>
      <c r="AT111" s="47"/>
      <c r="AU111" s="47"/>
    </row>
    <row r="112" spans="1:47" x14ac:dyDescent="0.25">
      <c r="A112" s="37" t="s">
        <v>111</v>
      </c>
      <c r="B112" s="47"/>
      <c r="C112" s="46">
        <v>-49187.3</v>
      </c>
      <c r="D112" s="46">
        <f t="shared" si="11"/>
        <v>-49187.3</v>
      </c>
      <c r="E112" s="46"/>
      <c r="F112" s="47"/>
      <c r="G112" s="46">
        <v>-49187.3</v>
      </c>
      <c r="H112" s="46">
        <f t="shared" si="12"/>
        <v>-49187.3</v>
      </c>
      <c r="I112" s="46"/>
      <c r="J112" s="47"/>
      <c r="K112" s="47"/>
      <c r="L112" s="46">
        <f t="shared" si="13"/>
        <v>0</v>
      </c>
      <c r="M112" s="46"/>
      <c r="N112" s="47"/>
      <c r="O112" s="47"/>
      <c r="P112" s="46">
        <f t="shared" si="14"/>
        <v>0</v>
      </c>
      <c r="Q112" s="46"/>
      <c r="R112" s="47"/>
      <c r="S112" s="47"/>
      <c r="T112" s="46">
        <f t="shared" si="15"/>
        <v>0</v>
      </c>
      <c r="U112" s="46"/>
      <c r="V112" s="47"/>
      <c r="W112" s="47"/>
      <c r="X112" s="46">
        <f t="shared" si="16"/>
        <v>0</v>
      </c>
      <c r="Y112" s="46"/>
      <c r="Z112" s="47"/>
      <c r="AA112" s="47"/>
      <c r="AB112" s="46">
        <f t="shared" si="17"/>
        <v>0</v>
      </c>
      <c r="AC112" s="46"/>
      <c r="AD112" s="47"/>
      <c r="AE112" s="46">
        <v>-49187.3</v>
      </c>
      <c r="AF112" s="46">
        <f t="shared" si="18"/>
        <v>-49187.3</v>
      </c>
      <c r="AG112" s="46"/>
      <c r="AH112" s="47"/>
      <c r="AI112" s="47"/>
      <c r="AJ112" s="46">
        <f t="shared" si="19"/>
        <v>0</v>
      </c>
      <c r="AK112" s="46"/>
      <c r="AL112" s="47"/>
      <c r="AM112" s="47"/>
      <c r="AN112" s="46">
        <f t="shared" si="20"/>
        <v>0</v>
      </c>
      <c r="AO112" s="46"/>
      <c r="AP112" s="47"/>
      <c r="AQ112" s="47"/>
      <c r="AR112" s="46">
        <f t="shared" si="21"/>
        <v>0</v>
      </c>
      <c r="AS112" s="46"/>
      <c r="AT112" s="47"/>
      <c r="AU112" s="47"/>
    </row>
    <row r="113" spans="1:47" x14ac:dyDescent="0.25">
      <c r="A113" s="36" t="s">
        <v>112</v>
      </c>
      <c r="B113" s="45"/>
      <c r="C113" s="44">
        <v>-2317168.84</v>
      </c>
      <c r="D113" s="44">
        <f t="shared" si="11"/>
        <v>-2317168.84</v>
      </c>
      <c r="E113" s="44"/>
      <c r="F113" s="45"/>
      <c r="G113" s="44">
        <v>-17000</v>
      </c>
      <c r="H113" s="44">
        <f t="shared" si="12"/>
        <v>-17000</v>
      </c>
      <c r="I113" s="44"/>
      <c r="J113" s="45"/>
      <c r="K113" s="45"/>
      <c r="L113" s="44">
        <f t="shared" si="13"/>
        <v>0</v>
      </c>
      <c r="M113" s="44"/>
      <c r="N113" s="45"/>
      <c r="O113" s="45"/>
      <c r="P113" s="44">
        <f t="shared" si="14"/>
        <v>0</v>
      </c>
      <c r="Q113" s="44"/>
      <c r="R113" s="45"/>
      <c r="S113" s="44">
        <v>-17000</v>
      </c>
      <c r="T113" s="44">
        <f t="shared" si="15"/>
        <v>-17000</v>
      </c>
      <c r="U113" s="44"/>
      <c r="V113" s="45"/>
      <c r="W113" s="45"/>
      <c r="X113" s="44">
        <f t="shared" si="16"/>
        <v>0</v>
      </c>
      <c r="Y113" s="44"/>
      <c r="Z113" s="45"/>
      <c r="AA113" s="45"/>
      <c r="AB113" s="44">
        <f t="shared" si="17"/>
        <v>0</v>
      </c>
      <c r="AC113" s="44"/>
      <c r="AD113" s="45"/>
      <c r="AE113" s="45"/>
      <c r="AF113" s="44">
        <f t="shared" si="18"/>
        <v>0</v>
      </c>
      <c r="AG113" s="44"/>
      <c r="AH113" s="45"/>
      <c r="AI113" s="45"/>
      <c r="AJ113" s="44">
        <f t="shared" si="19"/>
        <v>0</v>
      </c>
      <c r="AK113" s="44"/>
      <c r="AL113" s="45"/>
      <c r="AM113" s="45"/>
      <c r="AN113" s="44">
        <f t="shared" si="20"/>
        <v>0</v>
      </c>
      <c r="AO113" s="44"/>
      <c r="AP113" s="45"/>
      <c r="AQ113" s="45"/>
      <c r="AR113" s="44">
        <f t="shared" si="21"/>
        <v>0</v>
      </c>
      <c r="AS113" s="44"/>
      <c r="AT113" s="45"/>
      <c r="AU113" s="44">
        <v>-2300168.84</v>
      </c>
    </row>
    <row r="114" spans="1:47" x14ac:dyDescent="0.25">
      <c r="A114" s="37" t="s">
        <v>113</v>
      </c>
      <c r="B114" s="47"/>
      <c r="C114" s="46">
        <v>-17000</v>
      </c>
      <c r="D114" s="46">
        <f t="shared" si="11"/>
        <v>-17000</v>
      </c>
      <c r="E114" s="46"/>
      <c r="F114" s="47"/>
      <c r="G114" s="46">
        <v>-17000</v>
      </c>
      <c r="H114" s="46">
        <f t="shared" si="12"/>
        <v>-17000</v>
      </c>
      <c r="I114" s="46"/>
      <c r="J114" s="47"/>
      <c r="K114" s="47"/>
      <c r="L114" s="46">
        <f t="shared" si="13"/>
        <v>0</v>
      </c>
      <c r="M114" s="46"/>
      <c r="N114" s="47"/>
      <c r="O114" s="47"/>
      <c r="P114" s="46">
        <f t="shared" si="14"/>
        <v>0</v>
      </c>
      <c r="Q114" s="46"/>
      <c r="R114" s="47"/>
      <c r="S114" s="46">
        <v>-17000</v>
      </c>
      <c r="T114" s="46">
        <f t="shared" si="15"/>
        <v>-17000</v>
      </c>
      <c r="U114" s="46"/>
      <c r="V114" s="47"/>
      <c r="W114" s="47"/>
      <c r="X114" s="46">
        <f t="shared" si="16"/>
        <v>0</v>
      </c>
      <c r="Y114" s="46"/>
      <c r="Z114" s="47"/>
      <c r="AA114" s="47"/>
      <c r="AB114" s="46">
        <f t="shared" si="17"/>
        <v>0</v>
      </c>
      <c r="AC114" s="46"/>
      <c r="AD114" s="47"/>
      <c r="AE114" s="47"/>
      <c r="AF114" s="46">
        <f t="shared" si="18"/>
        <v>0</v>
      </c>
      <c r="AG114" s="46"/>
      <c r="AH114" s="47"/>
      <c r="AI114" s="47"/>
      <c r="AJ114" s="46">
        <f t="shared" si="19"/>
        <v>0</v>
      </c>
      <c r="AK114" s="46"/>
      <c r="AL114" s="47"/>
      <c r="AM114" s="47"/>
      <c r="AN114" s="46">
        <f t="shared" si="20"/>
        <v>0</v>
      </c>
      <c r="AO114" s="46"/>
      <c r="AP114" s="47"/>
      <c r="AQ114" s="47"/>
      <c r="AR114" s="46">
        <f t="shared" si="21"/>
        <v>0</v>
      </c>
      <c r="AS114" s="46"/>
      <c r="AT114" s="47"/>
      <c r="AU114" s="47"/>
    </row>
    <row r="115" spans="1:47" x14ac:dyDescent="0.25">
      <c r="A115" s="37" t="s">
        <v>114</v>
      </c>
      <c r="B115" s="47"/>
      <c r="C115" s="46">
        <v>-2300168.84</v>
      </c>
      <c r="D115" s="46">
        <f t="shared" si="11"/>
        <v>-2300168.84</v>
      </c>
      <c r="E115" s="46"/>
      <c r="F115" s="47"/>
      <c r="G115" s="47"/>
      <c r="H115" s="46">
        <f t="shared" si="12"/>
        <v>0</v>
      </c>
      <c r="I115" s="46"/>
      <c r="J115" s="47"/>
      <c r="K115" s="47"/>
      <c r="L115" s="46">
        <f t="shared" si="13"/>
        <v>0</v>
      </c>
      <c r="M115" s="46"/>
      <c r="N115" s="47"/>
      <c r="O115" s="47"/>
      <c r="P115" s="46">
        <f t="shared" si="14"/>
        <v>0</v>
      </c>
      <c r="Q115" s="46"/>
      <c r="R115" s="47"/>
      <c r="S115" s="47"/>
      <c r="T115" s="46">
        <f t="shared" si="15"/>
        <v>0</v>
      </c>
      <c r="U115" s="46"/>
      <c r="V115" s="47"/>
      <c r="W115" s="47"/>
      <c r="X115" s="46">
        <f t="shared" si="16"/>
        <v>0</v>
      </c>
      <c r="Y115" s="46"/>
      <c r="Z115" s="47"/>
      <c r="AA115" s="47"/>
      <c r="AB115" s="46">
        <f t="shared" si="17"/>
        <v>0</v>
      </c>
      <c r="AC115" s="46"/>
      <c r="AD115" s="47"/>
      <c r="AE115" s="47"/>
      <c r="AF115" s="46">
        <f t="shared" si="18"/>
        <v>0</v>
      </c>
      <c r="AG115" s="46"/>
      <c r="AH115" s="47"/>
      <c r="AI115" s="47"/>
      <c r="AJ115" s="46">
        <f t="shared" si="19"/>
        <v>0</v>
      </c>
      <c r="AK115" s="46"/>
      <c r="AL115" s="47"/>
      <c r="AM115" s="47"/>
      <c r="AN115" s="46">
        <f t="shared" si="20"/>
        <v>0</v>
      </c>
      <c r="AO115" s="46"/>
      <c r="AP115" s="47"/>
      <c r="AQ115" s="47"/>
      <c r="AR115" s="46">
        <f t="shared" si="21"/>
        <v>0</v>
      </c>
      <c r="AS115" s="46"/>
      <c r="AT115" s="47"/>
      <c r="AU115" s="46">
        <v>-2300168.84</v>
      </c>
    </row>
    <row r="116" spans="1:47" x14ac:dyDescent="0.25">
      <c r="A116" s="37" t="s">
        <v>115</v>
      </c>
      <c r="B116" s="47"/>
      <c r="C116" s="47"/>
      <c r="D116" s="47">
        <f t="shared" si="11"/>
        <v>0</v>
      </c>
      <c r="E116" s="47"/>
      <c r="F116" s="47"/>
      <c r="G116" s="47"/>
      <c r="H116" s="47">
        <f t="shared" si="12"/>
        <v>0</v>
      </c>
      <c r="I116" s="47"/>
      <c r="J116" s="47"/>
      <c r="K116" s="47"/>
      <c r="L116" s="47">
        <f t="shared" si="13"/>
        <v>0</v>
      </c>
      <c r="M116" s="47"/>
      <c r="N116" s="47"/>
      <c r="O116" s="47"/>
      <c r="P116" s="47">
        <f t="shared" si="14"/>
        <v>0</v>
      </c>
      <c r="Q116" s="47"/>
      <c r="R116" s="47"/>
      <c r="S116" s="47"/>
      <c r="T116" s="47">
        <f t="shared" si="15"/>
        <v>0</v>
      </c>
      <c r="U116" s="47"/>
      <c r="V116" s="47"/>
      <c r="W116" s="47"/>
      <c r="X116" s="47">
        <f t="shared" si="16"/>
        <v>0</v>
      </c>
      <c r="Y116" s="47"/>
      <c r="Z116" s="47"/>
      <c r="AA116" s="47"/>
      <c r="AB116" s="47">
        <f t="shared" si="17"/>
        <v>0</v>
      </c>
      <c r="AC116" s="47"/>
      <c r="AD116" s="47"/>
      <c r="AE116" s="47"/>
      <c r="AF116" s="47">
        <f t="shared" si="18"/>
        <v>0</v>
      </c>
      <c r="AG116" s="47"/>
      <c r="AH116" s="47"/>
      <c r="AI116" s="47"/>
      <c r="AJ116" s="47">
        <f t="shared" si="19"/>
        <v>0</v>
      </c>
      <c r="AK116" s="47"/>
      <c r="AL116" s="47"/>
      <c r="AM116" s="47"/>
      <c r="AN116" s="47">
        <f t="shared" si="20"/>
        <v>0</v>
      </c>
      <c r="AO116" s="47"/>
      <c r="AP116" s="47"/>
      <c r="AQ116" s="47"/>
      <c r="AR116" s="47">
        <f t="shared" si="21"/>
        <v>0</v>
      </c>
      <c r="AS116" s="47"/>
      <c r="AT116" s="47"/>
      <c r="AU116" s="47"/>
    </row>
    <row r="117" spans="1:47" x14ac:dyDescent="0.25">
      <c r="A117" s="35" t="s">
        <v>116</v>
      </c>
      <c r="B117" s="46">
        <v>-819000</v>
      </c>
      <c r="C117" s="46">
        <v>-6625994.0499999998</v>
      </c>
      <c r="D117" s="46">
        <f t="shared" si="11"/>
        <v>-5806994.0499999998</v>
      </c>
      <c r="E117" s="46"/>
      <c r="F117" s="46">
        <v>-819000</v>
      </c>
      <c r="G117" s="46">
        <v>-6703374.0599999996</v>
      </c>
      <c r="H117" s="46">
        <f t="shared" si="12"/>
        <v>-5884374.0599999996</v>
      </c>
      <c r="I117" s="46"/>
      <c r="J117" s="47"/>
      <c r="K117" s="46">
        <v>-155824.82</v>
      </c>
      <c r="L117" s="46">
        <f t="shared" si="13"/>
        <v>-155824.82</v>
      </c>
      <c r="M117" s="46"/>
      <c r="N117" s="47"/>
      <c r="O117" s="46">
        <v>-920165.98</v>
      </c>
      <c r="P117" s="46">
        <f t="shared" si="14"/>
        <v>-920165.98</v>
      </c>
      <c r="Q117" s="46"/>
      <c r="R117" s="47"/>
      <c r="S117" s="46">
        <v>-127449.19</v>
      </c>
      <c r="T117" s="46">
        <f t="shared" si="15"/>
        <v>-127449.19</v>
      </c>
      <c r="U117" s="46"/>
      <c r="V117" s="47"/>
      <c r="W117" s="46">
        <v>-126715.19</v>
      </c>
      <c r="X117" s="46">
        <f t="shared" si="16"/>
        <v>-126715.19</v>
      </c>
      <c r="Y117" s="46"/>
      <c r="Z117" s="47"/>
      <c r="AA117" s="46">
        <v>-109937.18</v>
      </c>
      <c r="AB117" s="46">
        <f t="shared" si="17"/>
        <v>-109937.18</v>
      </c>
      <c r="AC117" s="46"/>
      <c r="AD117" s="46">
        <v>-819000</v>
      </c>
      <c r="AE117" s="46">
        <v>-2464017.41</v>
      </c>
      <c r="AF117" s="46">
        <f t="shared" si="18"/>
        <v>-1645017.4100000001</v>
      </c>
      <c r="AG117" s="46"/>
      <c r="AH117" s="47"/>
      <c r="AI117" s="46">
        <v>-2799264.29</v>
      </c>
      <c r="AJ117" s="46">
        <f t="shared" si="19"/>
        <v>-2799264.29</v>
      </c>
      <c r="AK117" s="46"/>
      <c r="AL117" s="47"/>
      <c r="AM117" s="46">
        <v>77380.009999999995</v>
      </c>
      <c r="AN117" s="46">
        <f t="shared" si="20"/>
        <v>77380.009999999995</v>
      </c>
      <c r="AO117" s="46"/>
      <c r="AP117" s="47"/>
      <c r="AQ117" s="47"/>
      <c r="AR117" s="46">
        <f t="shared" si="21"/>
        <v>0</v>
      </c>
      <c r="AS117" s="46"/>
      <c r="AT117" s="47"/>
      <c r="AU117" s="47"/>
    </row>
    <row r="118" spans="1:47" ht="22.5" x14ac:dyDescent="0.25">
      <c r="A118" s="35" t="s">
        <v>117</v>
      </c>
      <c r="B118" s="47"/>
      <c r="C118" s="46">
        <v>-318394.59999999998</v>
      </c>
      <c r="D118" s="46">
        <f t="shared" si="11"/>
        <v>-318394.59999999998</v>
      </c>
      <c r="E118" s="46"/>
      <c r="F118" s="47"/>
      <c r="G118" s="46">
        <v>-227119.7</v>
      </c>
      <c r="H118" s="46">
        <f t="shared" si="12"/>
        <v>-227119.7</v>
      </c>
      <c r="I118" s="46"/>
      <c r="J118" s="47"/>
      <c r="K118" s="46">
        <v>-221898.14</v>
      </c>
      <c r="L118" s="46">
        <f t="shared" si="13"/>
        <v>-221898.14</v>
      </c>
      <c r="M118" s="46"/>
      <c r="N118" s="47"/>
      <c r="O118" s="47"/>
      <c r="P118" s="46">
        <f t="shared" si="14"/>
        <v>0</v>
      </c>
      <c r="Q118" s="46"/>
      <c r="R118" s="47"/>
      <c r="S118" s="47"/>
      <c r="T118" s="46">
        <f t="shared" si="15"/>
        <v>0</v>
      </c>
      <c r="U118" s="46"/>
      <c r="V118" s="47"/>
      <c r="W118" s="46">
        <v>-5221.5600000000004</v>
      </c>
      <c r="X118" s="46">
        <f t="shared" si="16"/>
        <v>-5221.5600000000004</v>
      </c>
      <c r="Y118" s="46"/>
      <c r="Z118" s="47"/>
      <c r="AA118" s="47"/>
      <c r="AB118" s="46">
        <f t="shared" si="17"/>
        <v>0</v>
      </c>
      <c r="AC118" s="46"/>
      <c r="AD118" s="47"/>
      <c r="AE118" s="47"/>
      <c r="AF118" s="46">
        <f t="shared" si="18"/>
        <v>0</v>
      </c>
      <c r="AG118" s="46"/>
      <c r="AH118" s="47"/>
      <c r="AI118" s="47"/>
      <c r="AJ118" s="46">
        <f t="shared" si="19"/>
        <v>0</v>
      </c>
      <c r="AK118" s="46"/>
      <c r="AL118" s="47"/>
      <c r="AM118" s="46">
        <v>-91274.9</v>
      </c>
      <c r="AN118" s="46">
        <f t="shared" si="20"/>
        <v>-91274.9</v>
      </c>
      <c r="AO118" s="46"/>
      <c r="AP118" s="47"/>
      <c r="AQ118" s="47"/>
      <c r="AR118" s="46">
        <f t="shared" si="21"/>
        <v>0</v>
      </c>
      <c r="AS118" s="46"/>
      <c r="AT118" s="47"/>
      <c r="AU118" s="47"/>
    </row>
    <row r="119" spans="1:47" x14ac:dyDescent="0.25">
      <c r="A119" s="32" t="s">
        <v>118</v>
      </c>
      <c r="B119" s="44">
        <v>11124679567.130001</v>
      </c>
      <c r="C119" s="44">
        <v>10205543612.209999</v>
      </c>
      <c r="D119" s="44">
        <f t="shared" si="11"/>
        <v>-919135954.92000198</v>
      </c>
      <c r="E119" s="44"/>
      <c r="F119" s="44">
        <v>6614622159.1000004</v>
      </c>
      <c r="G119" s="44">
        <v>6237588262.8400002</v>
      </c>
      <c r="H119" s="44">
        <f t="shared" si="12"/>
        <v>-377033896.26000023</v>
      </c>
      <c r="I119" s="44"/>
      <c r="J119" s="44">
        <v>833590019.97000003</v>
      </c>
      <c r="K119" s="44">
        <v>793691022.74000001</v>
      </c>
      <c r="L119" s="44">
        <f t="shared" si="13"/>
        <v>-39898997.230000019</v>
      </c>
      <c r="M119" s="44"/>
      <c r="N119" s="44">
        <v>1502531379.46</v>
      </c>
      <c r="O119" s="44">
        <v>1393857788.4899998</v>
      </c>
      <c r="P119" s="44">
        <f t="shared" si="14"/>
        <v>-108673590.97000027</v>
      </c>
      <c r="Q119" s="44"/>
      <c r="R119" s="44">
        <v>713958766.54999995</v>
      </c>
      <c r="S119" s="44">
        <v>654604532.85000002</v>
      </c>
      <c r="T119" s="44">
        <f t="shared" si="15"/>
        <v>-59354233.699999928</v>
      </c>
      <c r="U119" s="44"/>
      <c r="V119" s="44">
        <v>828869864.01999998</v>
      </c>
      <c r="W119" s="44">
        <v>724996916.25999999</v>
      </c>
      <c r="X119" s="44">
        <f t="shared" si="16"/>
        <v>-103872947.75999999</v>
      </c>
      <c r="Y119" s="44"/>
      <c r="Z119" s="44">
        <v>1075261900.5899999</v>
      </c>
      <c r="AA119" s="44">
        <v>1045449528.15</v>
      </c>
      <c r="AB119" s="44">
        <f t="shared" si="17"/>
        <v>-29812372.439999938</v>
      </c>
      <c r="AC119" s="44"/>
      <c r="AD119" s="44">
        <v>935803773.17999995</v>
      </c>
      <c r="AE119" s="44">
        <v>924150119.80999994</v>
      </c>
      <c r="AF119" s="44">
        <f t="shared" si="18"/>
        <v>-11653653.370000005</v>
      </c>
      <c r="AG119" s="44"/>
      <c r="AH119" s="44">
        <v>724606455.33000004</v>
      </c>
      <c r="AI119" s="44">
        <v>700838354.53999996</v>
      </c>
      <c r="AJ119" s="44">
        <f t="shared" si="19"/>
        <v>-23768100.790000081</v>
      </c>
      <c r="AK119" s="44"/>
      <c r="AL119" s="44">
        <v>2133397292.46</v>
      </c>
      <c r="AM119" s="44">
        <v>2041793549.1500001</v>
      </c>
      <c r="AN119" s="44">
        <f t="shared" si="20"/>
        <v>-91603743.309999943</v>
      </c>
      <c r="AO119" s="44"/>
      <c r="AP119" s="44">
        <v>652783886.08000004</v>
      </c>
      <c r="AQ119" s="44">
        <v>604899720.66999996</v>
      </c>
      <c r="AR119" s="44">
        <f t="shared" si="21"/>
        <v>-47884165.410000086</v>
      </c>
      <c r="AS119" s="44"/>
      <c r="AT119" s="44">
        <v>1629228668.76</v>
      </c>
      <c r="AU119" s="44">
        <v>1283284165.3399999</v>
      </c>
    </row>
    <row r="120" spans="1:47" x14ac:dyDescent="0.25">
      <c r="A120" s="33" t="s">
        <v>119</v>
      </c>
      <c r="B120" s="44">
        <v>7530938129.6599989</v>
      </c>
      <c r="C120" s="44">
        <v>7172317530.9700003</v>
      </c>
      <c r="D120" s="44">
        <f t="shared" si="11"/>
        <v>-358620598.68999863</v>
      </c>
      <c r="E120" s="44"/>
      <c r="F120" s="44">
        <v>4965586554.9899998</v>
      </c>
      <c r="G120" s="44">
        <v>4738801370.3400002</v>
      </c>
      <c r="H120" s="44">
        <f t="shared" si="12"/>
        <v>-226785184.64999962</v>
      </c>
      <c r="I120" s="44"/>
      <c r="J120" s="44">
        <v>608383690.88999999</v>
      </c>
      <c r="K120" s="44">
        <v>582417031.05999994</v>
      </c>
      <c r="L120" s="44">
        <f t="shared" si="13"/>
        <v>-25966659.830000043</v>
      </c>
      <c r="M120" s="44"/>
      <c r="N120" s="44">
        <v>1144714188.8399999</v>
      </c>
      <c r="O120" s="44">
        <v>1091552673.48</v>
      </c>
      <c r="P120" s="44">
        <f t="shared" si="14"/>
        <v>-53161515.359999895</v>
      </c>
      <c r="Q120" s="44"/>
      <c r="R120" s="44">
        <v>508273703.44999999</v>
      </c>
      <c r="S120" s="44">
        <v>467750243.64999998</v>
      </c>
      <c r="T120" s="44">
        <f t="shared" si="15"/>
        <v>-40523459.800000012</v>
      </c>
      <c r="U120" s="44"/>
      <c r="V120" s="44">
        <v>620166063.26999998</v>
      </c>
      <c r="W120" s="44">
        <v>549891702.34000003</v>
      </c>
      <c r="X120" s="44">
        <f t="shared" si="16"/>
        <v>-70274360.929999948</v>
      </c>
      <c r="Y120" s="44"/>
      <c r="Z120" s="44">
        <v>841969534.13</v>
      </c>
      <c r="AA120" s="44">
        <v>816061355.91999996</v>
      </c>
      <c r="AB120" s="44">
        <f t="shared" si="17"/>
        <v>-25908178.210000038</v>
      </c>
      <c r="AC120" s="44"/>
      <c r="AD120" s="44">
        <v>723525178.45000005</v>
      </c>
      <c r="AE120" s="44">
        <v>721513655</v>
      </c>
      <c r="AF120" s="44">
        <f t="shared" si="18"/>
        <v>-2011523.4500000477</v>
      </c>
      <c r="AG120" s="44"/>
      <c r="AH120" s="44">
        <v>518554195.95999998</v>
      </c>
      <c r="AI120" s="44">
        <v>509614708.88999999</v>
      </c>
      <c r="AJ120" s="44">
        <f t="shared" si="19"/>
        <v>-8939487.0699999928</v>
      </c>
      <c r="AK120" s="44"/>
      <c r="AL120" s="44">
        <v>1454752425.1699998</v>
      </c>
      <c r="AM120" s="44">
        <v>1521121122.9200001</v>
      </c>
      <c r="AN120" s="44">
        <f t="shared" si="20"/>
        <v>66368697.750000238</v>
      </c>
      <c r="AO120" s="44"/>
      <c r="AP120" s="44">
        <v>459722364.81</v>
      </c>
      <c r="AQ120" s="44">
        <v>443114913.27999997</v>
      </c>
      <c r="AR120" s="44">
        <f t="shared" si="21"/>
        <v>-16607451.530000031</v>
      </c>
      <c r="AS120" s="44"/>
      <c r="AT120" s="44">
        <v>646395989.71000004</v>
      </c>
      <c r="AU120" s="44">
        <v>465899960.56</v>
      </c>
    </row>
    <row r="121" spans="1:47" x14ac:dyDescent="0.25">
      <c r="A121" s="34" t="s">
        <v>120</v>
      </c>
      <c r="B121" s="44">
        <v>963357483.89999998</v>
      </c>
      <c r="C121" s="44">
        <v>934335095.55999994</v>
      </c>
      <c r="D121" s="44">
        <f t="shared" si="11"/>
        <v>-29022388.340000033</v>
      </c>
      <c r="E121" s="44"/>
      <c r="F121" s="44">
        <v>799310297.46000004</v>
      </c>
      <c r="G121" s="44">
        <v>756960441.61000001</v>
      </c>
      <c r="H121" s="44">
        <f t="shared" si="12"/>
        <v>-42349855.850000024</v>
      </c>
      <c r="I121" s="44"/>
      <c r="J121" s="44">
        <v>118845454.86</v>
      </c>
      <c r="K121" s="44">
        <v>113820039.67</v>
      </c>
      <c r="L121" s="44">
        <f t="shared" si="13"/>
        <v>-5025415.1899999976</v>
      </c>
      <c r="M121" s="44"/>
      <c r="N121" s="44">
        <v>125762709.29000001</v>
      </c>
      <c r="O121" s="44">
        <v>132724906.40000001</v>
      </c>
      <c r="P121" s="44">
        <f t="shared" si="14"/>
        <v>6962197.1099999994</v>
      </c>
      <c r="Q121" s="44"/>
      <c r="R121" s="44">
        <v>97820986.659999996</v>
      </c>
      <c r="S121" s="44">
        <v>97953593.099999994</v>
      </c>
      <c r="T121" s="44">
        <f t="shared" si="15"/>
        <v>132606.43999999762</v>
      </c>
      <c r="U121" s="44"/>
      <c r="V121" s="44">
        <v>110482299.45</v>
      </c>
      <c r="W121" s="44">
        <v>89837350.930000007</v>
      </c>
      <c r="X121" s="44">
        <f t="shared" si="16"/>
        <v>-20644948.519999996</v>
      </c>
      <c r="Y121" s="44"/>
      <c r="Z121" s="44">
        <v>181050128.22</v>
      </c>
      <c r="AA121" s="44">
        <v>161845118.06999999</v>
      </c>
      <c r="AB121" s="44">
        <f t="shared" si="17"/>
        <v>-19205010.150000006</v>
      </c>
      <c r="AC121" s="44"/>
      <c r="AD121" s="44">
        <v>120818165.52</v>
      </c>
      <c r="AE121" s="44">
        <v>122592508.56</v>
      </c>
      <c r="AF121" s="44">
        <f t="shared" si="18"/>
        <v>1774343.0400000066</v>
      </c>
      <c r="AG121" s="44"/>
      <c r="AH121" s="44">
        <v>44530553.460000001</v>
      </c>
      <c r="AI121" s="44">
        <v>38186924.880000003</v>
      </c>
      <c r="AJ121" s="44">
        <f t="shared" si="19"/>
        <v>-6343628.5799999982</v>
      </c>
      <c r="AK121" s="44"/>
      <c r="AL121" s="44">
        <v>133295993</v>
      </c>
      <c r="AM121" s="44">
        <v>142307292.03</v>
      </c>
      <c r="AN121" s="44">
        <f t="shared" si="20"/>
        <v>9011299.0300000012</v>
      </c>
      <c r="AO121" s="44"/>
      <c r="AP121" s="44">
        <v>28931871.399999999</v>
      </c>
      <c r="AQ121" s="44">
        <v>25173986.219999999</v>
      </c>
      <c r="AR121" s="44">
        <f t="shared" si="21"/>
        <v>-3757885.1799999997</v>
      </c>
      <c r="AS121" s="44"/>
      <c r="AT121" s="44">
        <v>1822521.82</v>
      </c>
      <c r="AU121" s="44">
        <v>9874550.3399999999</v>
      </c>
    </row>
    <row r="122" spans="1:47" x14ac:dyDescent="0.25">
      <c r="A122" s="35" t="s">
        <v>121</v>
      </c>
      <c r="B122" s="46">
        <v>95513481.780000001</v>
      </c>
      <c r="C122" s="46">
        <v>89410558.870000005</v>
      </c>
      <c r="D122" s="46">
        <f t="shared" si="11"/>
        <v>-6102922.9099999964</v>
      </c>
      <c r="E122" s="46"/>
      <c r="F122" s="46">
        <v>80642276.430000007</v>
      </c>
      <c r="G122" s="46">
        <v>72969051.489999995</v>
      </c>
      <c r="H122" s="46">
        <f t="shared" si="12"/>
        <v>-7673224.9400000125</v>
      </c>
      <c r="I122" s="46"/>
      <c r="J122" s="46">
        <v>11457290.529999999</v>
      </c>
      <c r="K122" s="46">
        <v>8701708.5299999993</v>
      </c>
      <c r="L122" s="46">
        <f t="shared" si="13"/>
        <v>-2755582</v>
      </c>
      <c r="M122" s="46"/>
      <c r="N122" s="46">
        <v>13907014.82</v>
      </c>
      <c r="O122" s="46">
        <v>15662736.27</v>
      </c>
      <c r="P122" s="46">
        <f t="shared" si="14"/>
        <v>1755721.4499999993</v>
      </c>
      <c r="Q122" s="46"/>
      <c r="R122" s="46">
        <v>13250404.73</v>
      </c>
      <c r="S122" s="46">
        <v>12496944.1</v>
      </c>
      <c r="T122" s="46">
        <f t="shared" si="15"/>
        <v>-753460.63000000082</v>
      </c>
      <c r="U122" s="46"/>
      <c r="V122" s="46">
        <v>8146706.2999999998</v>
      </c>
      <c r="W122" s="46">
        <v>5601921.6200000001</v>
      </c>
      <c r="X122" s="46">
        <f t="shared" si="16"/>
        <v>-2544784.6799999997</v>
      </c>
      <c r="Y122" s="46"/>
      <c r="Z122" s="46">
        <v>19000071.77</v>
      </c>
      <c r="AA122" s="46">
        <v>17284531.379999999</v>
      </c>
      <c r="AB122" s="46">
        <f t="shared" si="17"/>
        <v>-1715540.3900000006</v>
      </c>
      <c r="AC122" s="46"/>
      <c r="AD122" s="46">
        <v>10291353.859999999</v>
      </c>
      <c r="AE122" s="46">
        <v>10415663.779999999</v>
      </c>
      <c r="AF122" s="46">
        <f t="shared" si="18"/>
        <v>124309.91999999993</v>
      </c>
      <c r="AG122" s="46"/>
      <c r="AH122" s="46">
        <v>4589434.42</v>
      </c>
      <c r="AI122" s="46">
        <v>2805545.81</v>
      </c>
      <c r="AJ122" s="46">
        <f t="shared" si="19"/>
        <v>-1783888.6099999999</v>
      </c>
      <c r="AK122" s="46"/>
      <c r="AL122" s="46">
        <v>13046624.609999999</v>
      </c>
      <c r="AM122" s="46">
        <v>14661136.32</v>
      </c>
      <c r="AN122" s="46">
        <f t="shared" si="20"/>
        <v>1614511.7100000009</v>
      </c>
      <c r="AO122" s="46"/>
      <c r="AP122" s="46">
        <v>1768301.59</v>
      </c>
      <c r="AQ122" s="46">
        <v>1367799.02</v>
      </c>
      <c r="AR122" s="46">
        <f t="shared" si="21"/>
        <v>-400502.57000000007</v>
      </c>
      <c r="AS122" s="46"/>
      <c r="AT122" s="46">
        <v>39626.93</v>
      </c>
      <c r="AU122" s="46">
        <v>394433.45</v>
      </c>
    </row>
    <row r="123" spans="1:47" x14ac:dyDescent="0.25">
      <c r="A123" s="35" t="s">
        <v>122</v>
      </c>
      <c r="B123" s="46">
        <v>651187133.91999996</v>
      </c>
      <c r="C123" s="46">
        <v>617082191.22000003</v>
      </c>
      <c r="D123" s="46">
        <f t="shared" si="11"/>
        <v>-34104942.699999928</v>
      </c>
      <c r="E123" s="46"/>
      <c r="F123" s="46">
        <v>562897001.71000004</v>
      </c>
      <c r="G123" s="46">
        <v>526598367.08999997</v>
      </c>
      <c r="H123" s="46">
        <f t="shared" si="12"/>
        <v>-36298634.620000064</v>
      </c>
      <c r="I123" s="46"/>
      <c r="J123" s="46">
        <v>85306046.400000006</v>
      </c>
      <c r="K123" s="46">
        <v>83120366.780000001</v>
      </c>
      <c r="L123" s="46">
        <f t="shared" si="13"/>
        <v>-2185679.6200000048</v>
      </c>
      <c r="M123" s="46"/>
      <c r="N123" s="46">
        <v>88293681.010000005</v>
      </c>
      <c r="O123" s="46">
        <v>87996786.540000007</v>
      </c>
      <c r="P123" s="46">
        <f t="shared" si="14"/>
        <v>-296894.46999999881</v>
      </c>
      <c r="Q123" s="46"/>
      <c r="R123" s="46">
        <v>67767364.829999998</v>
      </c>
      <c r="S123" s="46">
        <v>66416736.759999998</v>
      </c>
      <c r="T123" s="46">
        <f t="shared" si="15"/>
        <v>-1350628.0700000003</v>
      </c>
      <c r="U123" s="46"/>
      <c r="V123" s="46">
        <v>83431564.349999994</v>
      </c>
      <c r="W123" s="46">
        <v>68566883.810000002</v>
      </c>
      <c r="X123" s="46">
        <f t="shared" si="16"/>
        <v>-14864680.539999992</v>
      </c>
      <c r="Y123" s="46"/>
      <c r="Z123" s="46">
        <v>123586658.26000001</v>
      </c>
      <c r="AA123" s="46">
        <v>109168752.67</v>
      </c>
      <c r="AB123" s="46">
        <f t="shared" si="17"/>
        <v>-14417905.590000004</v>
      </c>
      <c r="AC123" s="46"/>
      <c r="AD123" s="46">
        <v>86461840.670000002</v>
      </c>
      <c r="AE123" s="46">
        <v>87703211.219999999</v>
      </c>
      <c r="AF123" s="46">
        <f t="shared" si="18"/>
        <v>1241370.549999997</v>
      </c>
      <c r="AG123" s="46"/>
      <c r="AH123" s="46">
        <v>28049846.190000001</v>
      </c>
      <c r="AI123" s="46">
        <v>23625629.309999999</v>
      </c>
      <c r="AJ123" s="46">
        <f t="shared" si="19"/>
        <v>-4424216.8800000027</v>
      </c>
      <c r="AK123" s="46"/>
      <c r="AL123" s="46">
        <v>70204593.530000001</v>
      </c>
      <c r="AM123" s="46">
        <v>71528760.819999993</v>
      </c>
      <c r="AN123" s="46">
        <f t="shared" si="20"/>
        <v>1324167.2899999917</v>
      </c>
      <c r="AO123" s="46"/>
      <c r="AP123" s="46">
        <v>17098636.52</v>
      </c>
      <c r="AQ123" s="46">
        <v>15665294.199999999</v>
      </c>
      <c r="AR123" s="46">
        <f t="shared" si="21"/>
        <v>-1433342.3200000003</v>
      </c>
      <c r="AS123" s="46"/>
      <c r="AT123" s="46">
        <v>995819.16</v>
      </c>
      <c r="AU123" s="46">
        <v>3289082.34</v>
      </c>
    </row>
    <row r="124" spans="1:47" x14ac:dyDescent="0.25">
      <c r="A124" s="35" t="s">
        <v>123</v>
      </c>
      <c r="B124" s="46">
        <v>159110246.18000001</v>
      </c>
      <c r="C124" s="46">
        <v>176991761.63</v>
      </c>
      <c r="D124" s="46">
        <f t="shared" si="11"/>
        <v>17881515.449999988</v>
      </c>
      <c r="E124" s="46"/>
      <c r="F124" s="46">
        <v>115552061.27</v>
      </c>
      <c r="G124" s="46">
        <v>121863336.33</v>
      </c>
      <c r="H124" s="46">
        <f t="shared" si="12"/>
        <v>6311275.0600000024</v>
      </c>
      <c r="I124" s="46"/>
      <c r="J124" s="46">
        <v>18358781.530000001</v>
      </c>
      <c r="K124" s="46">
        <v>19047578.469999999</v>
      </c>
      <c r="L124" s="46">
        <f t="shared" si="13"/>
        <v>688796.93999999762</v>
      </c>
      <c r="M124" s="46"/>
      <c r="N124" s="46">
        <v>13718720.93</v>
      </c>
      <c r="O124" s="46">
        <v>17469022.960000001</v>
      </c>
      <c r="P124" s="46">
        <f t="shared" si="14"/>
        <v>3750302.0300000012</v>
      </c>
      <c r="Q124" s="46"/>
      <c r="R124" s="46">
        <v>13955691.689999999</v>
      </c>
      <c r="S124" s="46">
        <v>16821432.949999999</v>
      </c>
      <c r="T124" s="46">
        <f t="shared" si="15"/>
        <v>2865741.26</v>
      </c>
      <c r="U124" s="46"/>
      <c r="V124" s="46">
        <v>15752074.98</v>
      </c>
      <c r="W124" s="46">
        <v>13630246.300000001</v>
      </c>
      <c r="X124" s="46">
        <f t="shared" si="16"/>
        <v>-2121828.6799999997</v>
      </c>
      <c r="Y124" s="46"/>
      <c r="Z124" s="46">
        <v>22594300.289999999</v>
      </c>
      <c r="AA124" s="46">
        <v>23167170.210000001</v>
      </c>
      <c r="AB124" s="46">
        <f t="shared" si="17"/>
        <v>572869.92000000179</v>
      </c>
      <c r="AC124" s="46"/>
      <c r="AD124" s="46">
        <v>21334723.760000002</v>
      </c>
      <c r="AE124" s="46">
        <v>21803386.239999998</v>
      </c>
      <c r="AF124" s="46">
        <f t="shared" si="18"/>
        <v>468662.47999999672</v>
      </c>
      <c r="AG124" s="46"/>
      <c r="AH124" s="46">
        <v>9837768.0899999999</v>
      </c>
      <c r="AI124" s="46">
        <v>9924499.1999999993</v>
      </c>
      <c r="AJ124" s="46">
        <f t="shared" si="19"/>
        <v>86731.109999999404</v>
      </c>
      <c r="AK124" s="46"/>
      <c r="AL124" s="46">
        <v>35541615.049999997</v>
      </c>
      <c r="AM124" s="46">
        <v>43977227.079999998</v>
      </c>
      <c r="AN124" s="46">
        <f t="shared" si="20"/>
        <v>8435612.0300000012</v>
      </c>
      <c r="AO124" s="46"/>
      <c r="AP124" s="46">
        <v>7646195.79</v>
      </c>
      <c r="AQ124" s="46">
        <v>6547507.4699999997</v>
      </c>
      <c r="AR124" s="46">
        <f t="shared" si="21"/>
        <v>-1098688.3200000003</v>
      </c>
      <c r="AS124" s="46"/>
      <c r="AT124" s="46">
        <v>377836.07</v>
      </c>
      <c r="AU124" s="46">
        <v>4603690.75</v>
      </c>
    </row>
    <row r="125" spans="1:47" x14ac:dyDescent="0.25">
      <c r="A125" s="35" t="s">
        <v>124</v>
      </c>
      <c r="B125" s="46">
        <v>3845337</v>
      </c>
      <c r="C125" s="46">
        <v>3148134.17</v>
      </c>
      <c r="D125" s="46">
        <f t="shared" si="11"/>
        <v>-697202.83000000007</v>
      </c>
      <c r="E125" s="46"/>
      <c r="F125" s="46">
        <v>2295407.35</v>
      </c>
      <c r="G125" s="46">
        <v>1563641.88</v>
      </c>
      <c r="H125" s="46">
        <f t="shared" si="12"/>
        <v>-731765.4700000002</v>
      </c>
      <c r="I125" s="46"/>
      <c r="J125" s="46">
        <v>64477</v>
      </c>
      <c r="K125" s="46">
        <v>79955.55</v>
      </c>
      <c r="L125" s="46">
        <f t="shared" si="13"/>
        <v>15478.550000000003</v>
      </c>
      <c r="M125" s="46"/>
      <c r="N125" s="46">
        <v>738622.2</v>
      </c>
      <c r="O125" s="46">
        <v>681852.1</v>
      </c>
      <c r="P125" s="46">
        <f t="shared" si="14"/>
        <v>-56770.099999999977</v>
      </c>
      <c r="Q125" s="46"/>
      <c r="R125" s="46">
        <v>536238.97</v>
      </c>
      <c r="S125" s="46">
        <v>118675.02</v>
      </c>
      <c r="T125" s="46">
        <f t="shared" si="15"/>
        <v>-417563.94999999995</v>
      </c>
      <c r="U125" s="46"/>
      <c r="V125" s="46">
        <v>897287.99</v>
      </c>
      <c r="W125" s="46">
        <v>367766.66</v>
      </c>
      <c r="X125" s="46">
        <f t="shared" si="16"/>
        <v>-529521.33000000007</v>
      </c>
      <c r="Y125" s="46"/>
      <c r="Z125" s="46">
        <v>-62933.03</v>
      </c>
      <c r="AA125" s="46">
        <v>156528.32999999999</v>
      </c>
      <c r="AB125" s="46">
        <f t="shared" si="17"/>
        <v>219461.36</v>
      </c>
      <c r="AC125" s="46"/>
      <c r="AD125" s="46">
        <v>110464.22</v>
      </c>
      <c r="AE125" s="46">
        <v>158864.22</v>
      </c>
      <c r="AF125" s="46">
        <f t="shared" si="18"/>
        <v>48400</v>
      </c>
      <c r="AG125" s="46"/>
      <c r="AH125" s="46">
        <v>11250</v>
      </c>
      <c r="AI125" s="47">
        <v>0</v>
      </c>
      <c r="AJ125" s="46">
        <f t="shared" si="19"/>
        <v>-11250</v>
      </c>
      <c r="AK125" s="46"/>
      <c r="AL125" s="46">
        <v>1169889.99</v>
      </c>
      <c r="AM125" s="46">
        <v>62848.49</v>
      </c>
      <c r="AN125" s="46">
        <f t="shared" si="20"/>
        <v>-1107041.5</v>
      </c>
      <c r="AO125" s="46"/>
      <c r="AP125" s="46">
        <v>0</v>
      </c>
      <c r="AQ125" s="47">
        <v>0</v>
      </c>
      <c r="AR125" s="46">
        <f t="shared" si="21"/>
        <v>0</v>
      </c>
      <c r="AS125" s="46"/>
      <c r="AT125" s="46">
        <v>380039.66</v>
      </c>
      <c r="AU125" s="46">
        <v>1521643.8</v>
      </c>
    </row>
    <row r="126" spans="1:47" ht="22.5" x14ac:dyDescent="0.25">
      <c r="A126" s="35" t="s">
        <v>125</v>
      </c>
      <c r="B126" s="46">
        <v>53701285.020000003</v>
      </c>
      <c r="C126" s="46">
        <v>47702449.670000002</v>
      </c>
      <c r="D126" s="46">
        <f t="shared" si="11"/>
        <v>-5998835.3500000015</v>
      </c>
      <c r="E126" s="46"/>
      <c r="F126" s="46">
        <v>37923550.700000003</v>
      </c>
      <c r="G126" s="46">
        <v>33966044.82</v>
      </c>
      <c r="H126" s="46">
        <f t="shared" si="12"/>
        <v>-3957505.8800000027</v>
      </c>
      <c r="I126" s="46"/>
      <c r="J126" s="46">
        <v>3658859.4</v>
      </c>
      <c r="K126" s="46">
        <v>2870430.34</v>
      </c>
      <c r="L126" s="46">
        <f t="shared" si="13"/>
        <v>-788429.06</v>
      </c>
      <c r="M126" s="46"/>
      <c r="N126" s="46">
        <v>9104670.3300000001</v>
      </c>
      <c r="O126" s="46">
        <v>10914508.529999999</v>
      </c>
      <c r="P126" s="46">
        <f t="shared" si="14"/>
        <v>1809838.1999999993</v>
      </c>
      <c r="Q126" s="46"/>
      <c r="R126" s="46">
        <v>2311286.44</v>
      </c>
      <c r="S126" s="46">
        <v>2099804.27</v>
      </c>
      <c r="T126" s="46">
        <f t="shared" si="15"/>
        <v>-211482.16999999993</v>
      </c>
      <c r="U126" s="46"/>
      <c r="V126" s="46">
        <v>2254665.83</v>
      </c>
      <c r="W126" s="46">
        <v>1670532.54</v>
      </c>
      <c r="X126" s="46">
        <f t="shared" si="16"/>
        <v>-584133.29</v>
      </c>
      <c r="Y126" s="46"/>
      <c r="Z126" s="46">
        <v>15932030.93</v>
      </c>
      <c r="AA126" s="46">
        <v>12068135.48</v>
      </c>
      <c r="AB126" s="46">
        <f t="shared" si="17"/>
        <v>-3863895.4499999993</v>
      </c>
      <c r="AC126" s="46"/>
      <c r="AD126" s="46">
        <v>2619783.0099999998</v>
      </c>
      <c r="AE126" s="46">
        <v>2511383.1</v>
      </c>
      <c r="AF126" s="46">
        <f t="shared" si="18"/>
        <v>-108399.90999999968</v>
      </c>
      <c r="AG126" s="46"/>
      <c r="AH126" s="46">
        <v>2042254.76</v>
      </c>
      <c r="AI126" s="46">
        <v>1831250.56</v>
      </c>
      <c r="AJ126" s="46">
        <f t="shared" si="19"/>
        <v>-211004.19999999995</v>
      </c>
      <c r="AK126" s="46"/>
      <c r="AL126" s="46">
        <v>13333269.82</v>
      </c>
      <c r="AM126" s="46">
        <v>12077319.32</v>
      </c>
      <c r="AN126" s="46">
        <f t="shared" si="20"/>
        <v>-1255950.5</v>
      </c>
      <c r="AO126" s="46"/>
      <c r="AP126" s="46">
        <v>2418737.5</v>
      </c>
      <c r="AQ126" s="46">
        <v>1593385.53</v>
      </c>
      <c r="AR126" s="46">
        <f t="shared" si="21"/>
        <v>-825351.97</v>
      </c>
      <c r="AS126" s="46"/>
      <c r="AT126" s="46">
        <v>29200</v>
      </c>
      <c r="AU126" s="46">
        <v>65700</v>
      </c>
    </row>
    <row r="127" spans="1:47" x14ac:dyDescent="0.25">
      <c r="A127" s="35" t="s">
        <v>126</v>
      </c>
      <c r="B127" s="47">
        <v>0</v>
      </c>
      <c r="C127" s="46">
        <v>0</v>
      </c>
      <c r="D127" s="46">
        <f t="shared" si="11"/>
        <v>0</v>
      </c>
      <c r="E127" s="46"/>
      <c r="F127" s="47">
        <v>0</v>
      </c>
      <c r="G127" s="47">
        <v>0</v>
      </c>
      <c r="H127" s="46">
        <f t="shared" si="12"/>
        <v>0</v>
      </c>
      <c r="I127" s="46"/>
      <c r="J127" s="47">
        <v>0</v>
      </c>
      <c r="K127" s="47">
        <v>0</v>
      </c>
      <c r="L127" s="46">
        <f t="shared" si="13"/>
        <v>0</v>
      </c>
      <c r="M127" s="46"/>
      <c r="N127" s="47">
        <v>0</v>
      </c>
      <c r="O127" s="47">
        <v>0</v>
      </c>
      <c r="P127" s="46">
        <f t="shared" si="14"/>
        <v>0</v>
      </c>
      <c r="Q127" s="46"/>
      <c r="R127" s="47">
        <v>0</v>
      </c>
      <c r="S127" s="47">
        <v>0</v>
      </c>
      <c r="T127" s="46">
        <f t="shared" si="15"/>
        <v>0</v>
      </c>
      <c r="U127" s="46"/>
      <c r="V127" s="47">
        <v>0</v>
      </c>
      <c r="W127" s="47">
        <v>0</v>
      </c>
      <c r="X127" s="46">
        <f t="shared" si="16"/>
        <v>0</v>
      </c>
      <c r="Y127" s="46"/>
      <c r="Z127" s="47">
        <v>0</v>
      </c>
      <c r="AA127" s="47">
        <v>0</v>
      </c>
      <c r="AB127" s="46">
        <f t="shared" si="17"/>
        <v>0</v>
      </c>
      <c r="AC127" s="46"/>
      <c r="AD127" s="47">
        <v>0</v>
      </c>
      <c r="AE127" s="47">
        <v>0</v>
      </c>
      <c r="AF127" s="46">
        <f t="shared" si="18"/>
        <v>0</v>
      </c>
      <c r="AG127" s="46"/>
      <c r="AH127" s="47">
        <v>0</v>
      </c>
      <c r="AI127" s="47">
        <v>0</v>
      </c>
      <c r="AJ127" s="46">
        <f t="shared" si="19"/>
        <v>0</v>
      </c>
      <c r="AK127" s="46"/>
      <c r="AL127" s="47">
        <v>0</v>
      </c>
      <c r="AM127" s="46">
        <v>0</v>
      </c>
      <c r="AN127" s="46">
        <f t="shared" si="20"/>
        <v>0</v>
      </c>
      <c r="AO127" s="46"/>
      <c r="AP127" s="47">
        <v>0</v>
      </c>
      <c r="AQ127" s="47">
        <v>0</v>
      </c>
      <c r="AR127" s="46">
        <f t="shared" si="21"/>
        <v>0</v>
      </c>
      <c r="AS127" s="46"/>
      <c r="AT127" s="47">
        <v>0</v>
      </c>
      <c r="AU127" s="47">
        <v>0</v>
      </c>
    </row>
    <row r="128" spans="1:47" x14ac:dyDescent="0.25">
      <c r="A128" s="35" t="s">
        <v>127</v>
      </c>
      <c r="B128" s="47">
        <v>0</v>
      </c>
      <c r="C128" s="47">
        <v>0</v>
      </c>
      <c r="D128" s="47">
        <f t="shared" si="11"/>
        <v>0</v>
      </c>
      <c r="E128" s="47"/>
      <c r="F128" s="47">
        <v>0</v>
      </c>
      <c r="G128" s="47">
        <v>0</v>
      </c>
      <c r="H128" s="47">
        <f t="shared" si="12"/>
        <v>0</v>
      </c>
      <c r="I128" s="47"/>
      <c r="J128" s="47">
        <v>0</v>
      </c>
      <c r="K128" s="47">
        <v>0</v>
      </c>
      <c r="L128" s="47">
        <f t="shared" si="13"/>
        <v>0</v>
      </c>
      <c r="M128" s="47"/>
      <c r="N128" s="47">
        <v>0</v>
      </c>
      <c r="O128" s="47">
        <v>0</v>
      </c>
      <c r="P128" s="47">
        <f t="shared" si="14"/>
        <v>0</v>
      </c>
      <c r="Q128" s="47"/>
      <c r="R128" s="47">
        <v>0</v>
      </c>
      <c r="S128" s="47">
        <v>0</v>
      </c>
      <c r="T128" s="47">
        <f t="shared" si="15"/>
        <v>0</v>
      </c>
      <c r="U128" s="47"/>
      <c r="V128" s="47">
        <v>0</v>
      </c>
      <c r="W128" s="47">
        <v>0</v>
      </c>
      <c r="X128" s="47">
        <f t="shared" si="16"/>
        <v>0</v>
      </c>
      <c r="Y128" s="47"/>
      <c r="Z128" s="47">
        <v>0</v>
      </c>
      <c r="AA128" s="47">
        <v>0</v>
      </c>
      <c r="AB128" s="47">
        <f t="shared" si="17"/>
        <v>0</v>
      </c>
      <c r="AC128" s="47"/>
      <c r="AD128" s="47">
        <v>0</v>
      </c>
      <c r="AE128" s="47">
        <v>0</v>
      </c>
      <c r="AF128" s="47">
        <f t="shared" si="18"/>
        <v>0</v>
      </c>
      <c r="AG128" s="47"/>
      <c r="AH128" s="47">
        <v>0</v>
      </c>
      <c r="AI128" s="47">
        <v>0</v>
      </c>
      <c r="AJ128" s="47">
        <f t="shared" si="19"/>
        <v>0</v>
      </c>
      <c r="AK128" s="47"/>
      <c r="AL128" s="47">
        <v>0</v>
      </c>
      <c r="AM128" s="47">
        <v>0</v>
      </c>
      <c r="AN128" s="47">
        <f t="shared" si="20"/>
        <v>0</v>
      </c>
      <c r="AO128" s="47"/>
      <c r="AP128" s="47">
        <v>0</v>
      </c>
      <c r="AQ128" s="47">
        <v>0</v>
      </c>
      <c r="AR128" s="47">
        <f t="shared" si="21"/>
        <v>0</v>
      </c>
      <c r="AS128" s="47"/>
      <c r="AT128" s="47">
        <v>0</v>
      </c>
      <c r="AU128" s="47">
        <v>0</v>
      </c>
    </row>
    <row r="129" spans="1:47" x14ac:dyDescent="0.25">
      <c r="A129" s="35" t="s">
        <v>128</v>
      </c>
      <c r="B129" s="47">
        <v>0</v>
      </c>
      <c r="C129" s="46">
        <v>0</v>
      </c>
      <c r="D129" s="46">
        <f t="shared" si="11"/>
        <v>0</v>
      </c>
      <c r="E129" s="46"/>
      <c r="F129" s="47">
        <v>0</v>
      </c>
      <c r="G129" s="47">
        <v>0</v>
      </c>
      <c r="H129" s="46">
        <f t="shared" si="12"/>
        <v>0</v>
      </c>
      <c r="I129" s="46"/>
      <c r="J129" s="47">
        <v>0</v>
      </c>
      <c r="K129" s="47">
        <v>0</v>
      </c>
      <c r="L129" s="46">
        <f t="shared" si="13"/>
        <v>0</v>
      </c>
      <c r="M129" s="46"/>
      <c r="N129" s="47">
        <v>0</v>
      </c>
      <c r="O129" s="47">
        <v>0</v>
      </c>
      <c r="P129" s="46">
        <f t="shared" si="14"/>
        <v>0</v>
      </c>
      <c r="Q129" s="46"/>
      <c r="R129" s="47">
        <v>0</v>
      </c>
      <c r="S129" s="47">
        <v>0</v>
      </c>
      <c r="T129" s="46">
        <f t="shared" si="15"/>
        <v>0</v>
      </c>
      <c r="U129" s="46"/>
      <c r="V129" s="47">
        <v>0</v>
      </c>
      <c r="W129" s="47">
        <v>0</v>
      </c>
      <c r="X129" s="46">
        <f t="shared" si="16"/>
        <v>0</v>
      </c>
      <c r="Y129" s="46"/>
      <c r="Z129" s="47">
        <v>0</v>
      </c>
      <c r="AA129" s="47">
        <v>0</v>
      </c>
      <c r="AB129" s="46">
        <f t="shared" si="17"/>
        <v>0</v>
      </c>
      <c r="AC129" s="46"/>
      <c r="AD129" s="47">
        <v>0</v>
      </c>
      <c r="AE129" s="47">
        <v>0</v>
      </c>
      <c r="AF129" s="46">
        <f t="shared" si="18"/>
        <v>0</v>
      </c>
      <c r="AG129" s="46"/>
      <c r="AH129" s="47">
        <v>0</v>
      </c>
      <c r="AI129" s="47">
        <v>0</v>
      </c>
      <c r="AJ129" s="46">
        <f t="shared" si="19"/>
        <v>0</v>
      </c>
      <c r="AK129" s="46"/>
      <c r="AL129" s="47">
        <v>0</v>
      </c>
      <c r="AM129" s="46">
        <v>0</v>
      </c>
      <c r="AN129" s="46">
        <f t="shared" si="20"/>
        <v>0</v>
      </c>
      <c r="AO129" s="46"/>
      <c r="AP129" s="47">
        <v>0</v>
      </c>
      <c r="AQ129" s="47">
        <v>0</v>
      </c>
      <c r="AR129" s="46">
        <f t="shared" si="21"/>
        <v>0</v>
      </c>
      <c r="AS129" s="46"/>
      <c r="AT129" s="47">
        <v>0</v>
      </c>
      <c r="AU129" s="47">
        <v>0</v>
      </c>
    </row>
    <row r="130" spans="1:47" x14ac:dyDescent="0.25">
      <c r="A130" s="34" t="s">
        <v>129</v>
      </c>
      <c r="B130" s="44">
        <v>155841858.78</v>
      </c>
      <c r="C130" s="44">
        <v>144852152.90000001</v>
      </c>
      <c r="D130" s="44">
        <f t="shared" si="11"/>
        <v>-10989705.879999995</v>
      </c>
      <c r="E130" s="44"/>
      <c r="F130" s="44">
        <v>95439765.930000007</v>
      </c>
      <c r="G130" s="44">
        <v>79163029.909999996</v>
      </c>
      <c r="H130" s="44">
        <f t="shared" si="12"/>
        <v>-16276736.020000011</v>
      </c>
      <c r="I130" s="44"/>
      <c r="J130" s="44">
        <v>20468021.73</v>
      </c>
      <c r="K130" s="44">
        <v>16231897.18</v>
      </c>
      <c r="L130" s="44">
        <f t="shared" si="13"/>
        <v>-4236124.5500000007</v>
      </c>
      <c r="M130" s="44"/>
      <c r="N130" s="44">
        <v>21236778.629999999</v>
      </c>
      <c r="O130" s="44">
        <v>18715369.460000001</v>
      </c>
      <c r="P130" s="44">
        <f t="shared" si="14"/>
        <v>-2521409.1699999981</v>
      </c>
      <c r="Q130" s="44"/>
      <c r="R130" s="44">
        <v>9785984.2799999993</v>
      </c>
      <c r="S130" s="44">
        <v>7701992.9199999999</v>
      </c>
      <c r="T130" s="44">
        <f t="shared" si="15"/>
        <v>-2083991.3599999994</v>
      </c>
      <c r="U130" s="44"/>
      <c r="V130" s="44">
        <v>10535065.26</v>
      </c>
      <c r="W130" s="44">
        <v>8064590.2999999998</v>
      </c>
      <c r="X130" s="44">
        <f t="shared" si="16"/>
        <v>-2470474.96</v>
      </c>
      <c r="Y130" s="44"/>
      <c r="Z130" s="44">
        <v>12516720.68</v>
      </c>
      <c r="AA130" s="44">
        <v>11665730.68</v>
      </c>
      <c r="AB130" s="44">
        <f t="shared" si="17"/>
        <v>-850990</v>
      </c>
      <c r="AC130" s="44"/>
      <c r="AD130" s="44">
        <v>13991647.109999999</v>
      </c>
      <c r="AE130" s="44">
        <v>11082572.689999999</v>
      </c>
      <c r="AF130" s="44">
        <f t="shared" si="18"/>
        <v>-2909074.42</v>
      </c>
      <c r="AG130" s="44"/>
      <c r="AH130" s="44">
        <v>6905548.2400000002</v>
      </c>
      <c r="AI130" s="44">
        <v>5700876.6799999997</v>
      </c>
      <c r="AJ130" s="44">
        <f t="shared" si="19"/>
        <v>-1204671.5600000005</v>
      </c>
      <c r="AK130" s="44"/>
      <c r="AL130" s="44">
        <v>31245523.260000002</v>
      </c>
      <c r="AM130" s="44">
        <v>30437028.59</v>
      </c>
      <c r="AN130" s="44">
        <f t="shared" si="20"/>
        <v>-808494.67000000179</v>
      </c>
      <c r="AO130" s="44"/>
      <c r="AP130" s="44">
        <v>28440053.489999998</v>
      </c>
      <c r="AQ130" s="44">
        <v>34877478.579999998</v>
      </c>
      <c r="AR130" s="44">
        <f t="shared" si="21"/>
        <v>6437425.0899999999</v>
      </c>
      <c r="AS130" s="44"/>
      <c r="AT130" s="44">
        <v>716516.1</v>
      </c>
      <c r="AU130" s="44">
        <v>374615.82</v>
      </c>
    </row>
    <row r="131" spans="1:47" x14ac:dyDescent="0.25">
      <c r="A131" s="35" t="s">
        <v>130</v>
      </c>
      <c r="B131" s="46">
        <v>92768939.269999996</v>
      </c>
      <c r="C131" s="46">
        <v>104037825.94</v>
      </c>
      <c r="D131" s="46">
        <f t="shared" si="11"/>
        <v>11268886.670000002</v>
      </c>
      <c r="E131" s="46"/>
      <c r="F131" s="46">
        <v>49130321.060000002</v>
      </c>
      <c r="G131" s="46">
        <v>47877107.600000001</v>
      </c>
      <c r="H131" s="46">
        <f t="shared" si="12"/>
        <v>-1253213.4600000009</v>
      </c>
      <c r="I131" s="46"/>
      <c r="J131" s="46">
        <v>13723212.59</v>
      </c>
      <c r="K131" s="46">
        <v>11751536.93</v>
      </c>
      <c r="L131" s="46">
        <f t="shared" si="13"/>
        <v>-1971675.6600000001</v>
      </c>
      <c r="M131" s="46"/>
      <c r="N131" s="46">
        <v>14574399.73</v>
      </c>
      <c r="O131" s="46">
        <v>14733796.01</v>
      </c>
      <c r="P131" s="46">
        <f t="shared" si="14"/>
        <v>159396.27999999933</v>
      </c>
      <c r="Q131" s="46"/>
      <c r="R131" s="46">
        <v>4344137.84</v>
      </c>
      <c r="S131" s="46">
        <v>3435174.76</v>
      </c>
      <c r="T131" s="46">
        <f t="shared" si="15"/>
        <v>-908963.08000000007</v>
      </c>
      <c r="U131" s="46"/>
      <c r="V131" s="46">
        <v>4359639.55</v>
      </c>
      <c r="W131" s="46">
        <v>3662081.78</v>
      </c>
      <c r="X131" s="46">
        <f t="shared" si="16"/>
        <v>-697557.77</v>
      </c>
      <c r="Y131" s="46"/>
      <c r="Z131" s="46">
        <v>3932839.63</v>
      </c>
      <c r="AA131" s="46">
        <v>5620120.25</v>
      </c>
      <c r="AB131" s="46">
        <f t="shared" si="17"/>
        <v>1687280.62</v>
      </c>
      <c r="AC131" s="46"/>
      <c r="AD131" s="46">
        <v>5588192.7599999998</v>
      </c>
      <c r="AE131" s="46">
        <v>5916115.5300000003</v>
      </c>
      <c r="AF131" s="46">
        <f t="shared" si="18"/>
        <v>327922.77000000048</v>
      </c>
      <c r="AG131" s="46"/>
      <c r="AH131" s="46">
        <v>2607898.96</v>
      </c>
      <c r="AI131" s="46">
        <v>2758282.34</v>
      </c>
      <c r="AJ131" s="46">
        <f t="shared" si="19"/>
        <v>150383.37999999989</v>
      </c>
      <c r="AK131" s="46"/>
      <c r="AL131" s="46">
        <v>17667599.07</v>
      </c>
      <c r="AM131" s="46">
        <v>22675425.75</v>
      </c>
      <c r="AN131" s="46">
        <f t="shared" si="20"/>
        <v>5007826.68</v>
      </c>
      <c r="AO131" s="46"/>
      <c r="AP131" s="46">
        <v>25969516.68</v>
      </c>
      <c r="AQ131" s="46">
        <v>33480184.559999999</v>
      </c>
      <c r="AR131" s="46">
        <f t="shared" si="21"/>
        <v>7510667.879999999</v>
      </c>
      <c r="AS131" s="46"/>
      <c r="AT131" s="46">
        <v>1502.46</v>
      </c>
      <c r="AU131" s="46">
        <v>5108.03</v>
      </c>
    </row>
    <row r="132" spans="1:47" ht="22.5" x14ac:dyDescent="0.25">
      <c r="A132" s="35" t="s">
        <v>131</v>
      </c>
      <c r="B132" s="46">
        <v>10092053.439999999</v>
      </c>
      <c r="C132" s="46">
        <v>5680143.4299999997</v>
      </c>
      <c r="D132" s="46">
        <f t="shared" si="11"/>
        <v>-4411910.01</v>
      </c>
      <c r="E132" s="46"/>
      <c r="F132" s="46">
        <v>8049489.8300000001</v>
      </c>
      <c r="G132" s="46">
        <v>5254445.79</v>
      </c>
      <c r="H132" s="46">
        <f t="shared" si="12"/>
        <v>-2795044.04</v>
      </c>
      <c r="I132" s="46"/>
      <c r="J132" s="46">
        <v>1453682.66</v>
      </c>
      <c r="K132" s="46">
        <v>1043571</v>
      </c>
      <c r="L132" s="46">
        <f t="shared" si="13"/>
        <v>-410111.65999999992</v>
      </c>
      <c r="M132" s="46"/>
      <c r="N132" s="46">
        <v>826533</v>
      </c>
      <c r="O132" s="46">
        <v>511663.15</v>
      </c>
      <c r="P132" s="46">
        <f t="shared" si="14"/>
        <v>-314869.84999999998</v>
      </c>
      <c r="Q132" s="46"/>
      <c r="R132" s="46">
        <v>1254172.8700000001</v>
      </c>
      <c r="S132" s="46">
        <v>779010</v>
      </c>
      <c r="T132" s="46">
        <f t="shared" si="15"/>
        <v>-475162.87000000011</v>
      </c>
      <c r="U132" s="46"/>
      <c r="V132" s="46">
        <v>1201618</v>
      </c>
      <c r="W132" s="46">
        <v>888846</v>
      </c>
      <c r="X132" s="46">
        <f t="shared" si="16"/>
        <v>-312772</v>
      </c>
      <c r="Y132" s="46"/>
      <c r="Z132" s="46">
        <v>1055047.32</v>
      </c>
      <c r="AA132" s="46">
        <v>736505</v>
      </c>
      <c r="AB132" s="46">
        <f t="shared" si="17"/>
        <v>-318542.32000000007</v>
      </c>
      <c r="AC132" s="46"/>
      <c r="AD132" s="46">
        <v>1175331.96</v>
      </c>
      <c r="AE132" s="46">
        <v>660894.64</v>
      </c>
      <c r="AF132" s="46">
        <f t="shared" si="18"/>
        <v>-514437.31999999995</v>
      </c>
      <c r="AG132" s="46"/>
      <c r="AH132" s="46">
        <v>1083104.02</v>
      </c>
      <c r="AI132" s="46">
        <v>633956</v>
      </c>
      <c r="AJ132" s="46">
        <f t="shared" si="19"/>
        <v>-449148.02</v>
      </c>
      <c r="AK132" s="46"/>
      <c r="AL132" s="46">
        <v>1363549.97</v>
      </c>
      <c r="AM132" s="46">
        <v>239520</v>
      </c>
      <c r="AN132" s="46">
        <f t="shared" si="20"/>
        <v>-1124029.97</v>
      </c>
      <c r="AO132" s="46"/>
      <c r="AP132" s="47">
        <v>0</v>
      </c>
      <c r="AQ132" s="47">
        <v>0</v>
      </c>
      <c r="AR132" s="46">
        <f t="shared" si="21"/>
        <v>0</v>
      </c>
      <c r="AS132" s="46"/>
      <c r="AT132" s="46">
        <v>679013.64</v>
      </c>
      <c r="AU132" s="46">
        <v>186177.64</v>
      </c>
    </row>
    <row r="133" spans="1:47" x14ac:dyDescent="0.25">
      <c r="A133" s="35" t="s">
        <v>132</v>
      </c>
      <c r="B133" s="46">
        <v>42546186.479999997</v>
      </c>
      <c r="C133" s="46">
        <v>25091225.66</v>
      </c>
      <c r="D133" s="46">
        <f t="shared" si="11"/>
        <v>-17454960.819999997</v>
      </c>
      <c r="E133" s="46"/>
      <c r="F133" s="46">
        <v>29687547.039999999</v>
      </c>
      <c r="G133" s="46">
        <v>16568027.98</v>
      </c>
      <c r="H133" s="46">
        <f t="shared" si="12"/>
        <v>-13119519.059999999</v>
      </c>
      <c r="I133" s="46"/>
      <c r="J133" s="46">
        <v>4690348.37</v>
      </c>
      <c r="K133" s="46">
        <v>2338592.96</v>
      </c>
      <c r="L133" s="46">
        <f t="shared" si="13"/>
        <v>-2351755.41</v>
      </c>
      <c r="M133" s="46"/>
      <c r="N133" s="46">
        <v>4808550.58</v>
      </c>
      <c r="O133" s="46">
        <v>2030328.91</v>
      </c>
      <c r="P133" s="46">
        <f t="shared" si="14"/>
        <v>-2778221.67</v>
      </c>
      <c r="Q133" s="46"/>
      <c r="R133" s="46">
        <v>2654629.17</v>
      </c>
      <c r="S133" s="46">
        <v>2202599.12</v>
      </c>
      <c r="T133" s="46">
        <f t="shared" si="15"/>
        <v>-452030.04999999981</v>
      </c>
      <c r="U133" s="46"/>
      <c r="V133" s="46">
        <v>4246627.71</v>
      </c>
      <c r="W133" s="46">
        <v>2418851.09</v>
      </c>
      <c r="X133" s="46">
        <f t="shared" si="16"/>
        <v>-1827776.62</v>
      </c>
      <c r="Y133" s="46"/>
      <c r="Z133" s="46">
        <v>5004832.2</v>
      </c>
      <c r="AA133" s="46">
        <v>2881903.8</v>
      </c>
      <c r="AB133" s="46">
        <f t="shared" si="17"/>
        <v>-2122928.4000000004</v>
      </c>
      <c r="AC133" s="46"/>
      <c r="AD133" s="46">
        <v>5639143.0700000003</v>
      </c>
      <c r="AE133" s="46">
        <v>3051892.69</v>
      </c>
      <c r="AF133" s="46">
        <f t="shared" si="18"/>
        <v>-2587250.3800000004</v>
      </c>
      <c r="AG133" s="46"/>
      <c r="AH133" s="46">
        <v>2643415.94</v>
      </c>
      <c r="AI133" s="46">
        <v>1643859.41</v>
      </c>
      <c r="AJ133" s="46">
        <f t="shared" si="19"/>
        <v>-999556.53</v>
      </c>
      <c r="AK133" s="46"/>
      <c r="AL133" s="46">
        <v>11999225.77</v>
      </c>
      <c r="AM133" s="46">
        <v>7465830.7699999996</v>
      </c>
      <c r="AN133" s="46">
        <f t="shared" si="20"/>
        <v>-4533395</v>
      </c>
      <c r="AO133" s="46"/>
      <c r="AP133" s="46">
        <v>859413.67</v>
      </c>
      <c r="AQ133" s="46">
        <v>1057366.9099999999</v>
      </c>
      <c r="AR133" s="46">
        <f t="shared" si="21"/>
        <v>197953.23999999987</v>
      </c>
      <c r="AS133" s="46"/>
      <c r="AT133" s="47">
        <v>0</v>
      </c>
      <c r="AU133" s="47">
        <v>0</v>
      </c>
    </row>
    <row r="134" spans="1:47" ht="22.5" x14ac:dyDescent="0.25">
      <c r="A134" s="35" t="s">
        <v>133</v>
      </c>
      <c r="B134" s="46">
        <v>6300204.29</v>
      </c>
      <c r="C134" s="46">
        <v>5902160.71</v>
      </c>
      <c r="D134" s="46">
        <f t="shared" si="11"/>
        <v>-398043.58000000007</v>
      </c>
      <c r="E134" s="46"/>
      <c r="F134" s="46">
        <v>4633081.17</v>
      </c>
      <c r="G134" s="46">
        <v>5361347.54</v>
      </c>
      <c r="H134" s="46">
        <f t="shared" si="12"/>
        <v>728266.37000000011</v>
      </c>
      <c r="I134" s="46"/>
      <c r="J134" s="46">
        <v>190304.73</v>
      </c>
      <c r="K134" s="46">
        <v>399198.3</v>
      </c>
      <c r="L134" s="46">
        <f t="shared" si="13"/>
        <v>208893.56999999998</v>
      </c>
      <c r="M134" s="46"/>
      <c r="N134" s="46">
        <v>683803.61</v>
      </c>
      <c r="O134" s="46">
        <v>1248595.56</v>
      </c>
      <c r="P134" s="46">
        <f t="shared" si="14"/>
        <v>564791.95000000007</v>
      </c>
      <c r="Q134" s="46"/>
      <c r="R134" s="46">
        <v>638825.36</v>
      </c>
      <c r="S134" s="46">
        <v>695156.63</v>
      </c>
      <c r="T134" s="46">
        <f t="shared" si="15"/>
        <v>56331.270000000019</v>
      </c>
      <c r="U134" s="46"/>
      <c r="V134" s="46">
        <v>332709.21999999997</v>
      </c>
      <c r="W134" s="46">
        <v>781531.29</v>
      </c>
      <c r="X134" s="46">
        <f t="shared" si="16"/>
        <v>448822.07000000007</v>
      </c>
      <c r="Y134" s="46"/>
      <c r="Z134" s="46">
        <v>1446897.16</v>
      </c>
      <c r="AA134" s="46">
        <v>825781.83</v>
      </c>
      <c r="AB134" s="46">
        <f t="shared" si="17"/>
        <v>-621115.32999999996</v>
      </c>
      <c r="AC134" s="46"/>
      <c r="AD134" s="46">
        <v>990269.34</v>
      </c>
      <c r="AE134" s="46">
        <v>945408.57</v>
      </c>
      <c r="AF134" s="46">
        <f t="shared" si="18"/>
        <v>-44860.770000000019</v>
      </c>
      <c r="AG134" s="46"/>
      <c r="AH134" s="46">
        <v>350271.75</v>
      </c>
      <c r="AI134" s="46">
        <v>465675.36</v>
      </c>
      <c r="AJ134" s="46">
        <f t="shared" si="19"/>
        <v>115403.60999999999</v>
      </c>
      <c r="AK134" s="46"/>
      <c r="AL134" s="46">
        <v>19999.98</v>
      </c>
      <c r="AM134" s="46">
        <v>17555.91</v>
      </c>
      <c r="AN134" s="46">
        <f t="shared" si="20"/>
        <v>-2444.0699999999997</v>
      </c>
      <c r="AO134" s="46"/>
      <c r="AP134" s="46">
        <v>1611123.14</v>
      </c>
      <c r="AQ134" s="46">
        <v>339927.11</v>
      </c>
      <c r="AR134" s="46">
        <f t="shared" si="21"/>
        <v>-1271196.0299999998</v>
      </c>
      <c r="AS134" s="46"/>
      <c r="AT134" s="46">
        <v>36000</v>
      </c>
      <c r="AU134" s="46">
        <v>183330.15</v>
      </c>
    </row>
    <row r="135" spans="1:47" x14ac:dyDescent="0.25">
      <c r="A135" s="35" t="s">
        <v>134</v>
      </c>
      <c r="B135" s="46">
        <v>4134475.3</v>
      </c>
      <c r="C135" s="46">
        <v>4140797.16</v>
      </c>
      <c r="D135" s="46">
        <f t="shared" si="11"/>
        <v>6321.8600000003353</v>
      </c>
      <c r="E135" s="46"/>
      <c r="F135" s="46">
        <v>3939326.83</v>
      </c>
      <c r="G135" s="46">
        <v>4102101</v>
      </c>
      <c r="H135" s="46">
        <f t="shared" si="12"/>
        <v>162774.16999999993</v>
      </c>
      <c r="I135" s="46"/>
      <c r="J135" s="46">
        <v>410473.38</v>
      </c>
      <c r="K135" s="46">
        <v>698997.99</v>
      </c>
      <c r="L135" s="46">
        <f t="shared" si="13"/>
        <v>288524.61</v>
      </c>
      <c r="M135" s="46"/>
      <c r="N135" s="46">
        <v>343491.71</v>
      </c>
      <c r="O135" s="46">
        <v>190985.83</v>
      </c>
      <c r="P135" s="46">
        <f t="shared" si="14"/>
        <v>-152505.88000000003</v>
      </c>
      <c r="Q135" s="46"/>
      <c r="R135" s="46">
        <v>894219.04</v>
      </c>
      <c r="S135" s="46">
        <v>590052.41</v>
      </c>
      <c r="T135" s="46">
        <f t="shared" si="15"/>
        <v>-304166.63</v>
      </c>
      <c r="U135" s="46"/>
      <c r="V135" s="46">
        <v>394470.78</v>
      </c>
      <c r="W135" s="46">
        <v>313280.14</v>
      </c>
      <c r="X135" s="46">
        <f t="shared" si="16"/>
        <v>-81190.640000000014</v>
      </c>
      <c r="Y135" s="46"/>
      <c r="Z135" s="46">
        <v>1077104.3700000001</v>
      </c>
      <c r="AA135" s="46">
        <v>1601419.8</v>
      </c>
      <c r="AB135" s="46">
        <f t="shared" si="17"/>
        <v>524315.42999999993</v>
      </c>
      <c r="AC135" s="46"/>
      <c r="AD135" s="46">
        <v>598709.98</v>
      </c>
      <c r="AE135" s="46">
        <v>508261.26</v>
      </c>
      <c r="AF135" s="46">
        <f t="shared" si="18"/>
        <v>-90448.719999999972</v>
      </c>
      <c r="AG135" s="46"/>
      <c r="AH135" s="46">
        <v>220857.57</v>
      </c>
      <c r="AI135" s="46">
        <v>199103.57</v>
      </c>
      <c r="AJ135" s="46">
        <f t="shared" si="19"/>
        <v>-21754</v>
      </c>
      <c r="AK135" s="46"/>
      <c r="AL135" s="46">
        <v>195148.47</v>
      </c>
      <c r="AM135" s="46">
        <v>38696.160000000003</v>
      </c>
      <c r="AN135" s="46">
        <f t="shared" si="20"/>
        <v>-156452.31</v>
      </c>
      <c r="AO135" s="46"/>
      <c r="AP135" s="47">
        <v>0</v>
      </c>
      <c r="AQ135" s="47">
        <v>0</v>
      </c>
      <c r="AR135" s="46">
        <f t="shared" si="21"/>
        <v>0</v>
      </c>
      <c r="AS135" s="46"/>
      <c r="AT135" s="47">
        <v>0</v>
      </c>
      <c r="AU135" s="47">
        <v>0</v>
      </c>
    </row>
    <row r="136" spans="1:47" x14ac:dyDescent="0.25">
      <c r="A136" s="34" t="s">
        <v>135</v>
      </c>
      <c r="B136" s="44">
        <v>133750439.92</v>
      </c>
      <c r="C136" s="44">
        <v>132499510.76000001</v>
      </c>
      <c r="D136" s="44">
        <f t="shared" si="11"/>
        <v>-1250929.1599999964</v>
      </c>
      <c r="E136" s="44"/>
      <c r="F136" s="44">
        <v>102745807.37</v>
      </c>
      <c r="G136" s="44">
        <v>101348201.18000001</v>
      </c>
      <c r="H136" s="44">
        <f t="shared" si="12"/>
        <v>-1397606.1899999976</v>
      </c>
      <c r="I136" s="44"/>
      <c r="J136" s="44">
        <v>18154259.260000002</v>
      </c>
      <c r="K136" s="44">
        <v>18406615.23</v>
      </c>
      <c r="L136" s="44">
        <f t="shared" si="13"/>
        <v>252355.96999999881</v>
      </c>
      <c r="M136" s="44"/>
      <c r="N136" s="44">
        <v>22106906.039999999</v>
      </c>
      <c r="O136" s="44">
        <v>20704692.579999998</v>
      </c>
      <c r="P136" s="44">
        <f t="shared" si="14"/>
        <v>-1402213.4600000009</v>
      </c>
      <c r="Q136" s="44"/>
      <c r="R136" s="44">
        <v>5536957.0300000003</v>
      </c>
      <c r="S136" s="44">
        <v>5530938.54</v>
      </c>
      <c r="T136" s="44">
        <f t="shared" si="15"/>
        <v>-6018.4900000002235</v>
      </c>
      <c r="U136" s="44"/>
      <c r="V136" s="44">
        <v>8962373.5999999996</v>
      </c>
      <c r="W136" s="44">
        <v>8888624.3200000003</v>
      </c>
      <c r="X136" s="44">
        <f t="shared" si="16"/>
        <v>-73749.279999999329</v>
      </c>
      <c r="Y136" s="44"/>
      <c r="Z136" s="44">
        <v>14666780.449999999</v>
      </c>
      <c r="AA136" s="44">
        <v>14619216.65</v>
      </c>
      <c r="AB136" s="44">
        <f t="shared" si="17"/>
        <v>-47563.799999998882</v>
      </c>
      <c r="AC136" s="44"/>
      <c r="AD136" s="44">
        <v>24301241.350000001</v>
      </c>
      <c r="AE136" s="44">
        <v>24472774.300000001</v>
      </c>
      <c r="AF136" s="44">
        <f t="shared" si="18"/>
        <v>171532.94999999925</v>
      </c>
      <c r="AG136" s="44"/>
      <c r="AH136" s="44">
        <v>9017289.6400000006</v>
      </c>
      <c r="AI136" s="44">
        <v>8725339.5600000005</v>
      </c>
      <c r="AJ136" s="44">
        <f t="shared" si="19"/>
        <v>-291950.08000000007</v>
      </c>
      <c r="AK136" s="44"/>
      <c r="AL136" s="44">
        <v>19552835.77</v>
      </c>
      <c r="AM136" s="44">
        <v>19472327.309999999</v>
      </c>
      <c r="AN136" s="44">
        <f t="shared" si="20"/>
        <v>-80508.460000000894</v>
      </c>
      <c r="AO136" s="44"/>
      <c r="AP136" s="44">
        <v>11245145.23</v>
      </c>
      <c r="AQ136" s="44">
        <v>11465887.35</v>
      </c>
      <c r="AR136" s="44">
        <f t="shared" si="21"/>
        <v>220742.11999999918</v>
      </c>
      <c r="AS136" s="44"/>
      <c r="AT136" s="44">
        <v>2147.79</v>
      </c>
      <c r="AU136" s="44">
        <v>8591.16</v>
      </c>
    </row>
    <row r="137" spans="1:47" ht="22.5" x14ac:dyDescent="0.25">
      <c r="A137" s="35" t="s">
        <v>136</v>
      </c>
      <c r="B137" s="46">
        <v>6896255.5800000001</v>
      </c>
      <c r="C137" s="46">
        <v>8196419.1799999997</v>
      </c>
      <c r="D137" s="46">
        <f t="shared" ref="D137:D200" si="22">C137-B137</f>
        <v>1300163.5999999996</v>
      </c>
      <c r="E137" s="46"/>
      <c r="F137" s="46">
        <v>4375356.92</v>
      </c>
      <c r="G137" s="46">
        <v>5171707.82</v>
      </c>
      <c r="H137" s="46">
        <f t="shared" ref="H137:H200" si="23">G137-F137</f>
        <v>796350.90000000037</v>
      </c>
      <c r="I137" s="46"/>
      <c r="J137" s="46">
        <v>627233.09</v>
      </c>
      <c r="K137" s="46">
        <v>657307.81999999995</v>
      </c>
      <c r="L137" s="46">
        <f t="shared" ref="L137:L200" si="24">K137-J137</f>
        <v>30074.729999999981</v>
      </c>
      <c r="M137" s="46"/>
      <c r="N137" s="46">
        <v>990674.32</v>
      </c>
      <c r="O137" s="46">
        <v>1899983.25</v>
      </c>
      <c r="P137" s="46">
        <f t="shared" ref="P137:P200" si="25">O137-N137</f>
        <v>909308.93</v>
      </c>
      <c r="Q137" s="46"/>
      <c r="R137" s="46">
        <v>781404.96</v>
      </c>
      <c r="S137" s="46">
        <v>639045.06000000006</v>
      </c>
      <c r="T137" s="46">
        <f t="shared" ref="T137:T200" si="26">S137-R137</f>
        <v>-142359.89999999991</v>
      </c>
      <c r="U137" s="46"/>
      <c r="V137" s="46">
        <v>677974.59</v>
      </c>
      <c r="W137" s="46">
        <v>602108.21</v>
      </c>
      <c r="X137" s="46">
        <f t="shared" ref="X137:X200" si="27">W137-V137</f>
        <v>-75866.38</v>
      </c>
      <c r="Y137" s="46"/>
      <c r="Z137" s="46">
        <v>546779.47</v>
      </c>
      <c r="AA137" s="46">
        <v>553671.49</v>
      </c>
      <c r="AB137" s="46">
        <f t="shared" ref="AB137:AB200" si="28">AA137-Z137</f>
        <v>6892.0200000000186</v>
      </c>
      <c r="AC137" s="46"/>
      <c r="AD137" s="46">
        <v>442221.84</v>
      </c>
      <c r="AE137" s="46">
        <v>501400.89</v>
      </c>
      <c r="AF137" s="46">
        <f t="shared" ref="AF137:AF200" si="29">AE137-AD137</f>
        <v>59179.049999999988</v>
      </c>
      <c r="AG137" s="46"/>
      <c r="AH137" s="46">
        <v>309068.65000000002</v>
      </c>
      <c r="AI137" s="46">
        <v>318191.09999999998</v>
      </c>
      <c r="AJ137" s="46">
        <f t="shared" ref="AJ137:AJ200" si="30">AI137-AH137</f>
        <v>9122.4499999999534</v>
      </c>
      <c r="AK137" s="46"/>
      <c r="AL137" s="46">
        <v>387247.83</v>
      </c>
      <c r="AM137" s="46">
        <v>621784.98</v>
      </c>
      <c r="AN137" s="46">
        <f t="shared" ref="AN137:AN200" si="31">AM137-AL137</f>
        <v>234537.14999999997</v>
      </c>
      <c r="AO137" s="46"/>
      <c r="AP137" s="46">
        <v>2133650.83</v>
      </c>
      <c r="AQ137" s="46">
        <v>2402926.38</v>
      </c>
      <c r="AR137" s="46">
        <f t="shared" ref="AR137:AR200" si="32">AQ137-AP137</f>
        <v>269275.54999999981</v>
      </c>
      <c r="AS137" s="46"/>
      <c r="AT137" s="46">
        <v>0</v>
      </c>
      <c r="AU137" s="46">
        <v>0</v>
      </c>
    </row>
    <row r="138" spans="1:47" x14ac:dyDescent="0.25">
      <c r="A138" s="35" t="s">
        <v>137</v>
      </c>
      <c r="B138" s="46">
        <v>118844625.17</v>
      </c>
      <c r="C138" s="46">
        <v>116917703.34</v>
      </c>
      <c r="D138" s="46">
        <f t="shared" si="22"/>
        <v>-1926921.8299999982</v>
      </c>
      <c r="E138" s="46"/>
      <c r="F138" s="46">
        <v>91126952.950000003</v>
      </c>
      <c r="G138" s="46">
        <v>89554248</v>
      </c>
      <c r="H138" s="46">
        <f t="shared" si="23"/>
        <v>-1572704.950000003</v>
      </c>
      <c r="I138" s="46"/>
      <c r="J138" s="46">
        <v>16981862.149999999</v>
      </c>
      <c r="K138" s="46">
        <v>17263817.890000001</v>
      </c>
      <c r="L138" s="46">
        <f t="shared" si="24"/>
        <v>281955.74000000209</v>
      </c>
      <c r="M138" s="46"/>
      <c r="N138" s="46">
        <v>19578993.77</v>
      </c>
      <c r="O138" s="46">
        <v>17790624.52</v>
      </c>
      <c r="P138" s="46">
        <f t="shared" si="25"/>
        <v>-1788369.25</v>
      </c>
      <c r="Q138" s="46"/>
      <c r="R138" s="46">
        <v>3597223.61</v>
      </c>
      <c r="S138" s="46">
        <v>3766180.58</v>
      </c>
      <c r="T138" s="46">
        <f t="shared" si="26"/>
        <v>168956.9700000002</v>
      </c>
      <c r="U138" s="46"/>
      <c r="V138" s="46">
        <v>7285099.5599999996</v>
      </c>
      <c r="W138" s="46">
        <v>7285099.5599999996</v>
      </c>
      <c r="X138" s="46">
        <f t="shared" si="27"/>
        <v>0</v>
      </c>
      <c r="Y138" s="46"/>
      <c r="Z138" s="46">
        <v>12666988</v>
      </c>
      <c r="AA138" s="46">
        <v>12612542.800000001</v>
      </c>
      <c r="AB138" s="46">
        <f t="shared" si="28"/>
        <v>-54445.199999999255</v>
      </c>
      <c r="AC138" s="46"/>
      <c r="AD138" s="46">
        <v>22833186.73</v>
      </c>
      <c r="AE138" s="46">
        <v>22942926.550000001</v>
      </c>
      <c r="AF138" s="46">
        <f t="shared" si="29"/>
        <v>109739.8200000003</v>
      </c>
      <c r="AG138" s="46"/>
      <c r="AH138" s="46">
        <v>8183599.1299999999</v>
      </c>
      <c r="AI138" s="46">
        <v>7893056.0999999996</v>
      </c>
      <c r="AJ138" s="46">
        <f t="shared" si="30"/>
        <v>-290543.03000000026</v>
      </c>
      <c r="AK138" s="46"/>
      <c r="AL138" s="46">
        <v>18670688.199999999</v>
      </c>
      <c r="AM138" s="46">
        <v>18360659.82</v>
      </c>
      <c r="AN138" s="46">
        <f t="shared" si="31"/>
        <v>-310028.37999999896</v>
      </c>
      <c r="AO138" s="46"/>
      <c r="AP138" s="46">
        <v>9046984.0199999996</v>
      </c>
      <c r="AQ138" s="46">
        <v>9002795.5199999996</v>
      </c>
      <c r="AR138" s="46">
        <f t="shared" si="32"/>
        <v>-44188.5</v>
      </c>
      <c r="AS138" s="46"/>
      <c r="AT138" s="47">
        <v>0</v>
      </c>
      <c r="AU138" s="46">
        <v>0</v>
      </c>
    </row>
    <row r="139" spans="1:47" x14ac:dyDescent="0.25">
      <c r="A139" s="35" t="s">
        <v>138</v>
      </c>
      <c r="B139" s="46">
        <v>8009559.1699999999</v>
      </c>
      <c r="C139" s="46">
        <v>7385388.2400000002</v>
      </c>
      <c r="D139" s="46">
        <f t="shared" si="22"/>
        <v>-624170.9299999997</v>
      </c>
      <c r="E139" s="46"/>
      <c r="F139" s="46">
        <v>7243497.5</v>
      </c>
      <c r="G139" s="46">
        <v>6622245.3600000003</v>
      </c>
      <c r="H139" s="46">
        <f t="shared" si="23"/>
        <v>-621252.13999999966</v>
      </c>
      <c r="I139" s="46"/>
      <c r="J139" s="46">
        <v>545164.02</v>
      </c>
      <c r="K139" s="46">
        <v>485489.52</v>
      </c>
      <c r="L139" s="46">
        <f t="shared" si="24"/>
        <v>-59674.5</v>
      </c>
      <c r="M139" s="46"/>
      <c r="N139" s="46">
        <v>1537237.95</v>
      </c>
      <c r="O139" s="46">
        <v>1014084.81</v>
      </c>
      <c r="P139" s="46">
        <f t="shared" si="25"/>
        <v>-523153.1399999999</v>
      </c>
      <c r="Q139" s="46"/>
      <c r="R139" s="46">
        <v>1158328.46</v>
      </c>
      <c r="S139" s="46">
        <v>1125712.8999999999</v>
      </c>
      <c r="T139" s="46">
        <f t="shared" si="26"/>
        <v>-32615.560000000056</v>
      </c>
      <c r="U139" s="46"/>
      <c r="V139" s="46">
        <v>999299.45</v>
      </c>
      <c r="W139" s="46">
        <v>1001416.55</v>
      </c>
      <c r="X139" s="46">
        <f t="shared" si="27"/>
        <v>2117.1000000000931</v>
      </c>
      <c r="Y139" s="46"/>
      <c r="Z139" s="46">
        <v>1453012.98</v>
      </c>
      <c r="AA139" s="46">
        <v>1453002.36</v>
      </c>
      <c r="AB139" s="46">
        <f t="shared" si="28"/>
        <v>-10.619999999878928</v>
      </c>
      <c r="AC139" s="46"/>
      <c r="AD139" s="46">
        <v>1025832.78</v>
      </c>
      <c r="AE139" s="46">
        <v>1028446.86</v>
      </c>
      <c r="AF139" s="46">
        <f t="shared" si="29"/>
        <v>2614.0799999999581</v>
      </c>
      <c r="AG139" s="46"/>
      <c r="AH139" s="46">
        <v>524621.86</v>
      </c>
      <c r="AI139" s="46">
        <v>514092.36</v>
      </c>
      <c r="AJ139" s="46">
        <f t="shared" si="30"/>
        <v>-10529.5</v>
      </c>
      <c r="AK139" s="46"/>
      <c r="AL139" s="46">
        <v>494899.74</v>
      </c>
      <c r="AM139" s="46">
        <v>489882.51</v>
      </c>
      <c r="AN139" s="46">
        <f t="shared" si="31"/>
        <v>-5017.2299999999814</v>
      </c>
      <c r="AO139" s="46"/>
      <c r="AP139" s="46">
        <v>64510.38</v>
      </c>
      <c r="AQ139" s="46">
        <v>60165.45</v>
      </c>
      <c r="AR139" s="46">
        <f t="shared" si="32"/>
        <v>-4344.93</v>
      </c>
      <c r="AS139" s="46"/>
      <c r="AT139" s="46">
        <v>2147.79</v>
      </c>
      <c r="AU139" s="46">
        <v>8591.16</v>
      </c>
    </row>
    <row r="140" spans="1:47" x14ac:dyDescent="0.25">
      <c r="A140" s="35" t="s">
        <v>139</v>
      </c>
      <c r="B140" s="47">
        <v>0</v>
      </c>
      <c r="C140" s="47">
        <v>0</v>
      </c>
      <c r="D140" s="47">
        <f t="shared" si="22"/>
        <v>0</v>
      </c>
      <c r="E140" s="47"/>
      <c r="F140" s="47">
        <v>0</v>
      </c>
      <c r="G140" s="47">
        <v>0</v>
      </c>
      <c r="H140" s="47">
        <f t="shared" si="23"/>
        <v>0</v>
      </c>
      <c r="I140" s="47"/>
      <c r="J140" s="47">
        <v>0</v>
      </c>
      <c r="K140" s="47">
        <v>0</v>
      </c>
      <c r="L140" s="47">
        <f t="shared" si="24"/>
        <v>0</v>
      </c>
      <c r="M140" s="47"/>
      <c r="N140" s="47">
        <v>0</v>
      </c>
      <c r="O140" s="47">
        <v>0</v>
      </c>
      <c r="P140" s="47">
        <f t="shared" si="25"/>
        <v>0</v>
      </c>
      <c r="Q140" s="47"/>
      <c r="R140" s="47">
        <v>0</v>
      </c>
      <c r="S140" s="47">
        <v>0</v>
      </c>
      <c r="T140" s="47">
        <f t="shared" si="26"/>
        <v>0</v>
      </c>
      <c r="U140" s="47"/>
      <c r="V140" s="47">
        <v>0</v>
      </c>
      <c r="W140" s="47">
        <v>0</v>
      </c>
      <c r="X140" s="47">
        <f t="shared" si="27"/>
        <v>0</v>
      </c>
      <c r="Y140" s="47"/>
      <c r="Z140" s="47">
        <v>0</v>
      </c>
      <c r="AA140" s="47">
        <v>0</v>
      </c>
      <c r="AB140" s="47">
        <f t="shared" si="28"/>
        <v>0</v>
      </c>
      <c r="AC140" s="47"/>
      <c r="AD140" s="47">
        <v>0</v>
      </c>
      <c r="AE140" s="47">
        <v>0</v>
      </c>
      <c r="AF140" s="47">
        <f t="shared" si="29"/>
        <v>0</v>
      </c>
      <c r="AG140" s="47"/>
      <c r="AH140" s="47">
        <v>0</v>
      </c>
      <c r="AI140" s="47">
        <v>0</v>
      </c>
      <c r="AJ140" s="47">
        <f t="shared" si="30"/>
        <v>0</v>
      </c>
      <c r="AK140" s="47"/>
      <c r="AL140" s="47">
        <v>0</v>
      </c>
      <c r="AM140" s="47">
        <v>0</v>
      </c>
      <c r="AN140" s="47">
        <f t="shared" si="31"/>
        <v>0</v>
      </c>
      <c r="AO140" s="47"/>
      <c r="AP140" s="47">
        <v>0</v>
      </c>
      <c r="AQ140" s="47">
        <v>0</v>
      </c>
      <c r="AR140" s="47">
        <f t="shared" si="32"/>
        <v>0</v>
      </c>
      <c r="AS140" s="47"/>
      <c r="AT140" s="47">
        <v>0</v>
      </c>
      <c r="AU140" s="47">
        <v>0</v>
      </c>
    </row>
    <row r="141" spans="1:47" x14ac:dyDescent="0.25">
      <c r="A141" s="34" t="s">
        <v>140</v>
      </c>
      <c r="B141" s="44">
        <v>2262224771.6300001</v>
      </c>
      <c r="C141" s="44">
        <v>2025732752.1100001</v>
      </c>
      <c r="D141" s="44">
        <f t="shared" si="22"/>
        <v>-236492019.51999998</v>
      </c>
      <c r="E141" s="44"/>
      <c r="F141" s="44">
        <v>1254728214.7500002</v>
      </c>
      <c r="G141" s="44">
        <v>1241533280.5999999</v>
      </c>
      <c r="H141" s="44">
        <f t="shared" si="23"/>
        <v>-13194934.150000334</v>
      </c>
      <c r="I141" s="44"/>
      <c r="J141" s="44">
        <v>75300658.819999993</v>
      </c>
      <c r="K141" s="44">
        <v>75512292.129999995</v>
      </c>
      <c r="L141" s="44">
        <f t="shared" si="24"/>
        <v>211633.31000000238</v>
      </c>
      <c r="M141" s="44"/>
      <c r="N141" s="44">
        <v>434641988.06999999</v>
      </c>
      <c r="O141" s="44">
        <v>420589787.00999999</v>
      </c>
      <c r="P141" s="44">
        <f t="shared" si="25"/>
        <v>-14052201.060000002</v>
      </c>
      <c r="Q141" s="44"/>
      <c r="R141" s="44">
        <v>71193185</v>
      </c>
      <c r="S141" s="44">
        <v>65781866.960000001</v>
      </c>
      <c r="T141" s="44">
        <f t="shared" si="26"/>
        <v>-5411318.0399999991</v>
      </c>
      <c r="U141" s="44"/>
      <c r="V141" s="44">
        <v>156871469.61000001</v>
      </c>
      <c r="W141" s="44">
        <v>142488724.11000001</v>
      </c>
      <c r="X141" s="44">
        <f t="shared" si="27"/>
        <v>-14382745.5</v>
      </c>
      <c r="Y141" s="44"/>
      <c r="Z141" s="44">
        <v>228285277.03</v>
      </c>
      <c r="AA141" s="44">
        <v>240840851.06</v>
      </c>
      <c r="AB141" s="44">
        <f t="shared" si="28"/>
        <v>12555574.030000001</v>
      </c>
      <c r="AC141" s="44"/>
      <c r="AD141" s="44">
        <v>140069697.02000001</v>
      </c>
      <c r="AE141" s="44">
        <v>144195737.77000001</v>
      </c>
      <c r="AF141" s="44">
        <f t="shared" si="29"/>
        <v>4126040.75</v>
      </c>
      <c r="AG141" s="44"/>
      <c r="AH141" s="44">
        <v>148365939.19999999</v>
      </c>
      <c r="AI141" s="44">
        <v>152124021.56</v>
      </c>
      <c r="AJ141" s="44">
        <f t="shared" si="30"/>
        <v>3758082.3600000143</v>
      </c>
      <c r="AK141" s="44"/>
      <c r="AL141" s="44">
        <v>227687825.69999999</v>
      </c>
      <c r="AM141" s="44">
        <v>239552430.21000001</v>
      </c>
      <c r="AN141" s="44">
        <f t="shared" si="31"/>
        <v>11864604.51000002</v>
      </c>
      <c r="AO141" s="44"/>
      <c r="AP141" s="44">
        <v>138281508.13999999</v>
      </c>
      <c r="AQ141" s="44">
        <v>115492447.5</v>
      </c>
      <c r="AR141" s="44">
        <f t="shared" si="32"/>
        <v>-22789060.639999986</v>
      </c>
      <c r="AS141" s="44"/>
      <c r="AT141" s="44">
        <v>641527223.03999996</v>
      </c>
      <c r="AU141" s="44">
        <v>428382073.51999998</v>
      </c>
    </row>
    <row r="142" spans="1:47" x14ac:dyDescent="0.25">
      <c r="A142" s="36" t="s">
        <v>141</v>
      </c>
      <c r="B142" s="44">
        <v>66767393.630000003</v>
      </c>
      <c r="C142" s="44">
        <v>61364932.009999998</v>
      </c>
      <c r="D142" s="44">
        <f t="shared" si="22"/>
        <v>-5402461.6200000048</v>
      </c>
      <c r="E142" s="44"/>
      <c r="F142" s="44">
        <v>237636.06</v>
      </c>
      <c r="G142" s="44">
        <v>163910.04999999999</v>
      </c>
      <c r="H142" s="44">
        <f t="shared" si="23"/>
        <v>-73726.010000000009</v>
      </c>
      <c r="I142" s="44"/>
      <c r="J142" s="44">
        <v>4525.95</v>
      </c>
      <c r="K142" s="44">
        <v>48105.49</v>
      </c>
      <c r="L142" s="44">
        <f t="shared" si="24"/>
        <v>43579.54</v>
      </c>
      <c r="M142" s="44"/>
      <c r="N142" s="44">
        <v>11837.61</v>
      </c>
      <c r="O142" s="44">
        <v>8523.61</v>
      </c>
      <c r="P142" s="44">
        <f t="shared" si="25"/>
        <v>-3314</v>
      </c>
      <c r="Q142" s="44"/>
      <c r="R142" s="44">
        <v>12130.43</v>
      </c>
      <c r="S142" s="44">
        <v>6175.35</v>
      </c>
      <c r="T142" s="44">
        <f t="shared" si="26"/>
        <v>-5955.08</v>
      </c>
      <c r="U142" s="44"/>
      <c r="V142" s="44">
        <v>207603.82</v>
      </c>
      <c r="W142" s="44">
        <v>90835.6</v>
      </c>
      <c r="X142" s="44">
        <f t="shared" si="27"/>
        <v>-116768.22</v>
      </c>
      <c r="Y142" s="44"/>
      <c r="Z142" s="44">
        <v>1538.25</v>
      </c>
      <c r="AA142" s="44">
        <v>10270</v>
      </c>
      <c r="AB142" s="44">
        <f t="shared" si="28"/>
        <v>8731.75</v>
      </c>
      <c r="AC142" s="44"/>
      <c r="AD142" s="45">
        <v>0</v>
      </c>
      <c r="AE142" s="45">
        <v>0</v>
      </c>
      <c r="AF142" s="44">
        <f t="shared" si="29"/>
        <v>0</v>
      </c>
      <c r="AG142" s="44"/>
      <c r="AH142" s="45">
        <v>0</v>
      </c>
      <c r="AI142" s="45">
        <v>0</v>
      </c>
      <c r="AJ142" s="44">
        <f t="shared" si="30"/>
        <v>0</v>
      </c>
      <c r="AK142" s="44"/>
      <c r="AL142" s="44">
        <v>21976.560000000001</v>
      </c>
      <c r="AM142" s="44">
        <v>21866.76</v>
      </c>
      <c r="AN142" s="44">
        <f t="shared" si="31"/>
        <v>-109.80000000000291</v>
      </c>
      <c r="AO142" s="44"/>
      <c r="AP142" s="45">
        <v>0</v>
      </c>
      <c r="AQ142" s="45">
        <v>0</v>
      </c>
      <c r="AR142" s="44">
        <f t="shared" si="32"/>
        <v>0</v>
      </c>
      <c r="AS142" s="44"/>
      <c r="AT142" s="44">
        <v>66507781.009999998</v>
      </c>
      <c r="AU142" s="44">
        <v>61179155.200000003</v>
      </c>
    </row>
    <row r="143" spans="1:47" x14ac:dyDescent="0.25">
      <c r="A143" s="37" t="s">
        <v>142</v>
      </c>
      <c r="B143" s="46">
        <v>20679.990000000002</v>
      </c>
      <c r="C143" s="46">
        <v>14399.44</v>
      </c>
      <c r="D143" s="46">
        <f t="shared" si="22"/>
        <v>-6280.5500000000011</v>
      </c>
      <c r="E143" s="46"/>
      <c r="F143" s="46">
        <v>18168.68</v>
      </c>
      <c r="G143" s="46">
        <v>11997.93</v>
      </c>
      <c r="H143" s="46">
        <f t="shared" si="23"/>
        <v>-6170.75</v>
      </c>
      <c r="I143" s="46"/>
      <c r="J143" s="47">
        <v>0</v>
      </c>
      <c r="K143" s="47">
        <v>0</v>
      </c>
      <c r="L143" s="46">
        <f t="shared" si="24"/>
        <v>0</v>
      </c>
      <c r="M143" s="46"/>
      <c r="N143" s="46">
        <v>3000</v>
      </c>
      <c r="O143" s="46">
        <v>2826.61</v>
      </c>
      <c r="P143" s="46">
        <f t="shared" si="25"/>
        <v>-173.38999999999987</v>
      </c>
      <c r="Q143" s="46"/>
      <c r="R143" s="46">
        <v>12130.43</v>
      </c>
      <c r="S143" s="46">
        <v>6175.35</v>
      </c>
      <c r="T143" s="46">
        <f t="shared" si="26"/>
        <v>-5955.08</v>
      </c>
      <c r="U143" s="46"/>
      <c r="V143" s="46">
        <v>1500</v>
      </c>
      <c r="W143" s="46">
        <v>1495.97</v>
      </c>
      <c r="X143" s="46">
        <f t="shared" si="27"/>
        <v>-4.0299999999999727</v>
      </c>
      <c r="Y143" s="46"/>
      <c r="Z143" s="46">
        <v>1538.25</v>
      </c>
      <c r="AA143" s="46">
        <v>1500</v>
      </c>
      <c r="AB143" s="46">
        <f t="shared" si="28"/>
        <v>-38.25</v>
      </c>
      <c r="AC143" s="46"/>
      <c r="AD143" s="47">
        <v>0</v>
      </c>
      <c r="AE143" s="47">
        <v>0</v>
      </c>
      <c r="AF143" s="46">
        <f t="shared" si="29"/>
        <v>0</v>
      </c>
      <c r="AG143" s="46"/>
      <c r="AH143" s="47">
        <v>0</v>
      </c>
      <c r="AI143" s="47">
        <v>0</v>
      </c>
      <c r="AJ143" s="46">
        <f t="shared" si="30"/>
        <v>0</v>
      </c>
      <c r="AK143" s="46"/>
      <c r="AL143" s="46">
        <v>2511.31</v>
      </c>
      <c r="AM143" s="46">
        <v>2401.5100000000002</v>
      </c>
      <c r="AN143" s="46">
        <f t="shared" si="31"/>
        <v>-109.79999999999973</v>
      </c>
      <c r="AO143" s="46"/>
      <c r="AP143" s="47">
        <v>0</v>
      </c>
      <c r="AQ143" s="47">
        <v>0</v>
      </c>
      <c r="AR143" s="46">
        <f t="shared" si="32"/>
        <v>0</v>
      </c>
      <c r="AS143" s="46"/>
      <c r="AT143" s="47">
        <v>0</v>
      </c>
      <c r="AU143" s="47">
        <v>0</v>
      </c>
    </row>
    <row r="144" spans="1:47" x14ac:dyDescent="0.25">
      <c r="A144" s="37" t="s">
        <v>143</v>
      </c>
      <c r="B144" s="46">
        <v>8667815.0800000001</v>
      </c>
      <c r="C144" s="46">
        <v>6480617.5300000003</v>
      </c>
      <c r="D144" s="46">
        <f t="shared" si="22"/>
        <v>-2187197.5499999998</v>
      </c>
      <c r="E144" s="46"/>
      <c r="F144" s="46">
        <v>1972.26</v>
      </c>
      <c r="G144" s="46">
        <v>1047</v>
      </c>
      <c r="H144" s="46">
        <f t="shared" si="23"/>
        <v>-925.26</v>
      </c>
      <c r="I144" s="46"/>
      <c r="J144" s="47">
        <v>0</v>
      </c>
      <c r="K144" s="47">
        <v>0</v>
      </c>
      <c r="L144" s="46">
        <f t="shared" si="24"/>
        <v>0</v>
      </c>
      <c r="M144" s="46"/>
      <c r="N144" s="46">
        <v>1972.26</v>
      </c>
      <c r="O144" s="46">
        <v>1047</v>
      </c>
      <c r="P144" s="46">
        <f t="shared" si="25"/>
        <v>-925.26</v>
      </c>
      <c r="Q144" s="46"/>
      <c r="R144" s="47">
        <v>0</v>
      </c>
      <c r="S144" s="47">
        <v>0</v>
      </c>
      <c r="T144" s="46">
        <f t="shared" si="26"/>
        <v>0</v>
      </c>
      <c r="U144" s="46"/>
      <c r="V144" s="47">
        <v>0</v>
      </c>
      <c r="W144" s="47">
        <v>0</v>
      </c>
      <c r="X144" s="46">
        <f t="shared" si="27"/>
        <v>0</v>
      </c>
      <c r="Y144" s="46"/>
      <c r="Z144" s="47">
        <v>0</v>
      </c>
      <c r="AA144" s="47">
        <v>0</v>
      </c>
      <c r="AB144" s="46">
        <f t="shared" si="28"/>
        <v>0</v>
      </c>
      <c r="AC144" s="46"/>
      <c r="AD144" s="47">
        <v>0</v>
      </c>
      <c r="AE144" s="47">
        <v>0</v>
      </c>
      <c r="AF144" s="46">
        <f t="shared" si="29"/>
        <v>0</v>
      </c>
      <c r="AG144" s="46"/>
      <c r="AH144" s="47">
        <v>0</v>
      </c>
      <c r="AI144" s="47">
        <v>0</v>
      </c>
      <c r="AJ144" s="46">
        <f t="shared" si="30"/>
        <v>0</v>
      </c>
      <c r="AK144" s="46"/>
      <c r="AL144" s="47">
        <v>0</v>
      </c>
      <c r="AM144" s="47">
        <v>0</v>
      </c>
      <c r="AN144" s="46">
        <f t="shared" si="31"/>
        <v>0</v>
      </c>
      <c r="AO144" s="46"/>
      <c r="AP144" s="47">
        <v>0</v>
      </c>
      <c r="AQ144" s="47">
        <v>0</v>
      </c>
      <c r="AR144" s="46">
        <f t="shared" si="32"/>
        <v>0</v>
      </c>
      <c r="AS144" s="46"/>
      <c r="AT144" s="46">
        <v>8665842.8200000003</v>
      </c>
      <c r="AU144" s="46">
        <v>6479570.5300000003</v>
      </c>
    </row>
    <row r="145" spans="1:47" ht="22.5" x14ac:dyDescent="0.25">
      <c r="A145" s="37" t="s">
        <v>144</v>
      </c>
      <c r="B145" s="46">
        <v>30262004.379999999</v>
      </c>
      <c r="C145" s="46">
        <v>30314331.030000001</v>
      </c>
      <c r="D145" s="46">
        <f t="shared" si="22"/>
        <v>52326.650000002235</v>
      </c>
      <c r="E145" s="46"/>
      <c r="F145" s="47">
        <v>0</v>
      </c>
      <c r="G145" s="46">
        <v>64362.57</v>
      </c>
      <c r="H145" s="46">
        <f t="shared" si="23"/>
        <v>64362.57</v>
      </c>
      <c r="I145" s="46"/>
      <c r="J145" s="47">
        <v>0</v>
      </c>
      <c r="K145" s="46">
        <v>20002</v>
      </c>
      <c r="L145" s="46">
        <f t="shared" si="24"/>
        <v>20002</v>
      </c>
      <c r="M145" s="46"/>
      <c r="N145" s="47">
        <v>0</v>
      </c>
      <c r="O145" s="47">
        <v>0</v>
      </c>
      <c r="P145" s="46">
        <f t="shared" si="25"/>
        <v>0</v>
      </c>
      <c r="Q145" s="46"/>
      <c r="R145" s="47">
        <v>0</v>
      </c>
      <c r="S145" s="47">
        <v>0</v>
      </c>
      <c r="T145" s="46">
        <f t="shared" si="26"/>
        <v>0</v>
      </c>
      <c r="U145" s="46"/>
      <c r="V145" s="47">
        <v>0</v>
      </c>
      <c r="W145" s="46">
        <v>39700.57</v>
      </c>
      <c r="X145" s="46">
        <f t="shared" si="27"/>
        <v>39700.57</v>
      </c>
      <c r="Y145" s="46"/>
      <c r="Z145" s="47">
        <v>0</v>
      </c>
      <c r="AA145" s="46">
        <v>4660</v>
      </c>
      <c r="AB145" s="46">
        <f t="shared" si="28"/>
        <v>4660</v>
      </c>
      <c r="AC145" s="46"/>
      <c r="AD145" s="47">
        <v>0</v>
      </c>
      <c r="AE145" s="47">
        <v>0</v>
      </c>
      <c r="AF145" s="46">
        <f t="shared" si="29"/>
        <v>0</v>
      </c>
      <c r="AG145" s="46"/>
      <c r="AH145" s="47">
        <v>0</v>
      </c>
      <c r="AI145" s="47">
        <v>0</v>
      </c>
      <c r="AJ145" s="46">
        <f t="shared" si="30"/>
        <v>0</v>
      </c>
      <c r="AK145" s="46"/>
      <c r="AL145" s="47">
        <v>0</v>
      </c>
      <c r="AM145" s="47">
        <v>0</v>
      </c>
      <c r="AN145" s="46">
        <f t="shared" si="31"/>
        <v>0</v>
      </c>
      <c r="AO145" s="46"/>
      <c r="AP145" s="47">
        <v>0</v>
      </c>
      <c r="AQ145" s="47">
        <v>0</v>
      </c>
      <c r="AR145" s="46">
        <f t="shared" si="32"/>
        <v>0</v>
      </c>
      <c r="AS145" s="46"/>
      <c r="AT145" s="46">
        <v>30262004.379999999</v>
      </c>
      <c r="AU145" s="46">
        <v>30249968.460000001</v>
      </c>
    </row>
    <row r="146" spans="1:47" x14ac:dyDescent="0.25">
      <c r="A146" s="37" t="s">
        <v>145</v>
      </c>
      <c r="B146" s="46">
        <v>27816894.18</v>
      </c>
      <c r="C146" s="46">
        <v>24555584.010000002</v>
      </c>
      <c r="D146" s="46">
        <f t="shared" si="22"/>
        <v>-3261310.1699999981</v>
      </c>
      <c r="E146" s="46"/>
      <c r="F146" s="46">
        <v>217495.12</v>
      </c>
      <c r="G146" s="46">
        <v>86502.55</v>
      </c>
      <c r="H146" s="46">
        <f t="shared" si="23"/>
        <v>-130992.56999999999</v>
      </c>
      <c r="I146" s="46"/>
      <c r="J146" s="46">
        <v>4525.95</v>
      </c>
      <c r="K146" s="46">
        <v>28103.49</v>
      </c>
      <c r="L146" s="46">
        <f t="shared" si="24"/>
        <v>23577.54</v>
      </c>
      <c r="M146" s="46"/>
      <c r="N146" s="46">
        <v>6865.35</v>
      </c>
      <c r="O146" s="46">
        <v>4650</v>
      </c>
      <c r="P146" s="46">
        <f t="shared" si="25"/>
        <v>-2215.3500000000004</v>
      </c>
      <c r="Q146" s="46"/>
      <c r="R146" s="47">
        <v>0</v>
      </c>
      <c r="S146" s="47">
        <v>0</v>
      </c>
      <c r="T146" s="46">
        <f t="shared" si="26"/>
        <v>0</v>
      </c>
      <c r="U146" s="46"/>
      <c r="V146" s="46">
        <v>206103.82</v>
      </c>
      <c r="W146" s="46">
        <v>49639.06</v>
      </c>
      <c r="X146" s="46">
        <f t="shared" si="27"/>
        <v>-156464.76</v>
      </c>
      <c r="Y146" s="46"/>
      <c r="Z146" s="47">
        <v>0</v>
      </c>
      <c r="AA146" s="46">
        <v>4110</v>
      </c>
      <c r="AB146" s="46">
        <f t="shared" si="28"/>
        <v>4110</v>
      </c>
      <c r="AC146" s="46"/>
      <c r="AD146" s="47">
        <v>0</v>
      </c>
      <c r="AE146" s="47">
        <v>0</v>
      </c>
      <c r="AF146" s="46">
        <f t="shared" si="29"/>
        <v>0</v>
      </c>
      <c r="AG146" s="46"/>
      <c r="AH146" s="47">
        <v>0</v>
      </c>
      <c r="AI146" s="47">
        <v>0</v>
      </c>
      <c r="AJ146" s="46">
        <f t="shared" si="30"/>
        <v>0</v>
      </c>
      <c r="AK146" s="46"/>
      <c r="AL146" s="46">
        <v>19465.25</v>
      </c>
      <c r="AM146" s="46">
        <v>19465.25</v>
      </c>
      <c r="AN146" s="46">
        <f t="shared" si="31"/>
        <v>0</v>
      </c>
      <c r="AO146" s="46"/>
      <c r="AP146" s="47">
        <v>0</v>
      </c>
      <c r="AQ146" s="47">
        <v>0</v>
      </c>
      <c r="AR146" s="46">
        <f t="shared" si="32"/>
        <v>0</v>
      </c>
      <c r="AS146" s="46"/>
      <c r="AT146" s="46">
        <v>27579933.809999999</v>
      </c>
      <c r="AU146" s="46">
        <v>24449616.210000001</v>
      </c>
    </row>
    <row r="147" spans="1:47" x14ac:dyDescent="0.25">
      <c r="A147" s="36" t="s">
        <v>146</v>
      </c>
      <c r="B147" s="44">
        <v>1499409978.23</v>
      </c>
      <c r="C147" s="44">
        <v>1311043105.1199999</v>
      </c>
      <c r="D147" s="44">
        <f t="shared" si="22"/>
        <v>-188366873.11000013</v>
      </c>
      <c r="E147" s="44"/>
      <c r="F147" s="44">
        <v>821914063.59000003</v>
      </c>
      <c r="G147" s="44">
        <v>811379321.72000003</v>
      </c>
      <c r="H147" s="44">
        <f t="shared" si="23"/>
        <v>-10534741.870000005</v>
      </c>
      <c r="I147" s="44"/>
      <c r="J147" s="44">
        <v>25821915.379999999</v>
      </c>
      <c r="K147" s="44">
        <v>26655499.219999999</v>
      </c>
      <c r="L147" s="44">
        <f t="shared" si="24"/>
        <v>833583.83999999985</v>
      </c>
      <c r="M147" s="44"/>
      <c r="N147" s="44">
        <v>355933664.01999998</v>
      </c>
      <c r="O147" s="44">
        <v>341761252.69</v>
      </c>
      <c r="P147" s="44">
        <f t="shared" si="25"/>
        <v>-14172411.329999983</v>
      </c>
      <c r="Q147" s="44"/>
      <c r="R147" s="44">
        <v>23640006.170000002</v>
      </c>
      <c r="S147" s="44">
        <v>19816947.780000001</v>
      </c>
      <c r="T147" s="44">
        <f t="shared" si="26"/>
        <v>-3823058.3900000006</v>
      </c>
      <c r="U147" s="44"/>
      <c r="V147" s="44">
        <v>81086563.909999996</v>
      </c>
      <c r="W147" s="44">
        <v>66767930.18</v>
      </c>
      <c r="X147" s="44">
        <f t="shared" si="27"/>
        <v>-14318633.729999997</v>
      </c>
      <c r="Y147" s="44"/>
      <c r="Z147" s="44">
        <v>146720299.05000001</v>
      </c>
      <c r="AA147" s="44">
        <v>159512198.22999999</v>
      </c>
      <c r="AB147" s="44">
        <f t="shared" si="28"/>
        <v>12791899.179999977</v>
      </c>
      <c r="AC147" s="44"/>
      <c r="AD147" s="44">
        <v>72565934.489999995</v>
      </c>
      <c r="AE147" s="44">
        <v>76437648.060000002</v>
      </c>
      <c r="AF147" s="44">
        <f t="shared" si="29"/>
        <v>3871713.5700000077</v>
      </c>
      <c r="AG147" s="44"/>
      <c r="AH147" s="44">
        <v>116145680.56999999</v>
      </c>
      <c r="AI147" s="44">
        <v>120427845.56</v>
      </c>
      <c r="AJ147" s="44">
        <f t="shared" si="30"/>
        <v>4282164.9900000095</v>
      </c>
      <c r="AK147" s="44"/>
      <c r="AL147" s="44">
        <v>206305217.53999999</v>
      </c>
      <c r="AM147" s="44">
        <v>217573397.22999999</v>
      </c>
      <c r="AN147" s="44">
        <f t="shared" si="31"/>
        <v>11268179.689999998</v>
      </c>
      <c r="AO147" s="44"/>
      <c r="AP147" s="44">
        <v>123043106.59999999</v>
      </c>
      <c r="AQ147" s="44">
        <v>100254045.95999999</v>
      </c>
      <c r="AR147" s="44">
        <f t="shared" si="32"/>
        <v>-22789060.640000001</v>
      </c>
      <c r="AS147" s="44"/>
      <c r="AT147" s="44">
        <v>348147590.5</v>
      </c>
      <c r="AU147" s="44">
        <v>181836340.21000001</v>
      </c>
    </row>
    <row r="148" spans="1:47" ht="22.5" x14ac:dyDescent="0.25">
      <c r="A148" s="39" t="s">
        <v>147</v>
      </c>
      <c r="B148" s="44">
        <v>12815285.859999999</v>
      </c>
      <c r="C148" s="44">
        <v>23692792.16</v>
      </c>
      <c r="D148" s="44">
        <f t="shared" si="22"/>
        <v>10877506.300000001</v>
      </c>
      <c r="E148" s="44"/>
      <c r="F148" s="45">
        <v>0</v>
      </c>
      <c r="G148" s="44">
        <v>-37190.99</v>
      </c>
      <c r="H148" s="44">
        <f t="shared" si="23"/>
        <v>-37190.99</v>
      </c>
      <c r="I148" s="44"/>
      <c r="J148" s="45">
        <v>0</v>
      </c>
      <c r="K148" s="45">
        <v>0</v>
      </c>
      <c r="L148" s="44">
        <f t="shared" si="24"/>
        <v>0</v>
      </c>
      <c r="M148" s="44"/>
      <c r="N148" s="45">
        <v>0</v>
      </c>
      <c r="O148" s="45">
        <v>0</v>
      </c>
      <c r="P148" s="44">
        <f t="shared" si="25"/>
        <v>0</v>
      </c>
      <c r="Q148" s="44"/>
      <c r="R148" s="45">
        <v>0</v>
      </c>
      <c r="S148" s="45">
        <v>0</v>
      </c>
      <c r="T148" s="44">
        <f t="shared" si="26"/>
        <v>0</v>
      </c>
      <c r="U148" s="44"/>
      <c r="V148" s="45">
        <v>0</v>
      </c>
      <c r="W148" s="45">
        <v>0</v>
      </c>
      <c r="X148" s="44">
        <f t="shared" si="27"/>
        <v>0</v>
      </c>
      <c r="Y148" s="44"/>
      <c r="Z148" s="45">
        <v>0</v>
      </c>
      <c r="AA148" s="44">
        <v>-37190.99</v>
      </c>
      <c r="AB148" s="44">
        <f t="shared" si="28"/>
        <v>-37190.99</v>
      </c>
      <c r="AC148" s="44"/>
      <c r="AD148" s="45">
        <v>0</v>
      </c>
      <c r="AE148" s="45">
        <v>0</v>
      </c>
      <c r="AF148" s="44">
        <f t="shared" si="29"/>
        <v>0</v>
      </c>
      <c r="AG148" s="44"/>
      <c r="AH148" s="45">
        <v>0</v>
      </c>
      <c r="AI148" s="45">
        <v>0</v>
      </c>
      <c r="AJ148" s="44">
        <f t="shared" si="30"/>
        <v>0</v>
      </c>
      <c r="AK148" s="44"/>
      <c r="AL148" s="44">
        <v>4249184.93</v>
      </c>
      <c r="AM148" s="44">
        <v>1997506.5</v>
      </c>
      <c r="AN148" s="44">
        <f t="shared" si="31"/>
        <v>-2251678.4299999997</v>
      </c>
      <c r="AO148" s="44"/>
      <c r="AP148" s="45">
        <v>0</v>
      </c>
      <c r="AQ148" s="45">
        <v>0</v>
      </c>
      <c r="AR148" s="44">
        <f t="shared" si="32"/>
        <v>0</v>
      </c>
      <c r="AS148" s="44"/>
      <c r="AT148" s="44">
        <v>8566100.9299999997</v>
      </c>
      <c r="AU148" s="44">
        <v>21732476.649999999</v>
      </c>
    </row>
    <row r="149" spans="1:47" x14ac:dyDescent="0.25">
      <c r="A149" s="40" t="s">
        <v>148</v>
      </c>
      <c r="B149" s="46">
        <v>12815285.859999999</v>
      </c>
      <c r="C149" s="46">
        <v>23692792.16</v>
      </c>
      <c r="D149" s="46">
        <f t="shared" si="22"/>
        <v>10877506.300000001</v>
      </c>
      <c r="E149" s="46"/>
      <c r="F149" s="47">
        <v>0</v>
      </c>
      <c r="G149" s="46">
        <v>-37190.99</v>
      </c>
      <c r="H149" s="46">
        <f t="shared" si="23"/>
        <v>-37190.99</v>
      </c>
      <c r="I149" s="46"/>
      <c r="J149" s="47">
        <v>0</v>
      </c>
      <c r="K149" s="47">
        <v>0</v>
      </c>
      <c r="L149" s="46">
        <f t="shared" si="24"/>
        <v>0</v>
      </c>
      <c r="M149" s="46"/>
      <c r="N149" s="47">
        <v>0</v>
      </c>
      <c r="O149" s="47">
        <v>0</v>
      </c>
      <c r="P149" s="46">
        <f t="shared" si="25"/>
        <v>0</v>
      </c>
      <c r="Q149" s="46"/>
      <c r="R149" s="47">
        <v>0</v>
      </c>
      <c r="S149" s="47">
        <v>0</v>
      </c>
      <c r="T149" s="46">
        <f t="shared" si="26"/>
        <v>0</v>
      </c>
      <c r="U149" s="46"/>
      <c r="V149" s="47">
        <v>0</v>
      </c>
      <c r="W149" s="47">
        <v>0</v>
      </c>
      <c r="X149" s="46">
        <f t="shared" si="27"/>
        <v>0</v>
      </c>
      <c r="Y149" s="46"/>
      <c r="Z149" s="47">
        <v>0</v>
      </c>
      <c r="AA149" s="46">
        <v>-37190.99</v>
      </c>
      <c r="AB149" s="46">
        <f t="shared" si="28"/>
        <v>-37190.99</v>
      </c>
      <c r="AC149" s="46"/>
      <c r="AD149" s="47">
        <v>0</v>
      </c>
      <c r="AE149" s="47">
        <v>0</v>
      </c>
      <c r="AF149" s="46">
        <f t="shared" si="29"/>
        <v>0</v>
      </c>
      <c r="AG149" s="46"/>
      <c r="AH149" s="47">
        <v>0</v>
      </c>
      <c r="AI149" s="47">
        <v>0</v>
      </c>
      <c r="AJ149" s="46">
        <f t="shared" si="30"/>
        <v>0</v>
      </c>
      <c r="AK149" s="46"/>
      <c r="AL149" s="46">
        <v>4249184.93</v>
      </c>
      <c r="AM149" s="46">
        <v>1997506.5</v>
      </c>
      <c r="AN149" s="46">
        <f t="shared" si="31"/>
        <v>-2251678.4299999997</v>
      </c>
      <c r="AO149" s="46"/>
      <c r="AP149" s="47">
        <v>0</v>
      </c>
      <c r="AQ149" s="47">
        <v>0</v>
      </c>
      <c r="AR149" s="46">
        <f t="shared" si="32"/>
        <v>0</v>
      </c>
      <c r="AS149" s="46"/>
      <c r="AT149" s="46">
        <v>8566100.9299999997</v>
      </c>
      <c r="AU149" s="46">
        <v>21732476.649999999</v>
      </c>
    </row>
    <row r="150" spans="1:47" ht="22.5" x14ac:dyDescent="0.25">
      <c r="A150" s="40" t="s">
        <v>149</v>
      </c>
      <c r="B150" s="47">
        <v>0</v>
      </c>
      <c r="C150" s="46">
        <v>0</v>
      </c>
      <c r="D150" s="46">
        <f t="shared" si="22"/>
        <v>0</v>
      </c>
      <c r="E150" s="46"/>
      <c r="F150" s="47">
        <v>0</v>
      </c>
      <c r="G150" s="47">
        <v>0</v>
      </c>
      <c r="H150" s="46">
        <f t="shared" si="23"/>
        <v>0</v>
      </c>
      <c r="I150" s="46"/>
      <c r="J150" s="47">
        <v>0</v>
      </c>
      <c r="K150" s="47">
        <v>0</v>
      </c>
      <c r="L150" s="46">
        <f t="shared" si="24"/>
        <v>0</v>
      </c>
      <c r="M150" s="46"/>
      <c r="N150" s="47">
        <v>0</v>
      </c>
      <c r="O150" s="47">
        <v>0</v>
      </c>
      <c r="P150" s="46">
        <f t="shared" si="25"/>
        <v>0</v>
      </c>
      <c r="Q150" s="46"/>
      <c r="R150" s="47">
        <v>0</v>
      </c>
      <c r="S150" s="47">
        <v>0</v>
      </c>
      <c r="T150" s="46">
        <f t="shared" si="26"/>
        <v>0</v>
      </c>
      <c r="U150" s="46"/>
      <c r="V150" s="47">
        <v>0</v>
      </c>
      <c r="W150" s="47">
        <v>0</v>
      </c>
      <c r="X150" s="46">
        <f t="shared" si="27"/>
        <v>0</v>
      </c>
      <c r="Y150" s="46"/>
      <c r="Z150" s="47">
        <v>0</v>
      </c>
      <c r="AA150" s="47">
        <v>0</v>
      </c>
      <c r="AB150" s="46">
        <f t="shared" si="28"/>
        <v>0</v>
      </c>
      <c r="AC150" s="46"/>
      <c r="AD150" s="47">
        <v>0</v>
      </c>
      <c r="AE150" s="47">
        <v>0</v>
      </c>
      <c r="AF150" s="46">
        <f t="shared" si="29"/>
        <v>0</v>
      </c>
      <c r="AG150" s="46"/>
      <c r="AH150" s="47">
        <v>0</v>
      </c>
      <c r="AI150" s="47">
        <v>0</v>
      </c>
      <c r="AJ150" s="46">
        <f t="shared" si="30"/>
        <v>0</v>
      </c>
      <c r="AK150" s="46"/>
      <c r="AL150" s="47">
        <v>0</v>
      </c>
      <c r="AM150" s="46">
        <v>0</v>
      </c>
      <c r="AN150" s="46">
        <f t="shared" si="31"/>
        <v>0</v>
      </c>
      <c r="AO150" s="46"/>
      <c r="AP150" s="47">
        <v>0</v>
      </c>
      <c r="AQ150" s="47">
        <v>0</v>
      </c>
      <c r="AR150" s="46">
        <f t="shared" si="32"/>
        <v>0</v>
      </c>
      <c r="AS150" s="46"/>
      <c r="AT150" s="47">
        <v>0</v>
      </c>
      <c r="AU150" s="47">
        <v>0</v>
      </c>
    </row>
    <row r="151" spans="1:47" ht="22.5" x14ac:dyDescent="0.25">
      <c r="A151" s="39" t="s">
        <v>150</v>
      </c>
      <c r="B151" s="44">
        <v>1792031.67</v>
      </c>
      <c r="C151" s="44">
        <v>2071656.63</v>
      </c>
      <c r="D151" s="44">
        <f t="shared" si="22"/>
        <v>279624.95999999996</v>
      </c>
      <c r="E151" s="44"/>
      <c r="F151" s="45">
        <v>0</v>
      </c>
      <c r="G151" s="45">
        <v>0</v>
      </c>
      <c r="H151" s="44">
        <f t="shared" si="23"/>
        <v>0</v>
      </c>
      <c r="I151" s="44"/>
      <c r="J151" s="45">
        <v>0</v>
      </c>
      <c r="K151" s="45">
        <v>0</v>
      </c>
      <c r="L151" s="44">
        <f t="shared" si="24"/>
        <v>0</v>
      </c>
      <c r="M151" s="44"/>
      <c r="N151" s="45">
        <v>0</v>
      </c>
      <c r="O151" s="45">
        <v>0</v>
      </c>
      <c r="P151" s="44">
        <f t="shared" si="25"/>
        <v>0</v>
      </c>
      <c r="Q151" s="44"/>
      <c r="R151" s="45">
        <v>0</v>
      </c>
      <c r="S151" s="45">
        <v>0</v>
      </c>
      <c r="T151" s="44">
        <f t="shared" si="26"/>
        <v>0</v>
      </c>
      <c r="U151" s="44"/>
      <c r="V151" s="45">
        <v>0</v>
      </c>
      <c r="W151" s="45">
        <v>0</v>
      </c>
      <c r="X151" s="44">
        <f t="shared" si="27"/>
        <v>0</v>
      </c>
      <c r="Y151" s="44"/>
      <c r="Z151" s="45">
        <v>0</v>
      </c>
      <c r="AA151" s="45">
        <v>0</v>
      </c>
      <c r="AB151" s="44">
        <f t="shared" si="28"/>
        <v>0</v>
      </c>
      <c r="AC151" s="44"/>
      <c r="AD151" s="45">
        <v>0</v>
      </c>
      <c r="AE151" s="45">
        <v>0</v>
      </c>
      <c r="AF151" s="44">
        <f t="shared" si="29"/>
        <v>0</v>
      </c>
      <c r="AG151" s="44"/>
      <c r="AH151" s="45">
        <v>0</v>
      </c>
      <c r="AI151" s="45">
        <v>0</v>
      </c>
      <c r="AJ151" s="44">
        <f t="shared" si="30"/>
        <v>0</v>
      </c>
      <c r="AK151" s="44"/>
      <c r="AL151" s="45">
        <v>0</v>
      </c>
      <c r="AM151" s="44">
        <v>9665.4599999999991</v>
      </c>
      <c r="AN151" s="44">
        <f t="shared" si="31"/>
        <v>9665.4599999999991</v>
      </c>
      <c r="AO151" s="44"/>
      <c r="AP151" s="45">
        <v>0</v>
      </c>
      <c r="AQ151" s="44">
        <v>0</v>
      </c>
      <c r="AR151" s="44">
        <f t="shared" si="32"/>
        <v>0</v>
      </c>
      <c r="AS151" s="44"/>
      <c r="AT151" s="44">
        <v>1792031.67</v>
      </c>
      <c r="AU151" s="44">
        <v>2061991.17</v>
      </c>
    </row>
    <row r="152" spans="1:47" x14ac:dyDescent="0.25">
      <c r="A152" s="40" t="s">
        <v>151</v>
      </c>
      <c r="B152" s="46">
        <v>1792031.67</v>
      </c>
      <c r="C152" s="46">
        <v>2071656.63</v>
      </c>
      <c r="D152" s="46">
        <f t="shared" si="22"/>
        <v>279624.95999999996</v>
      </c>
      <c r="E152" s="46"/>
      <c r="F152" s="47">
        <v>0</v>
      </c>
      <c r="G152" s="47">
        <v>0</v>
      </c>
      <c r="H152" s="46">
        <f t="shared" si="23"/>
        <v>0</v>
      </c>
      <c r="I152" s="46"/>
      <c r="J152" s="47">
        <v>0</v>
      </c>
      <c r="K152" s="47">
        <v>0</v>
      </c>
      <c r="L152" s="46">
        <f t="shared" si="24"/>
        <v>0</v>
      </c>
      <c r="M152" s="46"/>
      <c r="N152" s="47">
        <v>0</v>
      </c>
      <c r="O152" s="47">
        <v>0</v>
      </c>
      <c r="P152" s="46">
        <f t="shared" si="25"/>
        <v>0</v>
      </c>
      <c r="Q152" s="46"/>
      <c r="R152" s="47">
        <v>0</v>
      </c>
      <c r="S152" s="47">
        <v>0</v>
      </c>
      <c r="T152" s="46">
        <f t="shared" si="26"/>
        <v>0</v>
      </c>
      <c r="U152" s="46"/>
      <c r="V152" s="47">
        <v>0</v>
      </c>
      <c r="W152" s="47">
        <v>0</v>
      </c>
      <c r="X152" s="46">
        <f t="shared" si="27"/>
        <v>0</v>
      </c>
      <c r="Y152" s="46"/>
      <c r="Z152" s="47">
        <v>0</v>
      </c>
      <c r="AA152" s="47">
        <v>0</v>
      </c>
      <c r="AB152" s="46">
        <f t="shared" si="28"/>
        <v>0</v>
      </c>
      <c r="AC152" s="46"/>
      <c r="AD152" s="47">
        <v>0</v>
      </c>
      <c r="AE152" s="47">
        <v>0</v>
      </c>
      <c r="AF152" s="46">
        <f t="shared" si="29"/>
        <v>0</v>
      </c>
      <c r="AG152" s="46"/>
      <c r="AH152" s="47">
        <v>0</v>
      </c>
      <c r="AI152" s="47">
        <v>0</v>
      </c>
      <c r="AJ152" s="46">
        <f t="shared" si="30"/>
        <v>0</v>
      </c>
      <c r="AK152" s="46"/>
      <c r="AL152" s="47">
        <v>0</v>
      </c>
      <c r="AM152" s="46">
        <v>9665.4599999999991</v>
      </c>
      <c r="AN152" s="46">
        <f t="shared" si="31"/>
        <v>9665.4599999999991</v>
      </c>
      <c r="AO152" s="46"/>
      <c r="AP152" s="47">
        <v>0</v>
      </c>
      <c r="AQ152" s="46">
        <v>0</v>
      </c>
      <c r="AR152" s="46">
        <f t="shared" si="32"/>
        <v>0</v>
      </c>
      <c r="AS152" s="46"/>
      <c r="AT152" s="46">
        <v>1792031.67</v>
      </c>
      <c r="AU152" s="46">
        <v>2061991.17</v>
      </c>
    </row>
    <row r="153" spans="1:47" ht="22.5" x14ac:dyDescent="0.25">
      <c r="A153" s="40" t="s">
        <v>152</v>
      </c>
      <c r="B153" s="47">
        <v>0</v>
      </c>
      <c r="C153" s="46">
        <v>0</v>
      </c>
      <c r="D153" s="46">
        <f t="shared" si="22"/>
        <v>0</v>
      </c>
      <c r="E153" s="46"/>
      <c r="F153" s="47">
        <v>0</v>
      </c>
      <c r="G153" s="47">
        <v>0</v>
      </c>
      <c r="H153" s="46">
        <f t="shared" si="23"/>
        <v>0</v>
      </c>
      <c r="I153" s="46"/>
      <c r="J153" s="47">
        <v>0</v>
      </c>
      <c r="K153" s="47">
        <v>0</v>
      </c>
      <c r="L153" s="46">
        <f t="shared" si="24"/>
        <v>0</v>
      </c>
      <c r="M153" s="46"/>
      <c r="N153" s="47">
        <v>0</v>
      </c>
      <c r="O153" s="47">
        <v>0</v>
      </c>
      <c r="P153" s="46">
        <f t="shared" si="25"/>
        <v>0</v>
      </c>
      <c r="Q153" s="46"/>
      <c r="R153" s="47">
        <v>0</v>
      </c>
      <c r="S153" s="47">
        <v>0</v>
      </c>
      <c r="T153" s="46">
        <f t="shared" si="26"/>
        <v>0</v>
      </c>
      <c r="U153" s="46"/>
      <c r="V153" s="47">
        <v>0</v>
      </c>
      <c r="W153" s="47">
        <v>0</v>
      </c>
      <c r="X153" s="46">
        <f t="shared" si="27"/>
        <v>0</v>
      </c>
      <c r="Y153" s="46"/>
      <c r="Z153" s="47">
        <v>0</v>
      </c>
      <c r="AA153" s="47">
        <v>0</v>
      </c>
      <c r="AB153" s="46">
        <f t="shared" si="28"/>
        <v>0</v>
      </c>
      <c r="AC153" s="46"/>
      <c r="AD153" s="47">
        <v>0</v>
      </c>
      <c r="AE153" s="47">
        <v>0</v>
      </c>
      <c r="AF153" s="46">
        <f t="shared" si="29"/>
        <v>0</v>
      </c>
      <c r="AG153" s="46"/>
      <c r="AH153" s="47">
        <v>0</v>
      </c>
      <c r="AI153" s="47">
        <v>0</v>
      </c>
      <c r="AJ153" s="46">
        <f t="shared" si="30"/>
        <v>0</v>
      </c>
      <c r="AK153" s="46"/>
      <c r="AL153" s="47">
        <v>0</v>
      </c>
      <c r="AM153" s="46">
        <v>0</v>
      </c>
      <c r="AN153" s="46">
        <f t="shared" si="31"/>
        <v>0</v>
      </c>
      <c r="AO153" s="46"/>
      <c r="AP153" s="47">
        <v>0</v>
      </c>
      <c r="AQ153" s="47">
        <v>0</v>
      </c>
      <c r="AR153" s="46">
        <f t="shared" si="32"/>
        <v>0</v>
      </c>
      <c r="AS153" s="46"/>
      <c r="AT153" s="47">
        <v>0</v>
      </c>
      <c r="AU153" s="47">
        <v>0</v>
      </c>
    </row>
    <row r="154" spans="1:47" ht="22.5" x14ac:dyDescent="0.25">
      <c r="A154" s="39" t="s">
        <v>153</v>
      </c>
      <c r="B154" s="44">
        <v>216324265.87</v>
      </c>
      <c r="C154" s="44">
        <v>189110716.02000001</v>
      </c>
      <c r="D154" s="44">
        <f t="shared" si="22"/>
        <v>-27213549.849999994</v>
      </c>
      <c r="E154" s="44"/>
      <c r="F154" s="44">
        <v>74419148.120000005</v>
      </c>
      <c r="G154" s="44">
        <v>106162791.56999999</v>
      </c>
      <c r="H154" s="44">
        <f t="shared" si="23"/>
        <v>31743643.449999988</v>
      </c>
      <c r="I154" s="44"/>
      <c r="J154" s="44">
        <v>45310.69</v>
      </c>
      <c r="K154" s="44">
        <v>238068.25</v>
      </c>
      <c r="L154" s="44">
        <f t="shared" si="24"/>
        <v>192757.56</v>
      </c>
      <c r="M154" s="44"/>
      <c r="N154" s="44">
        <v>34352912.700000003</v>
      </c>
      <c r="O154" s="44">
        <v>67137884.280000001</v>
      </c>
      <c r="P154" s="44">
        <f t="shared" si="25"/>
        <v>32784971.579999998</v>
      </c>
      <c r="Q154" s="44"/>
      <c r="R154" s="44">
        <v>2211.44</v>
      </c>
      <c r="S154" s="44">
        <v>19777.400000000001</v>
      </c>
      <c r="T154" s="44">
        <f t="shared" si="26"/>
        <v>17565.960000000003</v>
      </c>
      <c r="U154" s="44"/>
      <c r="V154" s="45">
        <v>0</v>
      </c>
      <c r="W154" s="44">
        <v>8192.73</v>
      </c>
      <c r="X154" s="44">
        <f t="shared" si="27"/>
        <v>8192.73</v>
      </c>
      <c r="Y154" s="44"/>
      <c r="Z154" s="44">
        <v>38581437.799999997</v>
      </c>
      <c r="AA154" s="44">
        <v>36868085.880000003</v>
      </c>
      <c r="AB154" s="44">
        <f t="shared" si="28"/>
        <v>-1713351.9199999943</v>
      </c>
      <c r="AC154" s="44"/>
      <c r="AD154" s="44">
        <v>23051.96</v>
      </c>
      <c r="AE154" s="44">
        <v>523064.51</v>
      </c>
      <c r="AF154" s="44">
        <f t="shared" si="29"/>
        <v>500012.55</v>
      </c>
      <c r="AG154" s="44"/>
      <c r="AH154" s="44">
        <v>1414223.53</v>
      </c>
      <c r="AI154" s="44">
        <v>1367718.52</v>
      </c>
      <c r="AJ154" s="44">
        <f t="shared" si="30"/>
        <v>-46505.010000000009</v>
      </c>
      <c r="AK154" s="44"/>
      <c r="AL154" s="44">
        <v>8786.86</v>
      </c>
      <c r="AM154" s="44">
        <v>22727.88</v>
      </c>
      <c r="AN154" s="44">
        <f t="shared" si="31"/>
        <v>13941.02</v>
      </c>
      <c r="AO154" s="44"/>
      <c r="AP154" s="44">
        <v>1156679.5900000001</v>
      </c>
      <c r="AQ154" s="44">
        <v>1179864.92</v>
      </c>
      <c r="AR154" s="44">
        <f t="shared" si="32"/>
        <v>23185.329999999842</v>
      </c>
      <c r="AS154" s="44"/>
      <c r="AT154" s="44">
        <v>140739651.30000001</v>
      </c>
      <c r="AU154" s="44">
        <v>81745331.650000006</v>
      </c>
    </row>
    <row r="155" spans="1:47" ht="22.5" x14ac:dyDescent="0.25">
      <c r="A155" s="40" t="s">
        <v>154</v>
      </c>
      <c r="B155" s="47">
        <v>0</v>
      </c>
      <c r="C155" s="47">
        <v>0</v>
      </c>
      <c r="D155" s="47">
        <f t="shared" si="22"/>
        <v>0</v>
      </c>
      <c r="E155" s="47"/>
      <c r="F155" s="47">
        <v>0</v>
      </c>
      <c r="G155" s="47">
        <v>0</v>
      </c>
      <c r="H155" s="47">
        <f t="shared" si="23"/>
        <v>0</v>
      </c>
      <c r="I155" s="47"/>
      <c r="J155" s="47">
        <v>0</v>
      </c>
      <c r="K155" s="47">
        <v>0</v>
      </c>
      <c r="L155" s="47">
        <f t="shared" si="24"/>
        <v>0</v>
      </c>
      <c r="M155" s="47"/>
      <c r="N155" s="47">
        <v>0</v>
      </c>
      <c r="O155" s="47">
        <v>0</v>
      </c>
      <c r="P155" s="47">
        <f t="shared" si="25"/>
        <v>0</v>
      </c>
      <c r="Q155" s="47"/>
      <c r="R155" s="47">
        <v>0</v>
      </c>
      <c r="S155" s="47">
        <v>0</v>
      </c>
      <c r="T155" s="47">
        <f t="shared" si="26"/>
        <v>0</v>
      </c>
      <c r="U155" s="47"/>
      <c r="V155" s="47">
        <v>0</v>
      </c>
      <c r="W155" s="47">
        <v>0</v>
      </c>
      <c r="X155" s="47">
        <f t="shared" si="27"/>
        <v>0</v>
      </c>
      <c r="Y155" s="47"/>
      <c r="Z155" s="47">
        <v>0</v>
      </c>
      <c r="AA155" s="47">
        <v>0</v>
      </c>
      <c r="AB155" s="47">
        <f t="shared" si="28"/>
        <v>0</v>
      </c>
      <c r="AC155" s="47"/>
      <c r="AD155" s="47">
        <v>0</v>
      </c>
      <c r="AE155" s="47">
        <v>0</v>
      </c>
      <c r="AF155" s="47">
        <f t="shared" si="29"/>
        <v>0</v>
      </c>
      <c r="AG155" s="47"/>
      <c r="AH155" s="47">
        <v>0</v>
      </c>
      <c r="AI155" s="47">
        <v>0</v>
      </c>
      <c r="AJ155" s="47">
        <f t="shared" si="30"/>
        <v>0</v>
      </c>
      <c r="AK155" s="47"/>
      <c r="AL155" s="47">
        <v>0</v>
      </c>
      <c r="AM155" s="47">
        <v>0</v>
      </c>
      <c r="AN155" s="47">
        <f t="shared" si="31"/>
        <v>0</v>
      </c>
      <c r="AO155" s="47"/>
      <c r="AP155" s="47">
        <v>0</v>
      </c>
      <c r="AQ155" s="47">
        <v>0</v>
      </c>
      <c r="AR155" s="47">
        <f t="shared" si="32"/>
        <v>0</v>
      </c>
      <c r="AS155" s="47"/>
      <c r="AT155" s="47">
        <v>0</v>
      </c>
      <c r="AU155" s="47">
        <v>0</v>
      </c>
    </row>
    <row r="156" spans="1:47" x14ac:dyDescent="0.25">
      <c r="A156" s="40" t="s">
        <v>155</v>
      </c>
      <c r="B156" s="46">
        <v>216324265.87</v>
      </c>
      <c r="C156" s="46">
        <v>189110716.02000001</v>
      </c>
      <c r="D156" s="46">
        <f t="shared" si="22"/>
        <v>-27213549.849999994</v>
      </c>
      <c r="E156" s="46"/>
      <c r="F156" s="46">
        <v>74419148.120000005</v>
      </c>
      <c r="G156" s="46">
        <v>106162791.56999999</v>
      </c>
      <c r="H156" s="46">
        <f t="shared" si="23"/>
        <v>31743643.449999988</v>
      </c>
      <c r="I156" s="46"/>
      <c r="J156" s="46">
        <v>45310.69</v>
      </c>
      <c r="K156" s="46">
        <v>238068.25</v>
      </c>
      <c r="L156" s="46">
        <f t="shared" si="24"/>
        <v>192757.56</v>
      </c>
      <c r="M156" s="46"/>
      <c r="N156" s="46">
        <v>34352912.700000003</v>
      </c>
      <c r="O156" s="46">
        <v>67137884.280000001</v>
      </c>
      <c r="P156" s="46">
        <f t="shared" si="25"/>
        <v>32784971.579999998</v>
      </c>
      <c r="Q156" s="46"/>
      <c r="R156" s="46">
        <v>2211.44</v>
      </c>
      <c r="S156" s="46">
        <v>19777.400000000001</v>
      </c>
      <c r="T156" s="46">
        <f t="shared" si="26"/>
        <v>17565.960000000003</v>
      </c>
      <c r="U156" s="46"/>
      <c r="V156" s="47">
        <v>0</v>
      </c>
      <c r="W156" s="46">
        <v>8192.73</v>
      </c>
      <c r="X156" s="46">
        <f t="shared" si="27"/>
        <v>8192.73</v>
      </c>
      <c r="Y156" s="46"/>
      <c r="Z156" s="46">
        <v>38581437.799999997</v>
      </c>
      <c r="AA156" s="46">
        <v>36868085.880000003</v>
      </c>
      <c r="AB156" s="46">
        <f t="shared" si="28"/>
        <v>-1713351.9199999943</v>
      </c>
      <c r="AC156" s="46"/>
      <c r="AD156" s="46">
        <v>23051.96</v>
      </c>
      <c r="AE156" s="46">
        <v>523064.51</v>
      </c>
      <c r="AF156" s="46">
        <f t="shared" si="29"/>
        <v>500012.55</v>
      </c>
      <c r="AG156" s="46"/>
      <c r="AH156" s="46">
        <v>1414223.53</v>
      </c>
      <c r="AI156" s="46">
        <v>1367718.52</v>
      </c>
      <c r="AJ156" s="46">
        <f t="shared" si="30"/>
        <v>-46505.010000000009</v>
      </c>
      <c r="AK156" s="46"/>
      <c r="AL156" s="46">
        <v>8786.86</v>
      </c>
      <c r="AM156" s="46">
        <v>22727.88</v>
      </c>
      <c r="AN156" s="46">
        <f t="shared" si="31"/>
        <v>13941.02</v>
      </c>
      <c r="AO156" s="46"/>
      <c r="AP156" s="46">
        <v>1156679.5900000001</v>
      </c>
      <c r="AQ156" s="46">
        <v>1179864.92</v>
      </c>
      <c r="AR156" s="46">
        <f t="shared" si="32"/>
        <v>23185.329999999842</v>
      </c>
      <c r="AS156" s="46"/>
      <c r="AT156" s="46">
        <v>140739651.30000001</v>
      </c>
      <c r="AU156" s="46">
        <v>81745331.650000006</v>
      </c>
    </row>
    <row r="157" spans="1:47" ht="22.5" x14ac:dyDescent="0.25">
      <c r="A157" s="39" t="s">
        <v>156</v>
      </c>
      <c r="B157" s="44">
        <v>631894385.14999998</v>
      </c>
      <c r="C157" s="44">
        <v>520593186.52999997</v>
      </c>
      <c r="D157" s="44">
        <f t="shared" si="22"/>
        <v>-111301198.62</v>
      </c>
      <c r="E157" s="44"/>
      <c r="F157" s="44">
        <v>383623983.89999998</v>
      </c>
      <c r="G157" s="44">
        <v>341600642.44999999</v>
      </c>
      <c r="H157" s="44">
        <f t="shared" si="23"/>
        <v>-42023341.449999988</v>
      </c>
      <c r="I157" s="44"/>
      <c r="J157" s="44">
        <v>7159973.3300000001</v>
      </c>
      <c r="K157" s="44">
        <v>7718891.8499999996</v>
      </c>
      <c r="L157" s="44">
        <f t="shared" si="24"/>
        <v>558918.51999999955</v>
      </c>
      <c r="M157" s="44"/>
      <c r="N157" s="44">
        <v>228971653.30000001</v>
      </c>
      <c r="O157" s="44">
        <v>196632920.12</v>
      </c>
      <c r="P157" s="44">
        <f t="shared" si="25"/>
        <v>-32338733.180000007</v>
      </c>
      <c r="Q157" s="44"/>
      <c r="R157" s="44">
        <v>5003546.3099999996</v>
      </c>
      <c r="S157" s="44">
        <v>2057257.02</v>
      </c>
      <c r="T157" s="44">
        <f t="shared" si="26"/>
        <v>-2946289.2899999996</v>
      </c>
      <c r="U157" s="44"/>
      <c r="V157" s="44">
        <v>61166672.969999999</v>
      </c>
      <c r="W157" s="44">
        <v>45307826.289999999</v>
      </c>
      <c r="X157" s="44">
        <f t="shared" si="27"/>
        <v>-15858846.68</v>
      </c>
      <c r="Y157" s="44"/>
      <c r="Z157" s="44">
        <v>68908467.430000007</v>
      </c>
      <c r="AA157" s="44">
        <v>81701794.640000001</v>
      </c>
      <c r="AB157" s="44">
        <f t="shared" si="28"/>
        <v>12793327.209999993</v>
      </c>
      <c r="AC157" s="44"/>
      <c r="AD157" s="44">
        <v>5871600.6699999999</v>
      </c>
      <c r="AE157" s="44">
        <v>4204942.91</v>
      </c>
      <c r="AF157" s="44">
        <f t="shared" si="29"/>
        <v>-1666657.7599999998</v>
      </c>
      <c r="AG157" s="44"/>
      <c r="AH157" s="44">
        <v>6542069.8899999997</v>
      </c>
      <c r="AI157" s="44">
        <v>3977009.62</v>
      </c>
      <c r="AJ157" s="44">
        <f t="shared" si="30"/>
        <v>-2565060.2699999996</v>
      </c>
      <c r="AK157" s="44"/>
      <c r="AL157" s="44">
        <v>53492964.280000001</v>
      </c>
      <c r="AM157" s="44">
        <v>100668675.63</v>
      </c>
      <c r="AN157" s="44">
        <f t="shared" si="31"/>
        <v>47175711.349999994</v>
      </c>
      <c r="AO157" s="44"/>
      <c r="AP157" s="44">
        <v>3537421</v>
      </c>
      <c r="AQ157" s="44">
        <v>3009431.77</v>
      </c>
      <c r="AR157" s="44">
        <f t="shared" si="32"/>
        <v>-527989.23</v>
      </c>
      <c r="AS157" s="44"/>
      <c r="AT157" s="44">
        <v>191240015.97</v>
      </c>
      <c r="AU157" s="44">
        <v>75314436.680000007</v>
      </c>
    </row>
    <row r="158" spans="1:47" ht="22.5" x14ac:dyDescent="0.25">
      <c r="A158" s="40" t="s">
        <v>157</v>
      </c>
      <c r="B158" s="47">
        <v>0</v>
      </c>
      <c r="C158" s="46">
        <v>0</v>
      </c>
      <c r="D158" s="46">
        <f t="shared" si="22"/>
        <v>0</v>
      </c>
      <c r="E158" s="46"/>
      <c r="F158" s="47">
        <v>0</v>
      </c>
      <c r="G158" s="47">
        <v>0</v>
      </c>
      <c r="H158" s="46">
        <f t="shared" si="23"/>
        <v>0</v>
      </c>
      <c r="I158" s="46"/>
      <c r="J158" s="47">
        <v>0</v>
      </c>
      <c r="K158" s="47">
        <v>0</v>
      </c>
      <c r="L158" s="46">
        <f t="shared" si="24"/>
        <v>0</v>
      </c>
      <c r="M158" s="46"/>
      <c r="N158" s="47">
        <v>0</v>
      </c>
      <c r="O158" s="47">
        <v>0</v>
      </c>
      <c r="P158" s="46">
        <f t="shared" si="25"/>
        <v>0</v>
      </c>
      <c r="Q158" s="46"/>
      <c r="R158" s="47">
        <v>0</v>
      </c>
      <c r="S158" s="47">
        <v>0</v>
      </c>
      <c r="T158" s="46">
        <f t="shared" si="26"/>
        <v>0</v>
      </c>
      <c r="U158" s="46"/>
      <c r="V158" s="47">
        <v>0</v>
      </c>
      <c r="W158" s="47">
        <v>0</v>
      </c>
      <c r="X158" s="46">
        <f t="shared" si="27"/>
        <v>0</v>
      </c>
      <c r="Y158" s="46"/>
      <c r="Z158" s="47">
        <v>0</v>
      </c>
      <c r="AA158" s="47">
        <v>0</v>
      </c>
      <c r="AB158" s="46">
        <f t="shared" si="28"/>
        <v>0</v>
      </c>
      <c r="AC158" s="46"/>
      <c r="AD158" s="47">
        <v>0</v>
      </c>
      <c r="AE158" s="47">
        <v>0</v>
      </c>
      <c r="AF158" s="46">
        <f t="shared" si="29"/>
        <v>0</v>
      </c>
      <c r="AG158" s="46"/>
      <c r="AH158" s="47">
        <v>0</v>
      </c>
      <c r="AI158" s="47">
        <v>0</v>
      </c>
      <c r="AJ158" s="46">
        <f t="shared" si="30"/>
        <v>0</v>
      </c>
      <c r="AK158" s="46"/>
      <c r="AL158" s="47">
        <v>0</v>
      </c>
      <c r="AM158" s="46">
        <v>0</v>
      </c>
      <c r="AN158" s="46">
        <f t="shared" si="31"/>
        <v>0</v>
      </c>
      <c r="AO158" s="46"/>
      <c r="AP158" s="47">
        <v>0</v>
      </c>
      <c r="AQ158" s="47">
        <v>0</v>
      </c>
      <c r="AR158" s="46">
        <f t="shared" si="32"/>
        <v>0</v>
      </c>
      <c r="AS158" s="46"/>
      <c r="AT158" s="47">
        <v>0</v>
      </c>
      <c r="AU158" s="47">
        <v>0</v>
      </c>
    </row>
    <row r="159" spans="1:47" ht="22.5" x14ac:dyDescent="0.25">
      <c r="A159" s="40" t="s">
        <v>158</v>
      </c>
      <c r="B159" s="46">
        <v>631894385.14999998</v>
      </c>
      <c r="C159" s="46">
        <v>520593186.52999997</v>
      </c>
      <c r="D159" s="46">
        <f t="shared" si="22"/>
        <v>-111301198.62</v>
      </c>
      <c r="E159" s="46"/>
      <c r="F159" s="46">
        <v>383623983.89999998</v>
      </c>
      <c r="G159" s="46">
        <v>341600642.44999999</v>
      </c>
      <c r="H159" s="46">
        <f t="shared" si="23"/>
        <v>-42023341.449999988</v>
      </c>
      <c r="I159" s="46"/>
      <c r="J159" s="46">
        <v>7159973.3300000001</v>
      </c>
      <c r="K159" s="46">
        <v>7718891.8499999996</v>
      </c>
      <c r="L159" s="46">
        <f t="shared" si="24"/>
        <v>558918.51999999955</v>
      </c>
      <c r="M159" s="46"/>
      <c r="N159" s="46">
        <v>228971653.30000001</v>
      </c>
      <c r="O159" s="46">
        <v>196632920.12</v>
      </c>
      <c r="P159" s="46">
        <f t="shared" si="25"/>
        <v>-32338733.180000007</v>
      </c>
      <c r="Q159" s="46"/>
      <c r="R159" s="46">
        <v>5003546.3099999996</v>
      </c>
      <c r="S159" s="46">
        <v>2057257.02</v>
      </c>
      <c r="T159" s="46">
        <f t="shared" si="26"/>
        <v>-2946289.2899999996</v>
      </c>
      <c r="U159" s="46"/>
      <c r="V159" s="46">
        <v>61166672.969999999</v>
      </c>
      <c r="W159" s="46">
        <v>45307826.289999999</v>
      </c>
      <c r="X159" s="46">
        <f t="shared" si="27"/>
        <v>-15858846.68</v>
      </c>
      <c r="Y159" s="46"/>
      <c r="Z159" s="46">
        <v>68908467.430000007</v>
      </c>
      <c r="AA159" s="46">
        <v>81701794.640000001</v>
      </c>
      <c r="AB159" s="46">
        <f t="shared" si="28"/>
        <v>12793327.209999993</v>
      </c>
      <c r="AC159" s="46"/>
      <c r="AD159" s="46">
        <v>5871600.6699999999</v>
      </c>
      <c r="AE159" s="46">
        <v>4204942.91</v>
      </c>
      <c r="AF159" s="46">
        <f t="shared" si="29"/>
        <v>-1666657.7599999998</v>
      </c>
      <c r="AG159" s="46"/>
      <c r="AH159" s="46">
        <v>6542069.8899999997</v>
      </c>
      <c r="AI159" s="46">
        <v>3977009.62</v>
      </c>
      <c r="AJ159" s="46">
        <f t="shared" si="30"/>
        <v>-2565060.2699999996</v>
      </c>
      <c r="AK159" s="46"/>
      <c r="AL159" s="46">
        <v>53492964.280000001</v>
      </c>
      <c r="AM159" s="46">
        <v>100668675.63</v>
      </c>
      <c r="AN159" s="46">
        <f t="shared" si="31"/>
        <v>47175711.349999994</v>
      </c>
      <c r="AO159" s="46"/>
      <c r="AP159" s="46">
        <v>3537421</v>
      </c>
      <c r="AQ159" s="46">
        <v>3009431.77</v>
      </c>
      <c r="AR159" s="46">
        <f t="shared" si="32"/>
        <v>-527989.23</v>
      </c>
      <c r="AS159" s="46"/>
      <c r="AT159" s="46">
        <v>191240015.97</v>
      </c>
      <c r="AU159" s="46">
        <v>75314436.680000007</v>
      </c>
    </row>
    <row r="160" spans="1:47" ht="22.5" x14ac:dyDescent="0.25">
      <c r="A160" s="39" t="s">
        <v>159</v>
      </c>
      <c r="B160" s="44">
        <v>10468124.82</v>
      </c>
      <c r="C160" s="44">
        <v>7198187.8099999996</v>
      </c>
      <c r="D160" s="44">
        <f t="shared" si="22"/>
        <v>-3269937.0100000007</v>
      </c>
      <c r="E160" s="44"/>
      <c r="F160" s="44">
        <v>10468124.82</v>
      </c>
      <c r="G160" s="44">
        <v>7195115.8099999996</v>
      </c>
      <c r="H160" s="44">
        <f t="shared" si="23"/>
        <v>-3273009.0100000007</v>
      </c>
      <c r="I160" s="44"/>
      <c r="J160" s="45">
        <v>0</v>
      </c>
      <c r="K160" s="45">
        <v>0</v>
      </c>
      <c r="L160" s="44">
        <f t="shared" si="24"/>
        <v>0</v>
      </c>
      <c r="M160" s="44"/>
      <c r="N160" s="44">
        <v>4571221.07</v>
      </c>
      <c r="O160" s="44">
        <v>1725225.01</v>
      </c>
      <c r="P160" s="44">
        <f t="shared" si="25"/>
        <v>-2845996.0600000005</v>
      </c>
      <c r="Q160" s="44"/>
      <c r="R160" s="44">
        <v>784265</v>
      </c>
      <c r="S160" s="44">
        <v>62765</v>
      </c>
      <c r="T160" s="44">
        <f t="shared" si="26"/>
        <v>-721500</v>
      </c>
      <c r="U160" s="44"/>
      <c r="V160" s="44">
        <v>39000</v>
      </c>
      <c r="W160" s="44">
        <v>443762.56</v>
      </c>
      <c r="X160" s="44">
        <f t="shared" si="27"/>
        <v>404762.56</v>
      </c>
      <c r="Y160" s="44"/>
      <c r="Z160" s="45">
        <v>0</v>
      </c>
      <c r="AA160" s="44">
        <v>12800</v>
      </c>
      <c r="AB160" s="44">
        <f t="shared" si="28"/>
        <v>12800</v>
      </c>
      <c r="AC160" s="44"/>
      <c r="AD160" s="45">
        <v>0</v>
      </c>
      <c r="AE160" s="44">
        <v>12329.16</v>
      </c>
      <c r="AF160" s="44">
        <f t="shared" si="29"/>
        <v>12329.16</v>
      </c>
      <c r="AG160" s="44"/>
      <c r="AH160" s="44">
        <v>5073638.75</v>
      </c>
      <c r="AI160" s="44">
        <v>4938234.08</v>
      </c>
      <c r="AJ160" s="44">
        <f t="shared" si="30"/>
        <v>-135404.66999999993</v>
      </c>
      <c r="AK160" s="44"/>
      <c r="AL160" s="45">
        <v>0</v>
      </c>
      <c r="AM160" s="45">
        <v>0</v>
      </c>
      <c r="AN160" s="44">
        <f t="shared" si="31"/>
        <v>0</v>
      </c>
      <c r="AO160" s="44"/>
      <c r="AP160" s="45">
        <v>0</v>
      </c>
      <c r="AQ160" s="44">
        <v>3072</v>
      </c>
      <c r="AR160" s="44">
        <f t="shared" si="32"/>
        <v>3072</v>
      </c>
      <c r="AS160" s="44"/>
      <c r="AT160" s="45">
        <v>0</v>
      </c>
      <c r="AU160" s="45">
        <v>0</v>
      </c>
    </row>
    <row r="161" spans="1:47" ht="22.5" x14ac:dyDescent="0.25">
      <c r="A161" s="40" t="s">
        <v>160</v>
      </c>
      <c r="B161" s="47">
        <v>0</v>
      </c>
      <c r="C161" s="47">
        <v>0</v>
      </c>
      <c r="D161" s="47">
        <f t="shared" si="22"/>
        <v>0</v>
      </c>
      <c r="E161" s="47"/>
      <c r="F161" s="47">
        <v>0</v>
      </c>
      <c r="G161" s="47">
        <v>0</v>
      </c>
      <c r="H161" s="47">
        <f t="shared" si="23"/>
        <v>0</v>
      </c>
      <c r="I161" s="47"/>
      <c r="J161" s="47">
        <v>0</v>
      </c>
      <c r="K161" s="47">
        <v>0</v>
      </c>
      <c r="L161" s="47">
        <f t="shared" si="24"/>
        <v>0</v>
      </c>
      <c r="M161" s="47"/>
      <c r="N161" s="47">
        <v>0</v>
      </c>
      <c r="O161" s="47">
        <v>0</v>
      </c>
      <c r="P161" s="47">
        <f t="shared" si="25"/>
        <v>0</v>
      </c>
      <c r="Q161" s="47"/>
      <c r="R161" s="47">
        <v>0</v>
      </c>
      <c r="S161" s="47">
        <v>0</v>
      </c>
      <c r="T161" s="47">
        <f t="shared" si="26"/>
        <v>0</v>
      </c>
      <c r="U161" s="47"/>
      <c r="V161" s="47">
        <v>0</v>
      </c>
      <c r="W161" s="47">
        <v>0</v>
      </c>
      <c r="X161" s="47">
        <f t="shared" si="27"/>
        <v>0</v>
      </c>
      <c r="Y161" s="47"/>
      <c r="Z161" s="47">
        <v>0</v>
      </c>
      <c r="AA161" s="47">
        <v>0</v>
      </c>
      <c r="AB161" s="47">
        <f t="shared" si="28"/>
        <v>0</v>
      </c>
      <c r="AC161" s="47"/>
      <c r="AD161" s="47">
        <v>0</v>
      </c>
      <c r="AE161" s="47">
        <v>0</v>
      </c>
      <c r="AF161" s="47">
        <f t="shared" si="29"/>
        <v>0</v>
      </c>
      <c r="AG161" s="47"/>
      <c r="AH161" s="47">
        <v>0</v>
      </c>
      <c r="AI161" s="47">
        <v>0</v>
      </c>
      <c r="AJ161" s="47">
        <f t="shared" si="30"/>
        <v>0</v>
      </c>
      <c r="AK161" s="47"/>
      <c r="AL161" s="47">
        <v>0</v>
      </c>
      <c r="AM161" s="47">
        <v>0</v>
      </c>
      <c r="AN161" s="47">
        <f t="shared" si="31"/>
        <v>0</v>
      </c>
      <c r="AO161" s="47"/>
      <c r="AP161" s="47">
        <v>0</v>
      </c>
      <c r="AQ161" s="47">
        <v>0</v>
      </c>
      <c r="AR161" s="47">
        <f t="shared" si="32"/>
        <v>0</v>
      </c>
      <c r="AS161" s="47"/>
      <c r="AT161" s="47">
        <v>0</v>
      </c>
      <c r="AU161" s="47">
        <v>0</v>
      </c>
    </row>
    <row r="162" spans="1:47" x14ac:dyDescent="0.25">
      <c r="A162" s="40" t="s">
        <v>161</v>
      </c>
      <c r="B162" s="46">
        <v>10468124.82</v>
      </c>
      <c r="C162" s="46">
        <v>7198187.8099999996</v>
      </c>
      <c r="D162" s="46">
        <f t="shared" si="22"/>
        <v>-3269937.0100000007</v>
      </c>
      <c r="E162" s="46"/>
      <c r="F162" s="46">
        <v>10468124.82</v>
      </c>
      <c r="G162" s="46">
        <v>7195115.8099999996</v>
      </c>
      <c r="H162" s="46">
        <f t="shared" si="23"/>
        <v>-3273009.0100000007</v>
      </c>
      <c r="I162" s="46"/>
      <c r="J162" s="47">
        <v>0</v>
      </c>
      <c r="K162" s="47">
        <v>0</v>
      </c>
      <c r="L162" s="46">
        <f t="shared" si="24"/>
        <v>0</v>
      </c>
      <c r="M162" s="46"/>
      <c r="N162" s="46">
        <v>4571221.07</v>
      </c>
      <c r="O162" s="46">
        <v>1725225.01</v>
      </c>
      <c r="P162" s="46">
        <f t="shared" si="25"/>
        <v>-2845996.0600000005</v>
      </c>
      <c r="Q162" s="46"/>
      <c r="R162" s="46">
        <v>784265</v>
      </c>
      <c r="S162" s="46">
        <v>62765</v>
      </c>
      <c r="T162" s="46">
        <f t="shared" si="26"/>
        <v>-721500</v>
      </c>
      <c r="U162" s="46"/>
      <c r="V162" s="46">
        <v>39000</v>
      </c>
      <c r="W162" s="46">
        <v>443762.56</v>
      </c>
      <c r="X162" s="46">
        <f t="shared" si="27"/>
        <v>404762.56</v>
      </c>
      <c r="Y162" s="46"/>
      <c r="Z162" s="47">
        <v>0</v>
      </c>
      <c r="AA162" s="46">
        <v>12800</v>
      </c>
      <c r="AB162" s="46">
        <f t="shared" si="28"/>
        <v>12800</v>
      </c>
      <c r="AC162" s="46"/>
      <c r="AD162" s="47">
        <v>0</v>
      </c>
      <c r="AE162" s="46">
        <v>12329.16</v>
      </c>
      <c r="AF162" s="46">
        <f t="shared" si="29"/>
        <v>12329.16</v>
      </c>
      <c r="AG162" s="46"/>
      <c r="AH162" s="46">
        <v>5073638.75</v>
      </c>
      <c r="AI162" s="46">
        <v>4938234.08</v>
      </c>
      <c r="AJ162" s="46">
        <f t="shared" si="30"/>
        <v>-135404.66999999993</v>
      </c>
      <c r="AK162" s="46"/>
      <c r="AL162" s="47">
        <v>0</v>
      </c>
      <c r="AM162" s="47">
        <v>0</v>
      </c>
      <c r="AN162" s="46">
        <f t="shared" si="31"/>
        <v>0</v>
      </c>
      <c r="AO162" s="46"/>
      <c r="AP162" s="47">
        <v>0</v>
      </c>
      <c r="AQ162" s="46">
        <v>3072</v>
      </c>
      <c r="AR162" s="46">
        <f t="shared" si="32"/>
        <v>3072</v>
      </c>
      <c r="AS162" s="46"/>
      <c r="AT162" s="47">
        <v>0</v>
      </c>
      <c r="AU162" s="47">
        <v>0</v>
      </c>
    </row>
    <row r="163" spans="1:47" x14ac:dyDescent="0.25">
      <c r="A163" s="39" t="s">
        <v>162</v>
      </c>
      <c r="B163" s="44">
        <v>472681853.41000003</v>
      </c>
      <c r="C163" s="44">
        <v>426189663.50999999</v>
      </c>
      <c r="D163" s="44">
        <f t="shared" si="22"/>
        <v>-46492189.900000036</v>
      </c>
      <c r="E163" s="44"/>
      <c r="F163" s="44">
        <v>262604467.25</v>
      </c>
      <c r="G163" s="44">
        <v>273713469.20999998</v>
      </c>
      <c r="H163" s="44">
        <f t="shared" si="23"/>
        <v>11109001.959999979</v>
      </c>
      <c r="I163" s="44"/>
      <c r="J163" s="44">
        <v>18267955.34</v>
      </c>
      <c r="K163" s="44">
        <v>18416563.989999998</v>
      </c>
      <c r="L163" s="44">
        <f t="shared" si="24"/>
        <v>148608.64999999851</v>
      </c>
      <c r="M163" s="44"/>
      <c r="N163" s="44">
        <v>76390528.239999995</v>
      </c>
      <c r="O163" s="44">
        <v>68196050.75</v>
      </c>
      <c r="P163" s="44">
        <f t="shared" si="25"/>
        <v>-8194477.4899999946</v>
      </c>
      <c r="Q163" s="44"/>
      <c r="R163" s="44">
        <v>14121664.949999999</v>
      </c>
      <c r="S163" s="44">
        <v>14674111.91</v>
      </c>
      <c r="T163" s="44">
        <f t="shared" si="26"/>
        <v>552446.96000000089</v>
      </c>
      <c r="U163" s="44"/>
      <c r="V163" s="44">
        <v>19370219.379999999</v>
      </c>
      <c r="W163" s="44">
        <v>20560298.489999998</v>
      </c>
      <c r="X163" s="44">
        <f t="shared" si="27"/>
        <v>1190079.1099999994</v>
      </c>
      <c r="Y163" s="44"/>
      <c r="Z163" s="44">
        <v>29523337.210000001</v>
      </c>
      <c r="AA163" s="44">
        <v>34168266.950000003</v>
      </c>
      <c r="AB163" s="44">
        <f t="shared" si="28"/>
        <v>4644929.7400000021</v>
      </c>
      <c r="AC163" s="44"/>
      <c r="AD163" s="44">
        <v>54063123.100000001</v>
      </c>
      <c r="AE163" s="44">
        <v>59732099.210000001</v>
      </c>
      <c r="AF163" s="44">
        <f t="shared" si="29"/>
        <v>5668976.1099999994</v>
      </c>
      <c r="AG163" s="44"/>
      <c r="AH163" s="44">
        <v>50867639.030000001</v>
      </c>
      <c r="AI163" s="44">
        <v>57966077.909999996</v>
      </c>
      <c r="AJ163" s="44">
        <f t="shared" si="30"/>
        <v>7098438.8799999952</v>
      </c>
      <c r="AK163" s="44"/>
      <c r="AL163" s="44">
        <v>111778346.13</v>
      </c>
      <c r="AM163" s="44">
        <v>80687650.659999996</v>
      </c>
      <c r="AN163" s="44">
        <f t="shared" si="31"/>
        <v>-31090695.469999999</v>
      </c>
      <c r="AO163" s="44"/>
      <c r="AP163" s="44">
        <v>92526889.400000006</v>
      </c>
      <c r="AQ163" s="44">
        <v>70853955.579999998</v>
      </c>
      <c r="AR163" s="44">
        <f t="shared" si="32"/>
        <v>-21672933.820000008</v>
      </c>
      <c r="AS163" s="44"/>
      <c r="AT163" s="44">
        <v>5772150.6299999999</v>
      </c>
      <c r="AU163" s="44">
        <v>934588.06</v>
      </c>
    </row>
    <row r="164" spans="1:47" ht="22.5" x14ac:dyDescent="0.25">
      <c r="A164" s="40" t="s">
        <v>163</v>
      </c>
      <c r="B164" s="47">
        <v>0</v>
      </c>
      <c r="C164" s="46">
        <v>0</v>
      </c>
      <c r="D164" s="46">
        <f t="shared" si="22"/>
        <v>0</v>
      </c>
      <c r="E164" s="46"/>
      <c r="F164" s="47">
        <v>0</v>
      </c>
      <c r="G164" s="47">
        <v>0</v>
      </c>
      <c r="H164" s="46">
        <f t="shared" si="23"/>
        <v>0</v>
      </c>
      <c r="I164" s="46"/>
      <c r="J164" s="47">
        <v>0</v>
      </c>
      <c r="K164" s="47">
        <v>0</v>
      </c>
      <c r="L164" s="46">
        <f t="shared" si="24"/>
        <v>0</v>
      </c>
      <c r="M164" s="46"/>
      <c r="N164" s="47">
        <v>0</v>
      </c>
      <c r="O164" s="47">
        <v>0</v>
      </c>
      <c r="P164" s="46">
        <f t="shared" si="25"/>
        <v>0</v>
      </c>
      <c r="Q164" s="46"/>
      <c r="R164" s="47">
        <v>0</v>
      </c>
      <c r="S164" s="47">
        <v>0</v>
      </c>
      <c r="T164" s="46">
        <f t="shared" si="26"/>
        <v>0</v>
      </c>
      <c r="U164" s="46"/>
      <c r="V164" s="47">
        <v>0</v>
      </c>
      <c r="W164" s="47">
        <v>0</v>
      </c>
      <c r="X164" s="46">
        <f t="shared" si="27"/>
        <v>0</v>
      </c>
      <c r="Y164" s="46"/>
      <c r="Z164" s="47">
        <v>0</v>
      </c>
      <c r="AA164" s="47">
        <v>0</v>
      </c>
      <c r="AB164" s="46">
        <f t="shared" si="28"/>
        <v>0</v>
      </c>
      <c r="AC164" s="46"/>
      <c r="AD164" s="47">
        <v>0</v>
      </c>
      <c r="AE164" s="47">
        <v>0</v>
      </c>
      <c r="AF164" s="46">
        <f t="shared" si="29"/>
        <v>0</v>
      </c>
      <c r="AG164" s="46"/>
      <c r="AH164" s="47">
        <v>0</v>
      </c>
      <c r="AI164" s="47">
        <v>0</v>
      </c>
      <c r="AJ164" s="46">
        <f t="shared" si="30"/>
        <v>0</v>
      </c>
      <c r="AK164" s="46"/>
      <c r="AL164" s="47">
        <v>0</v>
      </c>
      <c r="AM164" s="46">
        <v>0</v>
      </c>
      <c r="AN164" s="46">
        <f t="shared" si="31"/>
        <v>0</v>
      </c>
      <c r="AO164" s="46"/>
      <c r="AP164" s="47">
        <v>0</v>
      </c>
      <c r="AQ164" s="47">
        <v>0</v>
      </c>
      <c r="AR164" s="46">
        <f t="shared" si="32"/>
        <v>0</v>
      </c>
      <c r="AS164" s="46"/>
      <c r="AT164" s="47">
        <v>0</v>
      </c>
      <c r="AU164" s="47">
        <v>0</v>
      </c>
    </row>
    <row r="165" spans="1:47" x14ac:dyDescent="0.25">
      <c r="A165" s="40" t="s">
        <v>164</v>
      </c>
      <c r="B165" s="46">
        <v>472681853.41000003</v>
      </c>
      <c r="C165" s="46">
        <v>426189663.50999999</v>
      </c>
      <c r="D165" s="46">
        <f t="shared" si="22"/>
        <v>-46492189.900000036</v>
      </c>
      <c r="E165" s="46"/>
      <c r="F165" s="46">
        <v>262604467.25</v>
      </c>
      <c r="G165" s="46">
        <v>273713469.20999998</v>
      </c>
      <c r="H165" s="46">
        <f t="shared" si="23"/>
        <v>11109001.959999979</v>
      </c>
      <c r="I165" s="46"/>
      <c r="J165" s="46">
        <v>18267955.34</v>
      </c>
      <c r="K165" s="46">
        <v>18416563.989999998</v>
      </c>
      <c r="L165" s="46">
        <f t="shared" si="24"/>
        <v>148608.64999999851</v>
      </c>
      <c r="M165" s="46"/>
      <c r="N165" s="46">
        <v>76390528.239999995</v>
      </c>
      <c r="O165" s="46">
        <v>68196050.75</v>
      </c>
      <c r="P165" s="46">
        <f t="shared" si="25"/>
        <v>-8194477.4899999946</v>
      </c>
      <c r="Q165" s="46"/>
      <c r="R165" s="46">
        <v>14121664.949999999</v>
      </c>
      <c r="S165" s="46">
        <v>14674111.91</v>
      </c>
      <c r="T165" s="46">
        <f t="shared" si="26"/>
        <v>552446.96000000089</v>
      </c>
      <c r="U165" s="46"/>
      <c r="V165" s="46">
        <v>19370219.379999999</v>
      </c>
      <c r="W165" s="46">
        <v>20560298.489999998</v>
      </c>
      <c r="X165" s="46">
        <f t="shared" si="27"/>
        <v>1190079.1099999994</v>
      </c>
      <c r="Y165" s="46"/>
      <c r="Z165" s="46">
        <v>29523337.210000001</v>
      </c>
      <c r="AA165" s="46">
        <v>34168266.950000003</v>
      </c>
      <c r="AB165" s="46">
        <f t="shared" si="28"/>
        <v>4644929.7400000021</v>
      </c>
      <c r="AC165" s="46"/>
      <c r="AD165" s="46">
        <v>54063123.100000001</v>
      </c>
      <c r="AE165" s="46">
        <v>59732099.210000001</v>
      </c>
      <c r="AF165" s="46">
        <f t="shared" si="29"/>
        <v>5668976.1099999994</v>
      </c>
      <c r="AG165" s="46"/>
      <c r="AH165" s="46">
        <v>50867639.030000001</v>
      </c>
      <c r="AI165" s="46">
        <v>57966077.909999996</v>
      </c>
      <c r="AJ165" s="46">
        <f t="shared" si="30"/>
        <v>7098438.8799999952</v>
      </c>
      <c r="AK165" s="46"/>
      <c r="AL165" s="46">
        <v>111778346.13</v>
      </c>
      <c r="AM165" s="46">
        <v>80687650.659999996</v>
      </c>
      <c r="AN165" s="46">
        <f t="shared" si="31"/>
        <v>-31090695.469999999</v>
      </c>
      <c r="AO165" s="46"/>
      <c r="AP165" s="46">
        <v>92526889.400000006</v>
      </c>
      <c r="AQ165" s="46">
        <v>70853955.579999998</v>
      </c>
      <c r="AR165" s="46">
        <f t="shared" si="32"/>
        <v>-21672933.820000008</v>
      </c>
      <c r="AS165" s="46"/>
      <c r="AT165" s="46">
        <v>5772150.6299999999</v>
      </c>
      <c r="AU165" s="46">
        <v>934588.06</v>
      </c>
    </row>
    <row r="166" spans="1:47" ht="22.5" x14ac:dyDescent="0.25">
      <c r="A166" s="37" t="s">
        <v>165</v>
      </c>
      <c r="B166" s="46">
        <v>126462210.06</v>
      </c>
      <c r="C166" s="46">
        <v>113369892.84999999</v>
      </c>
      <c r="D166" s="46">
        <f t="shared" si="22"/>
        <v>-13092317.210000008</v>
      </c>
      <c r="E166" s="46"/>
      <c r="F166" s="46">
        <v>90387084.719999999</v>
      </c>
      <c r="G166" s="46">
        <v>81102002.269999996</v>
      </c>
      <c r="H166" s="46">
        <f t="shared" si="23"/>
        <v>-9285082.450000003</v>
      </c>
      <c r="I166" s="46"/>
      <c r="J166" s="46">
        <v>348676.02</v>
      </c>
      <c r="K166" s="46">
        <v>262444.73</v>
      </c>
      <c r="L166" s="46">
        <f t="shared" si="24"/>
        <v>-86231.290000000037</v>
      </c>
      <c r="M166" s="46"/>
      <c r="N166" s="46">
        <v>11445237.6</v>
      </c>
      <c r="O166" s="46">
        <v>8101891.9400000004</v>
      </c>
      <c r="P166" s="46">
        <f t="shared" si="25"/>
        <v>-3343345.6599999992</v>
      </c>
      <c r="Q166" s="46"/>
      <c r="R166" s="46">
        <v>3722570.8</v>
      </c>
      <c r="S166" s="46">
        <v>2994834.78</v>
      </c>
      <c r="T166" s="46">
        <f t="shared" si="26"/>
        <v>-727736.02</v>
      </c>
      <c r="U166" s="46"/>
      <c r="V166" s="46">
        <v>510671.56</v>
      </c>
      <c r="W166" s="46">
        <v>439730.11</v>
      </c>
      <c r="X166" s="46">
        <f t="shared" si="27"/>
        <v>-70941.450000000012</v>
      </c>
      <c r="Y166" s="46"/>
      <c r="Z166" s="46">
        <v>9706978.2699999996</v>
      </c>
      <c r="AA166" s="46">
        <v>6793530.0800000001</v>
      </c>
      <c r="AB166" s="46">
        <f t="shared" si="28"/>
        <v>-2913448.1899999995</v>
      </c>
      <c r="AC166" s="46"/>
      <c r="AD166" s="46">
        <v>12479239.359999999</v>
      </c>
      <c r="AE166" s="46">
        <v>11610408.560000001</v>
      </c>
      <c r="AF166" s="46">
        <f t="shared" si="29"/>
        <v>-868830.79999999888</v>
      </c>
      <c r="AG166" s="46"/>
      <c r="AH166" s="46">
        <v>52173711.109999999</v>
      </c>
      <c r="AI166" s="46">
        <v>50899162.07</v>
      </c>
      <c r="AJ166" s="46">
        <f t="shared" si="30"/>
        <v>-1274549.0399999991</v>
      </c>
      <c r="AK166" s="46"/>
      <c r="AL166" s="46">
        <v>36037485.340000004</v>
      </c>
      <c r="AM166" s="46">
        <v>32220374.579999998</v>
      </c>
      <c r="AN166" s="46">
        <f t="shared" si="31"/>
        <v>-3817110.7600000054</v>
      </c>
      <c r="AO166" s="46"/>
      <c r="AP166" s="47">
        <v>0</v>
      </c>
      <c r="AQ166" s="47">
        <v>0</v>
      </c>
      <c r="AR166" s="46">
        <f t="shared" si="32"/>
        <v>0</v>
      </c>
      <c r="AS166" s="46"/>
      <c r="AT166" s="46">
        <v>37640</v>
      </c>
      <c r="AU166" s="46">
        <v>47516</v>
      </c>
    </row>
    <row r="167" spans="1:47" x14ac:dyDescent="0.25">
      <c r="A167" s="37" t="s">
        <v>166</v>
      </c>
      <c r="B167" s="46">
        <v>25776188.059999999</v>
      </c>
      <c r="C167" s="46">
        <v>26428089.719999999</v>
      </c>
      <c r="D167" s="46">
        <f t="shared" si="22"/>
        <v>651901.66000000015</v>
      </c>
      <c r="E167" s="46"/>
      <c r="F167" s="46">
        <v>167613.67000000001</v>
      </c>
      <c r="G167" s="46">
        <v>1447266.39</v>
      </c>
      <c r="H167" s="46">
        <f t="shared" si="23"/>
        <v>1279652.72</v>
      </c>
      <c r="I167" s="46"/>
      <c r="J167" s="47">
        <v>0</v>
      </c>
      <c r="K167" s="46">
        <v>19530.400000000001</v>
      </c>
      <c r="L167" s="46">
        <f t="shared" si="24"/>
        <v>19530.400000000001</v>
      </c>
      <c r="M167" s="46"/>
      <c r="N167" s="46">
        <v>48315.11</v>
      </c>
      <c r="O167" s="46">
        <v>-141994.41</v>
      </c>
      <c r="P167" s="46">
        <f t="shared" si="25"/>
        <v>-190309.52000000002</v>
      </c>
      <c r="Q167" s="46"/>
      <c r="R167" s="47">
        <v>0</v>
      </c>
      <c r="S167" s="47">
        <v>0</v>
      </c>
      <c r="T167" s="46">
        <f t="shared" si="26"/>
        <v>0</v>
      </c>
      <c r="U167" s="46"/>
      <c r="V167" s="47">
        <v>0</v>
      </c>
      <c r="W167" s="47">
        <v>0</v>
      </c>
      <c r="X167" s="46">
        <f t="shared" si="27"/>
        <v>0</v>
      </c>
      <c r="Y167" s="46"/>
      <c r="Z167" s="47">
        <v>0</v>
      </c>
      <c r="AA167" s="46">
        <v>1333.33</v>
      </c>
      <c r="AB167" s="46">
        <f t="shared" si="28"/>
        <v>1333.33</v>
      </c>
      <c r="AC167" s="46"/>
      <c r="AD167" s="46">
        <v>117719.4</v>
      </c>
      <c r="AE167" s="46">
        <v>345403.71</v>
      </c>
      <c r="AF167" s="46">
        <f t="shared" si="29"/>
        <v>227684.31000000003</v>
      </c>
      <c r="AG167" s="46"/>
      <c r="AH167" s="46">
        <v>1579.16</v>
      </c>
      <c r="AI167" s="46">
        <v>1222993.3600000001</v>
      </c>
      <c r="AJ167" s="46">
        <f t="shared" si="30"/>
        <v>1221414.2000000002</v>
      </c>
      <c r="AK167" s="46"/>
      <c r="AL167" s="46">
        <v>738450</v>
      </c>
      <c r="AM167" s="46">
        <v>607425</v>
      </c>
      <c r="AN167" s="46">
        <f t="shared" si="31"/>
        <v>-131025</v>
      </c>
      <c r="AO167" s="46"/>
      <c r="AP167" s="46">
        <v>24870124.390000001</v>
      </c>
      <c r="AQ167" s="46">
        <v>24373398.329999998</v>
      </c>
      <c r="AR167" s="46">
        <f t="shared" si="32"/>
        <v>-496726.06000000238</v>
      </c>
      <c r="AS167" s="46"/>
      <c r="AT167" s="47">
        <v>0</v>
      </c>
      <c r="AU167" s="47">
        <v>0</v>
      </c>
    </row>
    <row r="168" spans="1:47" ht="22.5" x14ac:dyDescent="0.25">
      <c r="A168" s="37" t="s">
        <v>167</v>
      </c>
      <c r="B168" s="46">
        <v>1195633.33</v>
      </c>
      <c r="C168" s="46">
        <v>2388919.89</v>
      </c>
      <c r="D168" s="46">
        <f t="shared" si="22"/>
        <v>1193286.56</v>
      </c>
      <c r="E168" s="46"/>
      <c r="F168" s="46">
        <v>243641.11</v>
      </c>
      <c r="G168" s="46">
        <v>195225.01</v>
      </c>
      <c r="H168" s="46">
        <f t="shared" si="23"/>
        <v>-48416.099999999977</v>
      </c>
      <c r="I168" s="46"/>
      <c r="J168" s="47">
        <v>0</v>
      </c>
      <c r="K168" s="47">
        <v>0</v>
      </c>
      <c r="L168" s="46">
        <f t="shared" si="24"/>
        <v>0</v>
      </c>
      <c r="M168" s="46"/>
      <c r="N168" s="46">
        <v>153796</v>
      </c>
      <c r="O168" s="46">
        <v>109275</v>
      </c>
      <c r="P168" s="46">
        <f t="shared" si="25"/>
        <v>-44521</v>
      </c>
      <c r="Q168" s="46"/>
      <c r="R168" s="46">
        <v>5747.67</v>
      </c>
      <c r="S168" s="46">
        <v>8201.67</v>
      </c>
      <c r="T168" s="46">
        <f t="shared" si="26"/>
        <v>2454</v>
      </c>
      <c r="U168" s="46"/>
      <c r="V168" s="47">
        <v>0</v>
      </c>
      <c r="W168" s="46">
        <v>8120</v>
      </c>
      <c r="X168" s="46">
        <f t="shared" si="27"/>
        <v>8120</v>
      </c>
      <c r="Y168" s="46"/>
      <c r="Z168" s="46">
        <v>78.34</v>
      </c>
      <c r="AA168" s="46">
        <v>3578.34</v>
      </c>
      <c r="AB168" s="46">
        <f t="shared" si="28"/>
        <v>3500</v>
      </c>
      <c r="AC168" s="46"/>
      <c r="AD168" s="46">
        <v>11200</v>
      </c>
      <c r="AE168" s="46">
        <v>9400</v>
      </c>
      <c r="AF168" s="46">
        <f t="shared" si="29"/>
        <v>-1800</v>
      </c>
      <c r="AG168" s="46"/>
      <c r="AH168" s="46">
        <v>72819.100000000006</v>
      </c>
      <c r="AI168" s="46">
        <v>56650</v>
      </c>
      <c r="AJ168" s="46">
        <f t="shared" si="30"/>
        <v>-16169.100000000006</v>
      </c>
      <c r="AK168" s="46"/>
      <c r="AL168" s="47">
        <v>0</v>
      </c>
      <c r="AM168" s="46">
        <v>1359371.52</v>
      </c>
      <c r="AN168" s="46">
        <f t="shared" si="31"/>
        <v>1359371.52</v>
      </c>
      <c r="AO168" s="46"/>
      <c r="AP168" s="46">
        <v>951992.22</v>
      </c>
      <c r="AQ168" s="46">
        <v>834323.36</v>
      </c>
      <c r="AR168" s="46">
        <f t="shared" si="32"/>
        <v>-117668.85999999999</v>
      </c>
      <c r="AS168" s="46"/>
      <c r="AT168" s="47">
        <v>0</v>
      </c>
      <c r="AU168" s="47">
        <v>0</v>
      </c>
    </row>
    <row r="169" spans="1:47" x14ac:dyDescent="0.25">
      <c r="A169" s="36" t="s">
        <v>168</v>
      </c>
      <c r="B169" s="44">
        <v>615772324.58000004</v>
      </c>
      <c r="C169" s="44">
        <v>574208588.74000001</v>
      </c>
      <c r="D169" s="44">
        <f t="shared" si="22"/>
        <v>-41563735.840000033</v>
      </c>
      <c r="E169" s="44"/>
      <c r="F169" s="44">
        <v>360586993.42000002</v>
      </c>
      <c r="G169" s="44">
        <v>360528530.94999999</v>
      </c>
      <c r="H169" s="44">
        <f t="shared" si="23"/>
        <v>-58462.47000002861</v>
      </c>
      <c r="I169" s="44"/>
      <c r="J169" s="44">
        <v>36498843.840000004</v>
      </c>
      <c r="K169" s="44">
        <v>36498842.740000002</v>
      </c>
      <c r="L169" s="44">
        <f t="shared" si="24"/>
        <v>-1.1000000014901161</v>
      </c>
      <c r="M169" s="44"/>
      <c r="N169" s="44">
        <v>74425804.620000005</v>
      </c>
      <c r="O169" s="44">
        <v>74503147</v>
      </c>
      <c r="P169" s="44">
        <f t="shared" si="25"/>
        <v>77342.379999995232</v>
      </c>
      <c r="Q169" s="44"/>
      <c r="R169" s="44">
        <v>33058875.390000001</v>
      </c>
      <c r="S169" s="44">
        <v>33058878.25</v>
      </c>
      <c r="T169" s="44">
        <f t="shared" si="26"/>
        <v>2.8599999994039536</v>
      </c>
      <c r="U169" s="44"/>
      <c r="V169" s="44">
        <v>69586650.890000001</v>
      </c>
      <c r="W169" s="44">
        <v>69509306.450000003</v>
      </c>
      <c r="X169" s="44">
        <f t="shared" si="27"/>
        <v>-77344.439999997616</v>
      </c>
      <c r="Y169" s="44"/>
      <c r="Z169" s="44">
        <v>78107442.739999995</v>
      </c>
      <c r="AA169" s="44">
        <v>78107440.930000007</v>
      </c>
      <c r="AB169" s="44">
        <f t="shared" si="28"/>
        <v>-1.8099999874830246</v>
      </c>
      <c r="AC169" s="44"/>
      <c r="AD169" s="44">
        <v>43375556.049999997</v>
      </c>
      <c r="AE169" s="44">
        <v>43317095.740000002</v>
      </c>
      <c r="AF169" s="44">
        <f t="shared" si="29"/>
        <v>-58460.309999994934</v>
      </c>
      <c r="AG169" s="44"/>
      <c r="AH169" s="44">
        <v>25533819.890000001</v>
      </c>
      <c r="AI169" s="44">
        <v>25533819.84</v>
      </c>
      <c r="AJ169" s="44">
        <f t="shared" si="30"/>
        <v>-5.000000074505806E-2</v>
      </c>
      <c r="AK169" s="44"/>
      <c r="AL169" s="44">
        <v>13075078.09</v>
      </c>
      <c r="AM169" s="44">
        <v>13075078.140000001</v>
      </c>
      <c r="AN169" s="44">
        <f t="shared" si="31"/>
        <v>5.000000074505806E-2</v>
      </c>
      <c r="AO169" s="44"/>
      <c r="AP169" s="44">
        <v>15238401.539999999</v>
      </c>
      <c r="AQ169" s="44">
        <v>15238401.539999999</v>
      </c>
      <c r="AR169" s="44">
        <f t="shared" si="32"/>
        <v>0</v>
      </c>
      <c r="AS169" s="44"/>
      <c r="AT169" s="44">
        <v>226871851.53</v>
      </c>
      <c r="AU169" s="44">
        <v>185366578.11000001</v>
      </c>
    </row>
    <row r="170" spans="1:47" x14ac:dyDescent="0.25">
      <c r="A170" s="37" t="s">
        <v>168</v>
      </c>
      <c r="B170" s="46">
        <v>615772324.58000004</v>
      </c>
      <c r="C170" s="46">
        <v>574208588.74000001</v>
      </c>
      <c r="D170" s="46">
        <f t="shared" si="22"/>
        <v>-41563735.840000033</v>
      </c>
      <c r="E170" s="46"/>
      <c r="F170" s="47">
        <v>0</v>
      </c>
      <c r="G170" s="47">
        <v>0</v>
      </c>
      <c r="H170" s="46">
        <f t="shared" si="23"/>
        <v>0</v>
      </c>
      <c r="I170" s="46"/>
      <c r="J170" s="47">
        <v>0</v>
      </c>
      <c r="K170" s="47">
        <v>0</v>
      </c>
      <c r="L170" s="46">
        <f t="shared" si="24"/>
        <v>0</v>
      </c>
      <c r="M170" s="46"/>
      <c r="N170" s="47">
        <v>0</v>
      </c>
      <c r="O170" s="47">
        <v>0</v>
      </c>
      <c r="P170" s="46">
        <f t="shared" si="25"/>
        <v>0</v>
      </c>
      <c r="Q170" s="46"/>
      <c r="R170" s="47">
        <v>0</v>
      </c>
      <c r="S170" s="47">
        <v>0</v>
      </c>
      <c r="T170" s="46">
        <f t="shared" si="26"/>
        <v>0</v>
      </c>
      <c r="U170" s="46"/>
      <c r="V170" s="47">
        <v>0</v>
      </c>
      <c r="W170" s="47">
        <v>0</v>
      </c>
      <c r="X170" s="46">
        <f t="shared" si="27"/>
        <v>0</v>
      </c>
      <c r="Y170" s="46"/>
      <c r="Z170" s="47">
        <v>0</v>
      </c>
      <c r="AA170" s="47">
        <v>0</v>
      </c>
      <c r="AB170" s="46">
        <f t="shared" si="28"/>
        <v>0</v>
      </c>
      <c r="AC170" s="46"/>
      <c r="AD170" s="47">
        <v>0</v>
      </c>
      <c r="AE170" s="47">
        <v>0</v>
      </c>
      <c r="AF170" s="46">
        <f t="shared" si="29"/>
        <v>0</v>
      </c>
      <c r="AG170" s="46"/>
      <c r="AH170" s="47">
        <v>0</v>
      </c>
      <c r="AI170" s="47">
        <v>0</v>
      </c>
      <c r="AJ170" s="46">
        <f t="shared" si="30"/>
        <v>0</v>
      </c>
      <c r="AK170" s="46"/>
      <c r="AL170" s="47">
        <v>0</v>
      </c>
      <c r="AM170" s="47">
        <v>0</v>
      </c>
      <c r="AN170" s="46">
        <f t="shared" si="31"/>
        <v>0</v>
      </c>
      <c r="AO170" s="46"/>
      <c r="AP170" s="47">
        <v>0</v>
      </c>
      <c r="AQ170" s="47">
        <v>0</v>
      </c>
      <c r="AR170" s="46">
        <f t="shared" si="32"/>
        <v>0</v>
      </c>
      <c r="AS170" s="46"/>
      <c r="AT170" s="46">
        <v>615772324.58000004</v>
      </c>
      <c r="AU170" s="46">
        <v>574208588.74000001</v>
      </c>
    </row>
    <row r="171" spans="1:47" ht="22.5" x14ac:dyDescent="0.25">
      <c r="A171" s="37" t="s">
        <v>169</v>
      </c>
      <c r="B171" s="46">
        <v>0</v>
      </c>
      <c r="C171" s="46">
        <v>0</v>
      </c>
      <c r="D171" s="46">
        <f t="shared" si="22"/>
        <v>0</v>
      </c>
      <c r="E171" s="46"/>
      <c r="F171" s="46">
        <v>360586993.42000002</v>
      </c>
      <c r="G171" s="46">
        <v>360528530.94999999</v>
      </c>
      <c r="H171" s="46">
        <f t="shared" si="23"/>
        <v>-58462.47000002861</v>
      </c>
      <c r="I171" s="46"/>
      <c r="J171" s="46">
        <v>36498843.840000004</v>
      </c>
      <c r="K171" s="46">
        <v>36498842.740000002</v>
      </c>
      <c r="L171" s="46">
        <f t="shared" si="24"/>
        <v>-1.1000000014901161</v>
      </c>
      <c r="M171" s="46"/>
      <c r="N171" s="46">
        <v>74425804.620000005</v>
      </c>
      <c r="O171" s="46">
        <v>74503147</v>
      </c>
      <c r="P171" s="46">
        <f t="shared" si="25"/>
        <v>77342.379999995232</v>
      </c>
      <c r="Q171" s="46"/>
      <c r="R171" s="46">
        <v>33058875.390000001</v>
      </c>
      <c r="S171" s="46">
        <v>33058878.25</v>
      </c>
      <c r="T171" s="46">
        <f t="shared" si="26"/>
        <v>2.8599999994039536</v>
      </c>
      <c r="U171" s="46"/>
      <c r="V171" s="46">
        <v>69586650.890000001</v>
      </c>
      <c r="W171" s="46">
        <v>69509306.450000003</v>
      </c>
      <c r="X171" s="46">
        <f t="shared" si="27"/>
        <v>-77344.439999997616</v>
      </c>
      <c r="Y171" s="46"/>
      <c r="Z171" s="46">
        <v>78107442.739999995</v>
      </c>
      <c r="AA171" s="46">
        <v>78107440.930000007</v>
      </c>
      <c r="AB171" s="46">
        <f t="shared" si="28"/>
        <v>-1.8099999874830246</v>
      </c>
      <c r="AC171" s="46"/>
      <c r="AD171" s="46">
        <v>43375556.049999997</v>
      </c>
      <c r="AE171" s="46">
        <v>43317095.740000002</v>
      </c>
      <c r="AF171" s="46">
        <f t="shared" si="29"/>
        <v>-58460.309999994934</v>
      </c>
      <c r="AG171" s="46"/>
      <c r="AH171" s="46">
        <v>25533819.890000001</v>
      </c>
      <c r="AI171" s="46">
        <v>25533819.84</v>
      </c>
      <c r="AJ171" s="46">
        <f t="shared" si="30"/>
        <v>-5.000000074505806E-2</v>
      </c>
      <c r="AK171" s="46"/>
      <c r="AL171" s="46">
        <v>13075078.09</v>
      </c>
      <c r="AM171" s="46">
        <v>13075078.140000001</v>
      </c>
      <c r="AN171" s="46">
        <f t="shared" si="31"/>
        <v>5.000000074505806E-2</v>
      </c>
      <c r="AO171" s="46"/>
      <c r="AP171" s="46">
        <v>15238401.539999999</v>
      </c>
      <c r="AQ171" s="46">
        <v>15238401.539999999</v>
      </c>
      <c r="AR171" s="46">
        <f t="shared" si="32"/>
        <v>0</v>
      </c>
      <c r="AS171" s="46"/>
      <c r="AT171" s="46">
        <v>-388900473.05000001</v>
      </c>
      <c r="AU171" s="46">
        <v>-388842010.63</v>
      </c>
    </row>
    <row r="172" spans="1:47" ht="22.5" x14ac:dyDescent="0.25">
      <c r="A172" s="35" t="s">
        <v>170</v>
      </c>
      <c r="B172" s="46">
        <v>80275075.189999998</v>
      </c>
      <c r="C172" s="46">
        <v>79116126.239999995</v>
      </c>
      <c r="D172" s="46">
        <f t="shared" si="22"/>
        <v>-1158948.950000003</v>
      </c>
      <c r="E172" s="46"/>
      <c r="F172" s="46">
        <v>71989521.680000007</v>
      </c>
      <c r="G172" s="46">
        <v>69461517.879999995</v>
      </c>
      <c r="H172" s="46">
        <f t="shared" si="23"/>
        <v>-2528003.8000000119</v>
      </c>
      <c r="I172" s="46"/>
      <c r="J172" s="46">
        <v>12975373.65</v>
      </c>
      <c r="K172" s="46">
        <v>12309844.68</v>
      </c>
      <c r="L172" s="46">
        <f t="shared" si="24"/>
        <v>-665528.97000000067</v>
      </c>
      <c r="M172" s="46"/>
      <c r="N172" s="46">
        <v>4270681.82</v>
      </c>
      <c r="O172" s="46">
        <v>4316863.71</v>
      </c>
      <c r="P172" s="46">
        <f t="shared" si="25"/>
        <v>46181.889999999665</v>
      </c>
      <c r="Q172" s="46"/>
      <c r="R172" s="46">
        <v>14482173.01</v>
      </c>
      <c r="S172" s="46">
        <v>12899865.58</v>
      </c>
      <c r="T172" s="46">
        <f t="shared" si="26"/>
        <v>-1582307.4299999997</v>
      </c>
      <c r="U172" s="46"/>
      <c r="V172" s="46">
        <v>5990650.9900000002</v>
      </c>
      <c r="W172" s="46">
        <v>6120651.8799999999</v>
      </c>
      <c r="X172" s="46">
        <f t="shared" si="27"/>
        <v>130000.88999999966</v>
      </c>
      <c r="Y172" s="46"/>
      <c r="Z172" s="46">
        <v>3455996.99</v>
      </c>
      <c r="AA172" s="46">
        <v>3210941.9</v>
      </c>
      <c r="AB172" s="46">
        <f t="shared" si="28"/>
        <v>-245055.09000000032</v>
      </c>
      <c r="AC172" s="46"/>
      <c r="AD172" s="46">
        <v>24128206.48</v>
      </c>
      <c r="AE172" s="46">
        <v>24440993.969999999</v>
      </c>
      <c r="AF172" s="46">
        <f t="shared" si="29"/>
        <v>312787.48999999836</v>
      </c>
      <c r="AG172" s="46"/>
      <c r="AH172" s="46">
        <v>6686438.7400000002</v>
      </c>
      <c r="AI172" s="46">
        <v>6162356.1600000001</v>
      </c>
      <c r="AJ172" s="46">
        <f t="shared" si="30"/>
        <v>-524082.58000000007</v>
      </c>
      <c r="AK172" s="46"/>
      <c r="AL172" s="46">
        <v>8285553.5099999998</v>
      </c>
      <c r="AM172" s="46">
        <v>8882088.0800000001</v>
      </c>
      <c r="AN172" s="46">
        <f t="shared" si="31"/>
        <v>596534.5700000003</v>
      </c>
      <c r="AO172" s="46"/>
      <c r="AP172" s="47">
        <v>0</v>
      </c>
      <c r="AQ172" s="47">
        <v>0</v>
      </c>
      <c r="AR172" s="46">
        <f t="shared" si="32"/>
        <v>0</v>
      </c>
      <c r="AS172" s="46"/>
      <c r="AT172" s="47">
        <v>0</v>
      </c>
      <c r="AU172" s="47">
        <v>0</v>
      </c>
    </row>
    <row r="173" spans="1:47" x14ac:dyDescent="0.25">
      <c r="A173" s="35" t="s">
        <v>171</v>
      </c>
      <c r="B173" s="47">
        <v>0</v>
      </c>
      <c r="C173" s="46">
        <v>0</v>
      </c>
      <c r="D173" s="46">
        <f t="shared" si="22"/>
        <v>0</v>
      </c>
      <c r="E173" s="46"/>
      <c r="F173" s="47">
        <v>0</v>
      </c>
      <c r="G173" s="47">
        <v>0</v>
      </c>
      <c r="H173" s="46">
        <f t="shared" si="23"/>
        <v>0</v>
      </c>
      <c r="I173" s="46"/>
      <c r="J173" s="47">
        <v>0</v>
      </c>
      <c r="K173" s="47">
        <v>0</v>
      </c>
      <c r="L173" s="46">
        <f t="shared" si="24"/>
        <v>0</v>
      </c>
      <c r="M173" s="46"/>
      <c r="N173" s="47">
        <v>0</v>
      </c>
      <c r="O173" s="47">
        <v>0</v>
      </c>
      <c r="P173" s="46">
        <f t="shared" si="25"/>
        <v>0</v>
      </c>
      <c r="Q173" s="46"/>
      <c r="R173" s="47">
        <v>0</v>
      </c>
      <c r="S173" s="47">
        <v>0</v>
      </c>
      <c r="T173" s="46">
        <f t="shared" si="26"/>
        <v>0</v>
      </c>
      <c r="U173" s="46"/>
      <c r="V173" s="47">
        <v>0</v>
      </c>
      <c r="W173" s="47">
        <v>0</v>
      </c>
      <c r="X173" s="46">
        <f t="shared" si="27"/>
        <v>0</v>
      </c>
      <c r="Y173" s="46"/>
      <c r="Z173" s="47">
        <v>0</v>
      </c>
      <c r="AA173" s="47">
        <v>0</v>
      </c>
      <c r="AB173" s="46">
        <f t="shared" si="28"/>
        <v>0</v>
      </c>
      <c r="AC173" s="46"/>
      <c r="AD173" s="47">
        <v>0</v>
      </c>
      <c r="AE173" s="47">
        <v>0</v>
      </c>
      <c r="AF173" s="46">
        <f t="shared" si="29"/>
        <v>0</v>
      </c>
      <c r="AG173" s="46"/>
      <c r="AH173" s="47">
        <v>0</v>
      </c>
      <c r="AI173" s="47">
        <v>0</v>
      </c>
      <c r="AJ173" s="46">
        <f t="shared" si="30"/>
        <v>0</v>
      </c>
      <c r="AK173" s="46"/>
      <c r="AL173" s="47">
        <v>0</v>
      </c>
      <c r="AM173" s="46">
        <v>0</v>
      </c>
      <c r="AN173" s="46">
        <f t="shared" si="31"/>
        <v>0</v>
      </c>
      <c r="AO173" s="46"/>
      <c r="AP173" s="47">
        <v>0</v>
      </c>
      <c r="AQ173" s="47">
        <v>0</v>
      </c>
      <c r="AR173" s="46">
        <f t="shared" si="32"/>
        <v>0</v>
      </c>
      <c r="AS173" s="46"/>
      <c r="AT173" s="47">
        <v>0</v>
      </c>
      <c r="AU173" s="47">
        <v>0</v>
      </c>
    </row>
    <row r="174" spans="1:47" x14ac:dyDescent="0.25">
      <c r="A174" s="38" t="s">
        <v>172</v>
      </c>
      <c r="B174" s="46">
        <v>192984816.59</v>
      </c>
      <c r="C174" s="46">
        <v>200060441.81</v>
      </c>
      <c r="D174" s="46">
        <f t="shared" si="22"/>
        <v>7075625.2199999988</v>
      </c>
      <c r="E174" s="46"/>
      <c r="F174" s="46">
        <v>173426922.05000001</v>
      </c>
      <c r="G174" s="46">
        <v>180090807.59</v>
      </c>
      <c r="H174" s="46">
        <f t="shared" si="23"/>
        <v>6663885.5399999917</v>
      </c>
      <c r="I174" s="46"/>
      <c r="J174" s="46">
        <v>25886662.649999999</v>
      </c>
      <c r="K174" s="46">
        <v>29983832.030000001</v>
      </c>
      <c r="L174" s="46">
        <f t="shared" si="24"/>
        <v>4097169.3800000027</v>
      </c>
      <c r="M174" s="46"/>
      <c r="N174" s="46">
        <v>33790186.390000001</v>
      </c>
      <c r="O174" s="46">
        <v>31559988.640000001</v>
      </c>
      <c r="P174" s="46">
        <f t="shared" si="25"/>
        <v>-2230197.75</v>
      </c>
      <c r="Q174" s="46"/>
      <c r="R174" s="46">
        <v>13369201.09</v>
      </c>
      <c r="S174" s="46">
        <v>13549509.66</v>
      </c>
      <c r="T174" s="46">
        <f t="shared" si="26"/>
        <v>180308.5700000003</v>
      </c>
      <c r="U174" s="46"/>
      <c r="V174" s="46">
        <v>27061604.609999999</v>
      </c>
      <c r="W174" s="46">
        <v>24935389.68</v>
      </c>
      <c r="X174" s="46">
        <f t="shared" si="27"/>
        <v>-2126214.9299999997</v>
      </c>
      <c r="Y174" s="46"/>
      <c r="Z174" s="46">
        <v>36403145.810000002</v>
      </c>
      <c r="AA174" s="46">
        <v>38378997.789999999</v>
      </c>
      <c r="AB174" s="46">
        <f t="shared" si="28"/>
        <v>1975851.9799999967</v>
      </c>
      <c r="AC174" s="46"/>
      <c r="AD174" s="46">
        <v>20971597.829999998</v>
      </c>
      <c r="AE174" s="46">
        <v>25646358.25</v>
      </c>
      <c r="AF174" s="46">
        <f t="shared" si="29"/>
        <v>4674760.4200000018</v>
      </c>
      <c r="AG174" s="46"/>
      <c r="AH174" s="46">
        <v>15944523.67</v>
      </c>
      <c r="AI174" s="46">
        <v>16036731.539999999</v>
      </c>
      <c r="AJ174" s="46">
        <f t="shared" si="30"/>
        <v>92207.86999999918</v>
      </c>
      <c r="AK174" s="46"/>
      <c r="AL174" s="46">
        <v>19215255.539999999</v>
      </c>
      <c r="AM174" s="46">
        <v>18962197.68</v>
      </c>
      <c r="AN174" s="46">
        <f t="shared" si="31"/>
        <v>-253057.8599999994</v>
      </c>
      <c r="AO174" s="46"/>
      <c r="AP174" s="47">
        <v>0</v>
      </c>
      <c r="AQ174" s="46">
        <v>51576.28</v>
      </c>
      <c r="AR174" s="46">
        <f t="shared" si="32"/>
        <v>51576.28</v>
      </c>
      <c r="AS174" s="46"/>
      <c r="AT174" s="46">
        <v>342639</v>
      </c>
      <c r="AU174" s="46">
        <v>955860.26</v>
      </c>
    </row>
    <row r="175" spans="1:47" x14ac:dyDescent="0.25">
      <c r="A175" s="34" t="s">
        <v>173</v>
      </c>
      <c r="B175" s="44">
        <v>3727993996.1400003</v>
      </c>
      <c r="C175" s="44">
        <v>3616506407.6799998</v>
      </c>
      <c r="D175" s="44">
        <f t="shared" si="22"/>
        <v>-111487588.46000051</v>
      </c>
      <c r="E175" s="44"/>
      <c r="F175" s="44">
        <v>2468637431.8599997</v>
      </c>
      <c r="G175" s="44">
        <v>2317969445.3099999</v>
      </c>
      <c r="H175" s="44">
        <f t="shared" si="23"/>
        <v>-150667986.54999971</v>
      </c>
      <c r="I175" s="44"/>
      <c r="J175" s="44">
        <v>342820911.75999999</v>
      </c>
      <c r="K175" s="44">
        <v>321287502.17000002</v>
      </c>
      <c r="L175" s="44">
        <f t="shared" si="24"/>
        <v>-21533409.589999974</v>
      </c>
      <c r="M175" s="44"/>
      <c r="N175" s="44">
        <v>478865727.44999999</v>
      </c>
      <c r="O175" s="44">
        <v>444791768.93000001</v>
      </c>
      <c r="P175" s="44">
        <f t="shared" si="25"/>
        <v>-34073958.519999981</v>
      </c>
      <c r="Q175" s="44"/>
      <c r="R175" s="44">
        <v>301706678.85000002</v>
      </c>
      <c r="S175" s="44">
        <v>270942572.26999998</v>
      </c>
      <c r="T175" s="44">
        <f t="shared" si="26"/>
        <v>-30764106.580000043</v>
      </c>
      <c r="U175" s="44"/>
      <c r="V175" s="44">
        <v>299992627.75999999</v>
      </c>
      <c r="W175" s="44">
        <v>270607494.75999999</v>
      </c>
      <c r="X175" s="44">
        <f t="shared" si="27"/>
        <v>-29385133</v>
      </c>
      <c r="Y175" s="44"/>
      <c r="Z175" s="44">
        <v>360315509.05000001</v>
      </c>
      <c r="AA175" s="44">
        <v>340679935.55000001</v>
      </c>
      <c r="AB175" s="44">
        <f t="shared" si="28"/>
        <v>-19635573.5</v>
      </c>
      <c r="AC175" s="44"/>
      <c r="AD175" s="44">
        <v>396901276.41000003</v>
      </c>
      <c r="AE175" s="44">
        <v>385646590.37</v>
      </c>
      <c r="AF175" s="44">
        <f t="shared" si="29"/>
        <v>-11254686.040000021</v>
      </c>
      <c r="AG175" s="44"/>
      <c r="AH175" s="44">
        <v>288034700.57999998</v>
      </c>
      <c r="AI175" s="44">
        <v>284013581.25999999</v>
      </c>
      <c r="AJ175" s="44">
        <f t="shared" si="30"/>
        <v>-4021119.3199999928</v>
      </c>
      <c r="AK175" s="44"/>
      <c r="AL175" s="44">
        <v>1014639588.62</v>
      </c>
      <c r="AM175" s="44">
        <v>1065895874.92</v>
      </c>
      <c r="AN175" s="44">
        <f t="shared" si="31"/>
        <v>51256286.299999952</v>
      </c>
      <c r="AO175" s="44"/>
      <c r="AP175" s="44">
        <v>239592542.69999999</v>
      </c>
      <c r="AQ175" s="44">
        <v>227734467.30000001</v>
      </c>
      <c r="AR175" s="44">
        <f t="shared" si="32"/>
        <v>-11858075.399999976</v>
      </c>
      <c r="AS175" s="44"/>
      <c r="AT175" s="44">
        <v>844941.96</v>
      </c>
      <c r="AU175" s="44">
        <v>2522655.6800000002</v>
      </c>
    </row>
    <row r="176" spans="1:47" x14ac:dyDescent="0.25">
      <c r="A176" s="35" t="s">
        <v>174</v>
      </c>
      <c r="B176" s="46">
        <v>2586619747.6700001</v>
      </c>
      <c r="C176" s="46">
        <v>2515396287.75</v>
      </c>
      <c r="D176" s="46">
        <f t="shared" si="22"/>
        <v>-71223459.920000076</v>
      </c>
      <c r="E176" s="46"/>
      <c r="F176" s="46">
        <v>1703957979.3</v>
      </c>
      <c r="G176" s="46">
        <v>1590915704.6099999</v>
      </c>
      <c r="H176" s="46">
        <f t="shared" si="23"/>
        <v>-113042274.69000006</v>
      </c>
      <c r="I176" s="46"/>
      <c r="J176" s="46">
        <v>239119490.61000001</v>
      </c>
      <c r="K176" s="46">
        <v>223057067.41999999</v>
      </c>
      <c r="L176" s="46">
        <f t="shared" si="24"/>
        <v>-16062423.190000027</v>
      </c>
      <c r="M176" s="46"/>
      <c r="N176" s="46">
        <v>331736020.13</v>
      </c>
      <c r="O176" s="46">
        <v>303865742.80000001</v>
      </c>
      <c r="P176" s="46">
        <f t="shared" si="25"/>
        <v>-27870277.329999983</v>
      </c>
      <c r="Q176" s="46"/>
      <c r="R176" s="46">
        <v>211128763.43000001</v>
      </c>
      <c r="S176" s="46">
        <v>188428691.28999999</v>
      </c>
      <c r="T176" s="46">
        <f t="shared" si="26"/>
        <v>-22700072.140000015</v>
      </c>
      <c r="U176" s="46"/>
      <c r="V176" s="46">
        <v>209063775.44</v>
      </c>
      <c r="W176" s="46">
        <v>187644727.21000001</v>
      </c>
      <c r="X176" s="46">
        <f t="shared" si="27"/>
        <v>-21419048.229999989</v>
      </c>
      <c r="Y176" s="46"/>
      <c r="Z176" s="46">
        <v>251264178.56</v>
      </c>
      <c r="AA176" s="46">
        <v>237293400.69999999</v>
      </c>
      <c r="AB176" s="46">
        <f t="shared" si="28"/>
        <v>-13970777.860000014</v>
      </c>
      <c r="AC176" s="46"/>
      <c r="AD176" s="46">
        <v>272577420.81999999</v>
      </c>
      <c r="AE176" s="46">
        <v>263815034.97</v>
      </c>
      <c r="AF176" s="46">
        <f t="shared" si="29"/>
        <v>-8762385.849999994</v>
      </c>
      <c r="AG176" s="46"/>
      <c r="AH176" s="46">
        <v>189068330.31</v>
      </c>
      <c r="AI176" s="46">
        <v>186811040.22</v>
      </c>
      <c r="AJ176" s="46">
        <f t="shared" si="30"/>
        <v>-2257290.0900000036</v>
      </c>
      <c r="AK176" s="46"/>
      <c r="AL176" s="46">
        <v>711482113.82000005</v>
      </c>
      <c r="AM176" s="46">
        <v>761405909.42999995</v>
      </c>
      <c r="AN176" s="46">
        <f t="shared" si="31"/>
        <v>49923795.609999895</v>
      </c>
      <c r="AO176" s="46"/>
      <c r="AP176" s="46">
        <v>167532996.52000001</v>
      </c>
      <c r="AQ176" s="46">
        <v>159498287.37</v>
      </c>
      <c r="AR176" s="46">
        <f t="shared" si="32"/>
        <v>-8034709.150000006</v>
      </c>
      <c r="AS176" s="46"/>
      <c r="AT176" s="46">
        <v>603094.32999999996</v>
      </c>
      <c r="AU176" s="46">
        <v>1808161.48</v>
      </c>
    </row>
    <row r="177" spans="1:47" x14ac:dyDescent="0.25">
      <c r="A177" s="35" t="s">
        <v>175</v>
      </c>
      <c r="B177" s="46">
        <v>855727690.13</v>
      </c>
      <c r="C177" s="46">
        <v>831635344.38999999</v>
      </c>
      <c r="D177" s="46">
        <f t="shared" si="22"/>
        <v>-24092345.74000001</v>
      </c>
      <c r="E177" s="46"/>
      <c r="F177" s="46">
        <v>563466902.48000002</v>
      </c>
      <c r="G177" s="46">
        <v>536684408.76999998</v>
      </c>
      <c r="H177" s="46">
        <f t="shared" si="23"/>
        <v>-26782493.710000038</v>
      </c>
      <c r="I177" s="46"/>
      <c r="J177" s="46">
        <v>78655180.079999998</v>
      </c>
      <c r="K177" s="46">
        <v>74832904.640000001</v>
      </c>
      <c r="L177" s="46">
        <f t="shared" si="24"/>
        <v>-3822275.4399999976</v>
      </c>
      <c r="M177" s="46"/>
      <c r="N177" s="46">
        <v>109991530.27</v>
      </c>
      <c r="O177" s="46">
        <v>102624646.31</v>
      </c>
      <c r="P177" s="46">
        <f t="shared" si="25"/>
        <v>-7366883.9599999934</v>
      </c>
      <c r="Q177" s="46"/>
      <c r="R177" s="46">
        <v>69171222.620000005</v>
      </c>
      <c r="S177" s="46">
        <v>62907236.670000002</v>
      </c>
      <c r="T177" s="46">
        <f t="shared" si="26"/>
        <v>-6263985.950000003</v>
      </c>
      <c r="U177" s="46"/>
      <c r="V177" s="46">
        <v>68592685.700000003</v>
      </c>
      <c r="W177" s="46">
        <v>62522869.030000001</v>
      </c>
      <c r="X177" s="46">
        <f t="shared" si="27"/>
        <v>-6069816.6700000018</v>
      </c>
      <c r="Y177" s="46"/>
      <c r="Z177" s="46">
        <v>82735067.280000001</v>
      </c>
      <c r="AA177" s="46">
        <v>78886571.069999993</v>
      </c>
      <c r="AB177" s="46">
        <f t="shared" si="28"/>
        <v>-3848496.2100000083</v>
      </c>
      <c r="AC177" s="46"/>
      <c r="AD177" s="46">
        <v>89960401.670000002</v>
      </c>
      <c r="AE177" s="46">
        <v>89654146.810000002</v>
      </c>
      <c r="AF177" s="46">
        <f t="shared" si="29"/>
        <v>-306254.8599999994</v>
      </c>
      <c r="AG177" s="46"/>
      <c r="AH177" s="46">
        <v>64360814.859999999</v>
      </c>
      <c r="AI177" s="46">
        <v>65256034.240000002</v>
      </c>
      <c r="AJ177" s="46">
        <f t="shared" si="30"/>
        <v>895219.38000000268</v>
      </c>
      <c r="AK177" s="46"/>
      <c r="AL177" s="46">
        <v>235990584.09</v>
      </c>
      <c r="AM177" s="46">
        <v>241148291.28</v>
      </c>
      <c r="AN177" s="46">
        <f t="shared" si="31"/>
        <v>5157707.1899999976</v>
      </c>
      <c r="AO177" s="46"/>
      <c r="AP177" s="46">
        <v>55088030.549999997</v>
      </c>
      <c r="AQ177" s="46">
        <v>52727397.950000003</v>
      </c>
      <c r="AR177" s="46">
        <f t="shared" si="32"/>
        <v>-2360632.599999994</v>
      </c>
      <c r="AS177" s="46"/>
      <c r="AT177" s="46">
        <v>189541.44</v>
      </c>
      <c r="AU177" s="46">
        <v>578688.55000000005</v>
      </c>
    </row>
    <row r="178" spans="1:47" x14ac:dyDescent="0.25">
      <c r="A178" s="35" t="s">
        <v>176</v>
      </c>
      <c r="B178" s="46">
        <v>282044438.33999997</v>
      </c>
      <c r="C178" s="46">
        <v>268300587.22</v>
      </c>
      <c r="D178" s="46">
        <f t="shared" si="22"/>
        <v>-13743851.119999975</v>
      </c>
      <c r="E178" s="46"/>
      <c r="F178" s="46">
        <v>197610430.08000001</v>
      </c>
      <c r="G178" s="46">
        <v>189195143.61000001</v>
      </c>
      <c r="H178" s="46">
        <f t="shared" si="23"/>
        <v>-8415286.4699999988</v>
      </c>
      <c r="I178" s="46"/>
      <c r="J178" s="46">
        <v>25046241.07</v>
      </c>
      <c r="K178" s="46">
        <v>23397530.109999999</v>
      </c>
      <c r="L178" s="46">
        <f t="shared" si="24"/>
        <v>-1648710.9600000009</v>
      </c>
      <c r="M178" s="46"/>
      <c r="N178" s="46">
        <v>36299441.049999997</v>
      </c>
      <c r="O178" s="46">
        <v>37813463.770000003</v>
      </c>
      <c r="P178" s="46">
        <f t="shared" si="25"/>
        <v>1514022.7200000063</v>
      </c>
      <c r="Q178" s="46"/>
      <c r="R178" s="46">
        <v>21406692.800000001</v>
      </c>
      <c r="S178" s="46">
        <v>19606644.309999999</v>
      </c>
      <c r="T178" s="46">
        <f t="shared" si="26"/>
        <v>-1800048.4900000021</v>
      </c>
      <c r="U178" s="46"/>
      <c r="V178" s="46">
        <v>22336166.620000001</v>
      </c>
      <c r="W178" s="46">
        <v>20439878.34</v>
      </c>
      <c r="X178" s="46">
        <f t="shared" si="27"/>
        <v>-1896288.2800000012</v>
      </c>
      <c r="Y178" s="46"/>
      <c r="Z178" s="46">
        <v>26316263.210000001</v>
      </c>
      <c r="AA178" s="46">
        <v>24499963.780000001</v>
      </c>
      <c r="AB178" s="46">
        <f t="shared" si="28"/>
        <v>-1816299.4299999997</v>
      </c>
      <c r="AC178" s="46"/>
      <c r="AD178" s="46">
        <v>34363453.920000002</v>
      </c>
      <c r="AE178" s="46">
        <v>32177408.59</v>
      </c>
      <c r="AF178" s="46">
        <f t="shared" si="29"/>
        <v>-2186045.3300000019</v>
      </c>
      <c r="AG178" s="46"/>
      <c r="AH178" s="46">
        <v>31842171.41</v>
      </c>
      <c r="AI178" s="46">
        <v>31260254.710000001</v>
      </c>
      <c r="AJ178" s="46">
        <f t="shared" si="30"/>
        <v>-581916.69999999925</v>
      </c>
      <c r="AK178" s="46"/>
      <c r="AL178" s="46">
        <v>67166890.709999993</v>
      </c>
      <c r="AM178" s="46">
        <v>63341674.210000001</v>
      </c>
      <c r="AN178" s="46">
        <f t="shared" si="31"/>
        <v>-3825216.4999999925</v>
      </c>
      <c r="AO178" s="46"/>
      <c r="AP178" s="46">
        <v>16971515.629999999</v>
      </c>
      <c r="AQ178" s="46">
        <v>15508781.98</v>
      </c>
      <c r="AR178" s="46">
        <f t="shared" si="32"/>
        <v>-1462733.6499999985</v>
      </c>
      <c r="AS178" s="46"/>
      <c r="AT178" s="46">
        <v>52306.19</v>
      </c>
      <c r="AU178" s="46">
        <v>135805.65</v>
      </c>
    </row>
    <row r="179" spans="1:47" x14ac:dyDescent="0.25">
      <c r="A179" s="35" t="s">
        <v>177</v>
      </c>
      <c r="B179" s="46">
        <v>3602120</v>
      </c>
      <c r="C179" s="46">
        <v>1174188.32</v>
      </c>
      <c r="D179" s="46">
        <f t="shared" si="22"/>
        <v>-2427931.6799999997</v>
      </c>
      <c r="E179" s="46"/>
      <c r="F179" s="46">
        <v>3602120</v>
      </c>
      <c r="G179" s="46">
        <v>1174188.32</v>
      </c>
      <c r="H179" s="46">
        <f t="shared" si="23"/>
        <v>-2427931.6799999997</v>
      </c>
      <c r="I179" s="46"/>
      <c r="J179" s="47">
        <v>0</v>
      </c>
      <c r="K179" s="47">
        <v>0</v>
      </c>
      <c r="L179" s="46">
        <f t="shared" si="24"/>
        <v>0</v>
      </c>
      <c r="M179" s="46"/>
      <c r="N179" s="46">
        <v>838736</v>
      </c>
      <c r="O179" s="46">
        <v>487916.05</v>
      </c>
      <c r="P179" s="46">
        <f t="shared" si="25"/>
        <v>-350819.95</v>
      </c>
      <c r="Q179" s="46"/>
      <c r="R179" s="47">
        <v>0</v>
      </c>
      <c r="S179" s="47">
        <v>0</v>
      </c>
      <c r="T179" s="46">
        <f t="shared" si="26"/>
        <v>0</v>
      </c>
      <c r="U179" s="46"/>
      <c r="V179" s="47">
        <v>0</v>
      </c>
      <c r="W179" s="46">
        <v>20.18</v>
      </c>
      <c r="X179" s="46">
        <f t="shared" si="27"/>
        <v>20.18</v>
      </c>
      <c r="Y179" s="46"/>
      <c r="Z179" s="47">
        <v>0</v>
      </c>
      <c r="AA179" s="47">
        <v>0</v>
      </c>
      <c r="AB179" s="46">
        <f t="shared" si="28"/>
        <v>0</v>
      </c>
      <c r="AC179" s="46"/>
      <c r="AD179" s="47">
        <v>0</v>
      </c>
      <c r="AE179" s="47">
        <v>0</v>
      </c>
      <c r="AF179" s="46">
        <f t="shared" si="29"/>
        <v>0</v>
      </c>
      <c r="AG179" s="46"/>
      <c r="AH179" s="46">
        <v>2763384</v>
      </c>
      <c r="AI179" s="46">
        <v>686252.09</v>
      </c>
      <c r="AJ179" s="46">
        <f t="shared" si="30"/>
        <v>-2077131.9100000001</v>
      </c>
      <c r="AK179" s="46"/>
      <c r="AL179" s="47">
        <v>0</v>
      </c>
      <c r="AM179" s="47">
        <v>0</v>
      </c>
      <c r="AN179" s="46">
        <f t="shared" si="31"/>
        <v>0</v>
      </c>
      <c r="AO179" s="46"/>
      <c r="AP179" s="47">
        <v>0</v>
      </c>
      <c r="AQ179" s="47">
        <v>0</v>
      </c>
      <c r="AR179" s="46">
        <f t="shared" si="32"/>
        <v>0</v>
      </c>
      <c r="AS179" s="46"/>
      <c r="AT179" s="47">
        <v>0</v>
      </c>
      <c r="AU179" s="47">
        <v>0</v>
      </c>
    </row>
    <row r="180" spans="1:47" x14ac:dyDescent="0.25">
      <c r="A180" s="34" t="s">
        <v>178</v>
      </c>
      <c r="B180" s="44">
        <v>45900177.969999999</v>
      </c>
      <c r="C180" s="44">
        <v>40488845.829999998</v>
      </c>
      <c r="D180" s="44">
        <f t="shared" si="22"/>
        <v>-5411332.1400000006</v>
      </c>
      <c r="E180" s="44"/>
      <c r="F180" s="44">
        <v>36805927.520000003</v>
      </c>
      <c r="G180" s="44">
        <v>30845530.719999999</v>
      </c>
      <c r="H180" s="44">
        <f t="shared" si="23"/>
        <v>-5960396.8000000045</v>
      </c>
      <c r="I180" s="44"/>
      <c r="J180" s="44">
        <v>4947509.8</v>
      </c>
      <c r="K180" s="44">
        <v>4547850.63</v>
      </c>
      <c r="L180" s="44">
        <f t="shared" si="24"/>
        <v>-399659.16999999993</v>
      </c>
      <c r="M180" s="44"/>
      <c r="N180" s="44">
        <v>5049009.4400000004</v>
      </c>
      <c r="O180" s="44">
        <v>4154109.61</v>
      </c>
      <c r="P180" s="44">
        <f t="shared" si="25"/>
        <v>-894899.83000000054</v>
      </c>
      <c r="Q180" s="44"/>
      <c r="R180" s="44">
        <v>4570699.55</v>
      </c>
      <c r="S180" s="44">
        <v>3690625.08</v>
      </c>
      <c r="T180" s="44">
        <f t="shared" si="26"/>
        <v>-880074.46999999974</v>
      </c>
      <c r="U180" s="44"/>
      <c r="V180" s="44">
        <v>5419557.5700000003</v>
      </c>
      <c r="W180" s="44">
        <v>4622891.4000000004</v>
      </c>
      <c r="X180" s="44">
        <f t="shared" si="27"/>
        <v>-796666.16999999993</v>
      </c>
      <c r="Y180" s="44"/>
      <c r="Z180" s="44">
        <v>6170713.2999999998</v>
      </c>
      <c r="AA180" s="44">
        <v>4772828.84</v>
      </c>
      <c r="AB180" s="44">
        <f t="shared" si="28"/>
        <v>-1397884.46</v>
      </c>
      <c r="AC180" s="44"/>
      <c r="AD180" s="44">
        <v>5710333.9699999997</v>
      </c>
      <c r="AE180" s="44">
        <v>5195924.53</v>
      </c>
      <c r="AF180" s="44">
        <f t="shared" si="29"/>
        <v>-514409.43999999948</v>
      </c>
      <c r="AG180" s="44"/>
      <c r="AH180" s="44">
        <v>4938103.8899999997</v>
      </c>
      <c r="AI180" s="44">
        <v>3861300.63</v>
      </c>
      <c r="AJ180" s="44">
        <f t="shared" si="30"/>
        <v>-1076803.2599999998</v>
      </c>
      <c r="AK180" s="44"/>
      <c r="AL180" s="44">
        <v>7672671.3300000001</v>
      </c>
      <c r="AM180" s="44">
        <v>6026742.1100000003</v>
      </c>
      <c r="AN180" s="44">
        <f t="shared" si="31"/>
        <v>-1645929.2199999997</v>
      </c>
      <c r="AO180" s="44"/>
      <c r="AP180" s="44">
        <v>1421579.12</v>
      </c>
      <c r="AQ180" s="44">
        <v>3604573</v>
      </c>
      <c r="AR180" s="44">
        <f t="shared" si="32"/>
        <v>2182993.88</v>
      </c>
      <c r="AS180" s="44"/>
      <c r="AT180" s="45">
        <v>0</v>
      </c>
      <c r="AU180" s="44">
        <v>12000</v>
      </c>
    </row>
    <row r="181" spans="1:47" x14ac:dyDescent="0.25">
      <c r="A181" s="35" t="s">
        <v>179</v>
      </c>
      <c r="B181" s="46">
        <v>7283851.25</v>
      </c>
      <c r="C181" s="46">
        <v>4001887.97</v>
      </c>
      <c r="D181" s="46">
        <f t="shared" si="22"/>
        <v>-3281963.28</v>
      </c>
      <c r="E181" s="46"/>
      <c r="F181" s="46">
        <v>5386716.25</v>
      </c>
      <c r="G181" s="46">
        <v>3275697.97</v>
      </c>
      <c r="H181" s="46">
        <f t="shared" si="23"/>
        <v>-2111018.2799999998</v>
      </c>
      <c r="I181" s="46"/>
      <c r="J181" s="46">
        <v>684015</v>
      </c>
      <c r="K181" s="46">
        <v>544105</v>
      </c>
      <c r="L181" s="46">
        <f t="shared" si="24"/>
        <v>-139910</v>
      </c>
      <c r="M181" s="46"/>
      <c r="N181" s="46">
        <v>640863.06000000006</v>
      </c>
      <c r="O181" s="46">
        <v>382851</v>
      </c>
      <c r="P181" s="46">
        <f t="shared" si="25"/>
        <v>-258012.06000000006</v>
      </c>
      <c r="Q181" s="46"/>
      <c r="R181" s="46">
        <v>748777.55</v>
      </c>
      <c r="S181" s="46">
        <v>612118.79</v>
      </c>
      <c r="T181" s="46">
        <f t="shared" si="26"/>
        <v>-136658.76</v>
      </c>
      <c r="U181" s="46"/>
      <c r="V181" s="46">
        <v>487519.67</v>
      </c>
      <c r="W181" s="46">
        <v>284316.67</v>
      </c>
      <c r="X181" s="46">
        <f t="shared" si="27"/>
        <v>-203203</v>
      </c>
      <c r="Y181" s="46"/>
      <c r="Z181" s="46">
        <v>1655468.34</v>
      </c>
      <c r="AA181" s="46">
        <v>811753.16</v>
      </c>
      <c r="AB181" s="46">
        <f t="shared" si="28"/>
        <v>-843715.18</v>
      </c>
      <c r="AC181" s="46"/>
      <c r="AD181" s="46">
        <v>603708.04</v>
      </c>
      <c r="AE181" s="46">
        <v>361750.02</v>
      </c>
      <c r="AF181" s="46">
        <f t="shared" si="29"/>
        <v>-241958.02000000002</v>
      </c>
      <c r="AG181" s="46"/>
      <c r="AH181" s="46">
        <v>566364.59</v>
      </c>
      <c r="AI181" s="46">
        <v>278803.33</v>
      </c>
      <c r="AJ181" s="46">
        <f t="shared" si="30"/>
        <v>-287561.25999999995</v>
      </c>
      <c r="AK181" s="46"/>
      <c r="AL181" s="46">
        <v>1828495</v>
      </c>
      <c r="AM181" s="46">
        <v>344700</v>
      </c>
      <c r="AN181" s="46">
        <f t="shared" si="31"/>
        <v>-1483795</v>
      </c>
      <c r="AO181" s="46"/>
      <c r="AP181" s="46">
        <v>68640</v>
      </c>
      <c r="AQ181" s="46">
        <v>369490</v>
      </c>
      <c r="AR181" s="46">
        <f t="shared" si="32"/>
        <v>300850</v>
      </c>
      <c r="AS181" s="46"/>
      <c r="AT181" s="47">
        <v>0</v>
      </c>
      <c r="AU181" s="46">
        <v>12000</v>
      </c>
    </row>
    <row r="182" spans="1:47" x14ac:dyDescent="0.25">
      <c r="A182" s="35" t="s">
        <v>180</v>
      </c>
      <c r="B182" s="46">
        <v>308639.33</v>
      </c>
      <c r="C182" s="46">
        <v>47769.98</v>
      </c>
      <c r="D182" s="46">
        <f t="shared" si="22"/>
        <v>-260869.35</v>
      </c>
      <c r="E182" s="46"/>
      <c r="F182" s="46">
        <v>38639.33</v>
      </c>
      <c r="G182" s="46">
        <v>47769.98</v>
      </c>
      <c r="H182" s="46">
        <f t="shared" si="23"/>
        <v>9130.6500000000015</v>
      </c>
      <c r="I182" s="46"/>
      <c r="J182" s="46">
        <v>0</v>
      </c>
      <c r="K182" s="46">
        <v>38920</v>
      </c>
      <c r="L182" s="46">
        <f t="shared" si="24"/>
        <v>38920</v>
      </c>
      <c r="M182" s="46"/>
      <c r="N182" s="47">
        <v>0</v>
      </c>
      <c r="O182" s="47">
        <v>0</v>
      </c>
      <c r="P182" s="46">
        <f t="shared" si="25"/>
        <v>0</v>
      </c>
      <c r="Q182" s="46"/>
      <c r="R182" s="47">
        <v>0</v>
      </c>
      <c r="S182" s="47">
        <v>0</v>
      </c>
      <c r="T182" s="46">
        <f t="shared" si="26"/>
        <v>0</v>
      </c>
      <c r="U182" s="46"/>
      <c r="V182" s="47">
        <v>0</v>
      </c>
      <c r="W182" s="47">
        <v>0</v>
      </c>
      <c r="X182" s="46">
        <f t="shared" si="27"/>
        <v>0</v>
      </c>
      <c r="Y182" s="46"/>
      <c r="Z182" s="46">
        <v>36189.33</v>
      </c>
      <c r="AA182" s="46">
        <v>8016.65</v>
      </c>
      <c r="AB182" s="46">
        <f t="shared" si="28"/>
        <v>-28172.68</v>
      </c>
      <c r="AC182" s="46"/>
      <c r="AD182" s="47">
        <v>0</v>
      </c>
      <c r="AE182" s="47">
        <v>0</v>
      </c>
      <c r="AF182" s="46">
        <f t="shared" si="29"/>
        <v>0</v>
      </c>
      <c r="AG182" s="46"/>
      <c r="AH182" s="46">
        <v>2450</v>
      </c>
      <c r="AI182" s="46">
        <v>833.33</v>
      </c>
      <c r="AJ182" s="46">
        <f t="shared" si="30"/>
        <v>-1616.67</v>
      </c>
      <c r="AK182" s="46"/>
      <c r="AL182" s="47">
        <v>0</v>
      </c>
      <c r="AM182" s="47">
        <v>0</v>
      </c>
      <c r="AN182" s="46">
        <f t="shared" si="31"/>
        <v>0</v>
      </c>
      <c r="AO182" s="46"/>
      <c r="AP182" s="46">
        <v>270000</v>
      </c>
      <c r="AQ182" s="47">
        <v>0</v>
      </c>
      <c r="AR182" s="46">
        <f t="shared" si="32"/>
        <v>-270000</v>
      </c>
      <c r="AS182" s="46"/>
      <c r="AT182" s="47">
        <v>0</v>
      </c>
      <c r="AU182" s="47">
        <v>0</v>
      </c>
    </row>
    <row r="183" spans="1:47" ht="22.5" x14ac:dyDescent="0.25">
      <c r="A183" s="35" t="s">
        <v>181</v>
      </c>
      <c r="B183" s="46">
        <v>38307687.390000001</v>
      </c>
      <c r="C183" s="46">
        <v>36439187.880000003</v>
      </c>
      <c r="D183" s="46">
        <f t="shared" si="22"/>
        <v>-1868499.5099999979</v>
      </c>
      <c r="E183" s="46"/>
      <c r="F183" s="46">
        <v>31380571.940000001</v>
      </c>
      <c r="G183" s="46">
        <v>27522062.77</v>
      </c>
      <c r="H183" s="46">
        <f t="shared" si="23"/>
        <v>-3858509.1700000018</v>
      </c>
      <c r="I183" s="46"/>
      <c r="J183" s="46">
        <v>4263494.8</v>
      </c>
      <c r="K183" s="46">
        <v>3964825.63</v>
      </c>
      <c r="L183" s="46">
        <f t="shared" si="24"/>
        <v>-298669.16999999993</v>
      </c>
      <c r="M183" s="46"/>
      <c r="N183" s="46">
        <v>4408146.38</v>
      </c>
      <c r="O183" s="46">
        <v>3771258.61</v>
      </c>
      <c r="P183" s="46">
        <f t="shared" si="25"/>
        <v>-636887.77</v>
      </c>
      <c r="Q183" s="46"/>
      <c r="R183" s="46">
        <v>3821922</v>
      </c>
      <c r="S183" s="46">
        <v>3078506.29</v>
      </c>
      <c r="T183" s="46">
        <f t="shared" si="26"/>
        <v>-743415.71</v>
      </c>
      <c r="U183" s="46"/>
      <c r="V183" s="46">
        <v>4932037.9000000004</v>
      </c>
      <c r="W183" s="46">
        <v>4338574.7300000004</v>
      </c>
      <c r="X183" s="46">
        <f t="shared" si="27"/>
        <v>-593463.16999999993</v>
      </c>
      <c r="Y183" s="46"/>
      <c r="Z183" s="46">
        <v>4479055.63</v>
      </c>
      <c r="AA183" s="46">
        <v>3953059.03</v>
      </c>
      <c r="AB183" s="46">
        <f t="shared" si="28"/>
        <v>-525996.60000000009</v>
      </c>
      <c r="AC183" s="46"/>
      <c r="AD183" s="46">
        <v>5106625.93</v>
      </c>
      <c r="AE183" s="46">
        <v>4834174.51</v>
      </c>
      <c r="AF183" s="46">
        <f t="shared" si="29"/>
        <v>-272451.41999999993</v>
      </c>
      <c r="AG183" s="46"/>
      <c r="AH183" s="46">
        <v>4369289.3</v>
      </c>
      <c r="AI183" s="46">
        <v>3581663.97</v>
      </c>
      <c r="AJ183" s="46">
        <f t="shared" si="30"/>
        <v>-787625.32999999961</v>
      </c>
      <c r="AK183" s="46"/>
      <c r="AL183" s="46">
        <v>5844176.3300000001</v>
      </c>
      <c r="AM183" s="46">
        <v>5682042.1100000003</v>
      </c>
      <c r="AN183" s="46">
        <f t="shared" si="31"/>
        <v>-162134.21999999974</v>
      </c>
      <c r="AO183" s="46"/>
      <c r="AP183" s="46">
        <v>1082939.1200000001</v>
      </c>
      <c r="AQ183" s="46">
        <v>3235083</v>
      </c>
      <c r="AR183" s="46">
        <f t="shared" si="32"/>
        <v>2152143.88</v>
      </c>
      <c r="AS183" s="46"/>
      <c r="AT183" s="47">
        <v>0</v>
      </c>
      <c r="AU183" s="47">
        <v>0</v>
      </c>
    </row>
    <row r="184" spans="1:47" ht="22.5" x14ac:dyDescent="0.25">
      <c r="A184" s="38" t="s">
        <v>182</v>
      </c>
      <c r="B184" s="47">
        <v>0</v>
      </c>
      <c r="C184" s="47">
        <v>0</v>
      </c>
      <c r="D184" s="47">
        <f t="shared" si="22"/>
        <v>0</v>
      </c>
      <c r="E184" s="47"/>
      <c r="F184" s="47">
        <v>0</v>
      </c>
      <c r="G184" s="47">
        <v>0</v>
      </c>
      <c r="H184" s="47">
        <f t="shared" si="23"/>
        <v>0</v>
      </c>
      <c r="I184" s="47"/>
      <c r="J184" s="47">
        <v>0</v>
      </c>
      <c r="K184" s="47">
        <v>0</v>
      </c>
      <c r="L184" s="47">
        <f t="shared" si="24"/>
        <v>0</v>
      </c>
      <c r="M184" s="47"/>
      <c r="N184" s="47">
        <v>0</v>
      </c>
      <c r="O184" s="47">
        <v>0</v>
      </c>
      <c r="P184" s="47">
        <f t="shared" si="25"/>
        <v>0</v>
      </c>
      <c r="Q184" s="47"/>
      <c r="R184" s="47">
        <v>0</v>
      </c>
      <c r="S184" s="47">
        <v>0</v>
      </c>
      <c r="T184" s="47">
        <f t="shared" si="26"/>
        <v>0</v>
      </c>
      <c r="U184" s="47"/>
      <c r="V184" s="47">
        <v>0</v>
      </c>
      <c r="W184" s="47">
        <v>0</v>
      </c>
      <c r="X184" s="47">
        <f t="shared" si="27"/>
        <v>0</v>
      </c>
      <c r="Y184" s="47"/>
      <c r="Z184" s="47">
        <v>0</v>
      </c>
      <c r="AA184" s="47">
        <v>0</v>
      </c>
      <c r="AB184" s="47">
        <f t="shared" si="28"/>
        <v>0</v>
      </c>
      <c r="AC184" s="47"/>
      <c r="AD184" s="47">
        <v>0</v>
      </c>
      <c r="AE184" s="47">
        <v>0</v>
      </c>
      <c r="AF184" s="47">
        <f t="shared" si="29"/>
        <v>0</v>
      </c>
      <c r="AG184" s="47"/>
      <c r="AH184" s="47">
        <v>0</v>
      </c>
      <c r="AI184" s="47">
        <v>0</v>
      </c>
      <c r="AJ184" s="47">
        <f t="shared" si="30"/>
        <v>0</v>
      </c>
      <c r="AK184" s="47"/>
      <c r="AL184" s="47">
        <v>0</v>
      </c>
      <c r="AM184" s="47">
        <v>0</v>
      </c>
      <c r="AN184" s="47">
        <f t="shared" si="31"/>
        <v>0</v>
      </c>
      <c r="AO184" s="47"/>
      <c r="AP184" s="47">
        <v>0</v>
      </c>
      <c r="AQ184" s="47">
        <v>0</v>
      </c>
      <c r="AR184" s="47">
        <f t="shared" si="32"/>
        <v>0</v>
      </c>
      <c r="AS184" s="47"/>
      <c r="AT184" s="47">
        <v>0</v>
      </c>
      <c r="AU184" s="47">
        <v>0</v>
      </c>
    </row>
    <row r="185" spans="1:47" x14ac:dyDescent="0.25">
      <c r="A185" s="38" t="s">
        <v>183</v>
      </c>
      <c r="B185" s="46">
        <v>25354419.07</v>
      </c>
      <c r="C185" s="46">
        <v>39896946.780000001</v>
      </c>
      <c r="D185" s="46">
        <f t="shared" si="22"/>
        <v>14542527.710000001</v>
      </c>
      <c r="E185" s="46"/>
      <c r="F185" s="46">
        <v>22772234.649999999</v>
      </c>
      <c r="G185" s="46">
        <v>14603422.720000001</v>
      </c>
      <c r="H185" s="46">
        <f t="shared" si="23"/>
        <v>-8168811.9299999978</v>
      </c>
      <c r="I185" s="46"/>
      <c r="J185" s="46">
        <v>274165.32</v>
      </c>
      <c r="K185" s="46">
        <v>1133222.04</v>
      </c>
      <c r="L185" s="46">
        <f t="shared" si="24"/>
        <v>859056.72</v>
      </c>
      <c r="M185" s="46"/>
      <c r="N185" s="46">
        <v>18381895.510000002</v>
      </c>
      <c r="O185" s="46">
        <v>10883137.640000001</v>
      </c>
      <c r="P185" s="46">
        <f t="shared" si="25"/>
        <v>-7498757.870000001</v>
      </c>
      <c r="Q185" s="46"/>
      <c r="R185" s="46">
        <v>3959820</v>
      </c>
      <c r="S185" s="46">
        <v>2300763.5099999998</v>
      </c>
      <c r="T185" s="46">
        <f t="shared" si="26"/>
        <v>-1659056.4900000002</v>
      </c>
      <c r="U185" s="46"/>
      <c r="V185" s="46">
        <v>79954.399999999994</v>
      </c>
      <c r="W185" s="46">
        <v>54752.9</v>
      </c>
      <c r="X185" s="46">
        <f t="shared" si="27"/>
        <v>-25201.499999999993</v>
      </c>
      <c r="Y185" s="46"/>
      <c r="Z185" s="46">
        <v>49134.46</v>
      </c>
      <c r="AA185" s="46">
        <v>168143.81</v>
      </c>
      <c r="AB185" s="46">
        <f t="shared" si="28"/>
        <v>119009.35</v>
      </c>
      <c r="AC185" s="46"/>
      <c r="AD185" s="46">
        <v>27264.959999999999</v>
      </c>
      <c r="AE185" s="46">
        <v>63402.82</v>
      </c>
      <c r="AF185" s="46">
        <f t="shared" si="29"/>
        <v>36137.86</v>
      </c>
      <c r="AG185" s="46"/>
      <c r="AH185" s="47">
        <v>0</v>
      </c>
      <c r="AI185" s="47">
        <v>0</v>
      </c>
      <c r="AJ185" s="46">
        <f t="shared" si="30"/>
        <v>0</v>
      </c>
      <c r="AK185" s="46"/>
      <c r="AL185" s="47">
        <v>0</v>
      </c>
      <c r="AM185" s="46">
        <v>8471.0499999999993</v>
      </c>
      <c r="AN185" s="46">
        <f t="shared" si="31"/>
        <v>8471.0499999999993</v>
      </c>
      <c r="AO185" s="46"/>
      <c r="AP185" s="46">
        <v>1442184.42</v>
      </c>
      <c r="AQ185" s="46">
        <v>1599429.31</v>
      </c>
      <c r="AR185" s="46">
        <f t="shared" si="32"/>
        <v>157244.89000000013</v>
      </c>
      <c r="AS185" s="46"/>
      <c r="AT185" s="46">
        <v>1140000</v>
      </c>
      <c r="AU185" s="46">
        <v>23685623.699999999</v>
      </c>
    </row>
    <row r="186" spans="1:47" ht="22.5" x14ac:dyDescent="0.25">
      <c r="A186" s="38" t="s">
        <v>184</v>
      </c>
      <c r="B186" s="46">
        <v>23530165.66</v>
      </c>
      <c r="C186" s="46">
        <v>37945377.539999999</v>
      </c>
      <c r="D186" s="46">
        <f t="shared" si="22"/>
        <v>14415211.879999999</v>
      </c>
      <c r="E186" s="46"/>
      <c r="F186" s="46">
        <v>11719953.4</v>
      </c>
      <c r="G186" s="46">
        <v>16287210.699999999</v>
      </c>
      <c r="H186" s="46">
        <f t="shared" si="23"/>
        <v>4567257.2999999989</v>
      </c>
      <c r="I186" s="46"/>
      <c r="J186" s="46">
        <v>1686046.69</v>
      </c>
      <c r="K186" s="46">
        <v>1493779.98</v>
      </c>
      <c r="L186" s="46">
        <f t="shared" si="24"/>
        <v>-192266.70999999996</v>
      </c>
      <c r="M186" s="46"/>
      <c r="N186" s="46">
        <v>4878988.0199999996</v>
      </c>
      <c r="O186" s="46">
        <v>7428913.21</v>
      </c>
      <c r="P186" s="46">
        <f t="shared" si="25"/>
        <v>2549925.1900000004</v>
      </c>
      <c r="Q186" s="46"/>
      <c r="R186" s="46">
        <v>330190.99</v>
      </c>
      <c r="S186" s="46">
        <v>298381.61</v>
      </c>
      <c r="T186" s="46">
        <f t="shared" si="26"/>
        <v>-31809.380000000005</v>
      </c>
      <c r="U186" s="46"/>
      <c r="V186" s="46">
        <v>761111.01</v>
      </c>
      <c r="W186" s="46">
        <v>391883.94</v>
      </c>
      <c r="X186" s="46">
        <f t="shared" si="27"/>
        <v>-369227.07</v>
      </c>
      <c r="Y186" s="46"/>
      <c r="Z186" s="46">
        <v>2512125.13</v>
      </c>
      <c r="AA186" s="46">
        <v>3090533.47</v>
      </c>
      <c r="AB186" s="46">
        <f t="shared" si="28"/>
        <v>578408.34000000032</v>
      </c>
      <c r="AC186" s="46"/>
      <c r="AD186" s="46">
        <v>733954.28</v>
      </c>
      <c r="AE186" s="46">
        <v>2617785.71</v>
      </c>
      <c r="AF186" s="46">
        <f t="shared" si="29"/>
        <v>1883831.43</v>
      </c>
      <c r="AG186" s="46"/>
      <c r="AH186" s="46">
        <v>817537.28</v>
      </c>
      <c r="AI186" s="46">
        <v>965932.78</v>
      </c>
      <c r="AJ186" s="46">
        <f t="shared" si="30"/>
        <v>148395.5</v>
      </c>
      <c r="AK186" s="46"/>
      <c r="AL186" s="46">
        <v>1442731.95</v>
      </c>
      <c r="AM186" s="46">
        <v>-1541240.98</v>
      </c>
      <c r="AN186" s="46">
        <f t="shared" si="31"/>
        <v>-2983972.9299999997</v>
      </c>
      <c r="AO186" s="46"/>
      <c r="AP186" s="46">
        <v>10367480.310000001</v>
      </c>
      <c r="AQ186" s="46">
        <v>23115067.739999998</v>
      </c>
      <c r="AR186" s="46">
        <f t="shared" si="32"/>
        <v>12747587.429999998</v>
      </c>
      <c r="AS186" s="46"/>
      <c r="AT186" s="47">
        <v>0</v>
      </c>
      <c r="AU186" s="46">
        <v>83990.080000000002</v>
      </c>
    </row>
    <row r="187" spans="1:47" x14ac:dyDescent="0.25">
      <c r="A187" s="33" t="s">
        <v>185</v>
      </c>
      <c r="B187" s="44">
        <v>366730898.49000001</v>
      </c>
      <c r="C187" s="44">
        <v>284726685.68000001</v>
      </c>
      <c r="D187" s="44">
        <f t="shared" si="22"/>
        <v>-82004212.810000002</v>
      </c>
      <c r="E187" s="44"/>
      <c r="F187" s="44">
        <v>197192952.05000001</v>
      </c>
      <c r="G187" s="44">
        <v>166009619.74000001</v>
      </c>
      <c r="H187" s="44">
        <f t="shared" si="23"/>
        <v>-31183332.310000002</v>
      </c>
      <c r="I187" s="44"/>
      <c r="J187" s="44">
        <v>27668405.489999998</v>
      </c>
      <c r="K187" s="44">
        <v>24105083.59</v>
      </c>
      <c r="L187" s="44">
        <f t="shared" si="24"/>
        <v>-3563321.8999999985</v>
      </c>
      <c r="M187" s="44"/>
      <c r="N187" s="44">
        <v>48574603.469999999</v>
      </c>
      <c r="O187" s="44">
        <v>41020461.030000001</v>
      </c>
      <c r="P187" s="44">
        <f t="shared" si="25"/>
        <v>-7554142.4399999976</v>
      </c>
      <c r="Q187" s="44"/>
      <c r="R187" s="44">
        <v>20394359.050000001</v>
      </c>
      <c r="S187" s="44">
        <v>15486637.710000001</v>
      </c>
      <c r="T187" s="44">
        <f t="shared" si="26"/>
        <v>-4907721.34</v>
      </c>
      <c r="U187" s="44"/>
      <c r="V187" s="44">
        <v>26627334.359999999</v>
      </c>
      <c r="W187" s="44">
        <v>20038533.149999999</v>
      </c>
      <c r="X187" s="44">
        <f t="shared" si="27"/>
        <v>-6588801.2100000009</v>
      </c>
      <c r="Y187" s="44"/>
      <c r="Z187" s="44">
        <v>28795848.18</v>
      </c>
      <c r="AA187" s="44">
        <v>25439114.5</v>
      </c>
      <c r="AB187" s="44">
        <f t="shared" si="28"/>
        <v>-3356733.6799999997</v>
      </c>
      <c r="AC187" s="44"/>
      <c r="AD187" s="44">
        <v>26173162.59</v>
      </c>
      <c r="AE187" s="44">
        <v>21930098.719999999</v>
      </c>
      <c r="AF187" s="44">
        <f t="shared" si="29"/>
        <v>-4243063.870000001</v>
      </c>
      <c r="AG187" s="44"/>
      <c r="AH187" s="44">
        <v>18959238.91</v>
      </c>
      <c r="AI187" s="44">
        <v>17989691.039999999</v>
      </c>
      <c r="AJ187" s="44">
        <f t="shared" si="30"/>
        <v>-969547.87000000104</v>
      </c>
      <c r="AK187" s="44"/>
      <c r="AL187" s="44">
        <v>36726496.380000003</v>
      </c>
      <c r="AM187" s="44">
        <v>38509790.130000003</v>
      </c>
      <c r="AN187" s="44">
        <f t="shared" si="31"/>
        <v>1783293.75</v>
      </c>
      <c r="AO187" s="44"/>
      <c r="AP187" s="44">
        <v>36412774.759999998</v>
      </c>
      <c r="AQ187" s="44">
        <v>27377439.260000002</v>
      </c>
      <c r="AR187" s="44">
        <f t="shared" si="32"/>
        <v>-9035335.4999999963</v>
      </c>
      <c r="AS187" s="44"/>
      <c r="AT187" s="44">
        <v>96398675.299999997</v>
      </c>
      <c r="AU187" s="44">
        <v>52829836.549999997</v>
      </c>
    </row>
    <row r="188" spans="1:47" x14ac:dyDescent="0.25">
      <c r="A188" s="38" t="s">
        <v>186</v>
      </c>
      <c r="B188" s="46">
        <v>9018137.3599999994</v>
      </c>
      <c r="C188" s="46">
        <v>8616171.8599999994</v>
      </c>
      <c r="D188" s="46">
        <f t="shared" si="22"/>
        <v>-401965.5</v>
      </c>
      <c r="E188" s="46"/>
      <c r="F188" s="47">
        <v>0</v>
      </c>
      <c r="G188" s="47">
        <v>0</v>
      </c>
      <c r="H188" s="46">
        <f t="shared" si="23"/>
        <v>0</v>
      </c>
      <c r="I188" s="46"/>
      <c r="J188" s="47">
        <v>0</v>
      </c>
      <c r="K188" s="47">
        <v>0</v>
      </c>
      <c r="L188" s="46">
        <f t="shared" si="24"/>
        <v>0</v>
      </c>
      <c r="M188" s="46"/>
      <c r="N188" s="47">
        <v>0</v>
      </c>
      <c r="O188" s="47">
        <v>0</v>
      </c>
      <c r="P188" s="46">
        <f t="shared" si="25"/>
        <v>0</v>
      </c>
      <c r="Q188" s="46"/>
      <c r="R188" s="47">
        <v>0</v>
      </c>
      <c r="S188" s="47">
        <v>0</v>
      </c>
      <c r="T188" s="46">
        <f t="shared" si="26"/>
        <v>0</v>
      </c>
      <c r="U188" s="46"/>
      <c r="V188" s="47">
        <v>0</v>
      </c>
      <c r="W188" s="47">
        <v>0</v>
      </c>
      <c r="X188" s="46">
        <f t="shared" si="27"/>
        <v>0</v>
      </c>
      <c r="Y188" s="46"/>
      <c r="Z188" s="47">
        <v>0</v>
      </c>
      <c r="AA188" s="47">
        <v>0</v>
      </c>
      <c r="AB188" s="46">
        <f t="shared" si="28"/>
        <v>0</v>
      </c>
      <c r="AC188" s="46"/>
      <c r="AD188" s="47">
        <v>0</v>
      </c>
      <c r="AE188" s="47">
        <v>0</v>
      </c>
      <c r="AF188" s="46">
        <f t="shared" si="29"/>
        <v>0</v>
      </c>
      <c r="AG188" s="46"/>
      <c r="AH188" s="47">
        <v>0</v>
      </c>
      <c r="AI188" s="47">
        <v>0</v>
      </c>
      <c r="AJ188" s="46">
        <f t="shared" si="30"/>
        <v>0</v>
      </c>
      <c r="AK188" s="46"/>
      <c r="AL188" s="46">
        <v>9018137.3599999994</v>
      </c>
      <c r="AM188" s="46">
        <v>8499651.3300000001</v>
      </c>
      <c r="AN188" s="46">
        <f t="shared" si="31"/>
        <v>-518486.02999999933</v>
      </c>
      <c r="AO188" s="46"/>
      <c r="AP188" s="47">
        <v>0</v>
      </c>
      <c r="AQ188" s="47">
        <v>0</v>
      </c>
      <c r="AR188" s="46">
        <f t="shared" si="32"/>
        <v>0</v>
      </c>
      <c r="AS188" s="46"/>
      <c r="AT188" s="47">
        <v>0</v>
      </c>
      <c r="AU188" s="46">
        <v>116520.53</v>
      </c>
    </row>
    <row r="189" spans="1:47" x14ac:dyDescent="0.25">
      <c r="A189" s="38" t="s">
        <v>172</v>
      </c>
      <c r="B189" s="46">
        <v>2229927.1800000002</v>
      </c>
      <c r="C189" s="46">
        <v>852935.5</v>
      </c>
      <c r="D189" s="46">
        <f t="shared" si="22"/>
        <v>-1376991.6800000002</v>
      </c>
      <c r="E189" s="46"/>
      <c r="F189" s="46">
        <v>1204927.18</v>
      </c>
      <c r="G189" s="46">
        <v>816517.5</v>
      </c>
      <c r="H189" s="46">
        <f t="shared" si="23"/>
        <v>-388409.67999999993</v>
      </c>
      <c r="I189" s="46"/>
      <c r="J189" s="46">
        <v>33453.83</v>
      </c>
      <c r="K189" s="46">
        <v>22253.83</v>
      </c>
      <c r="L189" s="46">
        <f t="shared" si="24"/>
        <v>-11200</v>
      </c>
      <c r="M189" s="46"/>
      <c r="N189" s="46">
        <v>429958.35</v>
      </c>
      <c r="O189" s="46">
        <v>136532.69</v>
      </c>
      <c r="P189" s="46">
        <f t="shared" si="25"/>
        <v>-293425.65999999997</v>
      </c>
      <c r="Q189" s="46"/>
      <c r="R189" s="46">
        <v>235574</v>
      </c>
      <c r="S189" s="46">
        <v>126493.18</v>
      </c>
      <c r="T189" s="46">
        <f t="shared" si="26"/>
        <v>-109080.82</v>
      </c>
      <c r="U189" s="46"/>
      <c r="V189" s="46">
        <v>199500</v>
      </c>
      <c r="W189" s="46">
        <v>5499</v>
      </c>
      <c r="X189" s="46">
        <f t="shared" si="27"/>
        <v>-194001</v>
      </c>
      <c r="Y189" s="46"/>
      <c r="Z189" s="46">
        <v>197560</v>
      </c>
      <c r="AA189" s="46">
        <v>1400</v>
      </c>
      <c r="AB189" s="46">
        <f t="shared" si="28"/>
        <v>-196160</v>
      </c>
      <c r="AC189" s="46"/>
      <c r="AD189" s="46">
        <v>13281</v>
      </c>
      <c r="AE189" s="46">
        <v>118121.95</v>
      </c>
      <c r="AF189" s="46">
        <f t="shared" si="29"/>
        <v>104840.95</v>
      </c>
      <c r="AG189" s="46"/>
      <c r="AH189" s="46">
        <v>95600</v>
      </c>
      <c r="AI189" s="46">
        <v>406216.85</v>
      </c>
      <c r="AJ189" s="46">
        <f t="shared" si="30"/>
        <v>310616.84999999998</v>
      </c>
      <c r="AK189" s="46"/>
      <c r="AL189" s="47">
        <v>0</v>
      </c>
      <c r="AM189" s="46">
        <v>34218</v>
      </c>
      <c r="AN189" s="46">
        <f t="shared" si="31"/>
        <v>34218</v>
      </c>
      <c r="AO189" s="46"/>
      <c r="AP189" s="46">
        <v>225000</v>
      </c>
      <c r="AQ189" s="47">
        <v>0</v>
      </c>
      <c r="AR189" s="46">
        <f t="shared" si="32"/>
        <v>-225000</v>
      </c>
      <c r="AS189" s="46"/>
      <c r="AT189" s="46">
        <v>800000</v>
      </c>
      <c r="AU189" s="46">
        <v>2200</v>
      </c>
    </row>
    <row r="190" spans="1:47" x14ac:dyDescent="0.25">
      <c r="A190" s="34" t="s">
        <v>173</v>
      </c>
      <c r="B190" s="44">
        <v>326787720.97000003</v>
      </c>
      <c r="C190" s="44">
        <v>264734415.80000001</v>
      </c>
      <c r="D190" s="44">
        <f t="shared" si="22"/>
        <v>-62053305.170000017</v>
      </c>
      <c r="E190" s="44"/>
      <c r="F190" s="44">
        <v>192451333.88</v>
      </c>
      <c r="G190" s="44">
        <v>163339249.88</v>
      </c>
      <c r="H190" s="44">
        <f t="shared" si="23"/>
        <v>-29112084</v>
      </c>
      <c r="I190" s="44"/>
      <c r="J190" s="44">
        <v>27278191.039999999</v>
      </c>
      <c r="K190" s="44">
        <v>23755355.969999999</v>
      </c>
      <c r="L190" s="44">
        <f t="shared" si="24"/>
        <v>-3522835.0700000003</v>
      </c>
      <c r="M190" s="44"/>
      <c r="N190" s="44">
        <v>46568427.82</v>
      </c>
      <c r="O190" s="44">
        <v>40071333.390000001</v>
      </c>
      <c r="P190" s="44">
        <f t="shared" si="25"/>
        <v>-6497094.4299999997</v>
      </c>
      <c r="Q190" s="44"/>
      <c r="R190" s="44">
        <v>19842083.32</v>
      </c>
      <c r="S190" s="44">
        <v>15238542.09</v>
      </c>
      <c r="T190" s="44">
        <f t="shared" si="26"/>
        <v>-4603541.2300000004</v>
      </c>
      <c r="U190" s="44"/>
      <c r="V190" s="44">
        <v>25607791.109999999</v>
      </c>
      <c r="W190" s="44">
        <v>19811895.649999999</v>
      </c>
      <c r="X190" s="44">
        <f t="shared" si="27"/>
        <v>-5795895.4600000009</v>
      </c>
      <c r="Y190" s="44"/>
      <c r="Z190" s="44">
        <v>28319071.440000001</v>
      </c>
      <c r="AA190" s="44">
        <v>25260515.16</v>
      </c>
      <c r="AB190" s="44">
        <f t="shared" si="28"/>
        <v>-3058556.2800000012</v>
      </c>
      <c r="AC190" s="44"/>
      <c r="AD190" s="44">
        <v>26134955</v>
      </c>
      <c r="AE190" s="44">
        <v>21713109.879999999</v>
      </c>
      <c r="AF190" s="44">
        <f t="shared" si="29"/>
        <v>-4421845.120000001</v>
      </c>
      <c r="AG190" s="44"/>
      <c r="AH190" s="44">
        <v>18700814.149999999</v>
      </c>
      <c r="AI190" s="44">
        <v>17488497.739999998</v>
      </c>
      <c r="AJ190" s="44">
        <f t="shared" si="30"/>
        <v>-1212316.4100000001</v>
      </c>
      <c r="AK190" s="44"/>
      <c r="AL190" s="44">
        <v>27693862.77</v>
      </c>
      <c r="AM190" s="44">
        <v>29922770.550000001</v>
      </c>
      <c r="AN190" s="44">
        <f t="shared" si="31"/>
        <v>2228907.7800000012</v>
      </c>
      <c r="AO190" s="44"/>
      <c r="AP190" s="44">
        <v>32712219.129999999</v>
      </c>
      <c r="AQ190" s="44">
        <v>25819510.739999998</v>
      </c>
      <c r="AR190" s="44">
        <f t="shared" si="32"/>
        <v>-6892708.3900000006</v>
      </c>
      <c r="AS190" s="44"/>
      <c r="AT190" s="44">
        <v>73930305.189999998</v>
      </c>
      <c r="AU190" s="44">
        <v>45652884.630000003</v>
      </c>
    </row>
    <row r="191" spans="1:47" x14ac:dyDescent="0.25">
      <c r="A191" s="35" t="s">
        <v>174</v>
      </c>
      <c r="B191" s="46">
        <v>229285331.65000001</v>
      </c>
      <c r="C191" s="46">
        <v>185577126.47</v>
      </c>
      <c r="D191" s="46">
        <f t="shared" si="22"/>
        <v>-43708205.180000007</v>
      </c>
      <c r="E191" s="46"/>
      <c r="F191" s="46">
        <v>133559918.53</v>
      </c>
      <c r="G191" s="46">
        <v>112789242.28</v>
      </c>
      <c r="H191" s="46">
        <f t="shared" si="23"/>
        <v>-20770676.25</v>
      </c>
      <c r="I191" s="46"/>
      <c r="J191" s="46">
        <v>19152126.77</v>
      </c>
      <c r="K191" s="46">
        <v>16624012.189999999</v>
      </c>
      <c r="L191" s="46">
        <f t="shared" si="24"/>
        <v>-2528114.58</v>
      </c>
      <c r="M191" s="46"/>
      <c r="N191" s="46">
        <v>32456806.329999998</v>
      </c>
      <c r="O191" s="46">
        <v>27672587.289999999</v>
      </c>
      <c r="P191" s="46">
        <f t="shared" si="25"/>
        <v>-4784219.0399999991</v>
      </c>
      <c r="Q191" s="46"/>
      <c r="R191" s="46">
        <v>13844315.310000001</v>
      </c>
      <c r="S191" s="46">
        <v>10538467.279999999</v>
      </c>
      <c r="T191" s="46">
        <f t="shared" si="26"/>
        <v>-3305848.0300000012</v>
      </c>
      <c r="U191" s="46"/>
      <c r="V191" s="46">
        <v>17874766.960000001</v>
      </c>
      <c r="W191" s="46">
        <v>13810968.640000001</v>
      </c>
      <c r="X191" s="46">
        <f t="shared" si="27"/>
        <v>-4063798.3200000003</v>
      </c>
      <c r="Y191" s="46"/>
      <c r="Z191" s="46">
        <v>19764236.079999998</v>
      </c>
      <c r="AA191" s="46">
        <v>17579642.620000001</v>
      </c>
      <c r="AB191" s="46">
        <f t="shared" si="28"/>
        <v>-2184593.4599999972</v>
      </c>
      <c r="AC191" s="46"/>
      <c r="AD191" s="46">
        <v>18232354.649999999</v>
      </c>
      <c r="AE191" s="46">
        <v>15061120.539999999</v>
      </c>
      <c r="AF191" s="46">
        <f t="shared" si="29"/>
        <v>-3171234.1099999994</v>
      </c>
      <c r="AG191" s="46"/>
      <c r="AH191" s="46">
        <v>12235312.43</v>
      </c>
      <c r="AI191" s="46">
        <v>11502443.720000001</v>
      </c>
      <c r="AJ191" s="46">
        <f t="shared" si="30"/>
        <v>-732868.70999999903</v>
      </c>
      <c r="AK191" s="46"/>
      <c r="AL191" s="46">
        <v>19506564.469999999</v>
      </c>
      <c r="AM191" s="46">
        <v>21625690.91</v>
      </c>
      <c r="AN191" s="46">
        <f t="shared" si="31"/>
        <v>2119126.4400000013</v>
      </c>
      <c r="AO191" s="46"/>
      <c r="AP191" s="46">
        <v>22923729.559999999</v>
      </c>
      <c r="AQ191" s="46">
        <v>18411568.460000001</v>
      </c>
      <c r="AR191" s="46">
        <f t="shared" si="32"/>
        <v>-4512161.0999999978</v>
      </c>
      <c r="AS191" s="46"/>
      <c r="AT191" s="46">
        <v>53295119.090000004</v>
      </c>
      <c r="AU191" s="46">
        <v>32750624.82</v>
      </c>
    </row>
    <row r="192" spans="1:47" x14ac:dyDescent="0.25">
      <c r="A192" s="35" t="s">
        <v>175</v>
      </c>
      <c r="B192" s="46">
        <v>73612465.739999995</v>
      </c>
      <c r="C192" s="46">
        <v>59999277.939999998</v>
      </c>
      <c r="D192" s="46">
        <f t="shared" si="22"/>
        <v>-13613187.799999997</v>
      </c>
      <c r="E192" s="46"/>
      <c r="F192" s="46">
        <v>43883046.670000002</v>
      </c>
      <c r="G192" s="46">
        <v>37660507.82</v>
      </c>
      <c r="H192" s="46">
        <f t="shared" si="23"/>
        <v>-6222538.8500000015</v>
      </c>
      <c r="I192" s="46"/>
      <c r="J192" s="46">
        <v>6147819.54</v>
      </c>
      <c r="K192" s="46">
        <v>5428103.8200000003</v>
      </c>
      <c r="L192" s="46">
        <f t="shared" si="24"/>
        <v>-719715.71999999974</v>
      </c>
      <c r="M192" s="46"/>
      <c r="N192" s="46">
        <v>10692179.720000001</v>
      </c>
      <c r="O192" s="46">
        <v>9179093.5500000007</v>
      </c>
      <c r="P192" s="46">
        <f t="shared" si="25"/>
        <v>-1513086.17</v>
      </c>
      <c r="Q192" s="46"/>
      <c r="R192" s="46">
        <v>4481819.91</v>
      </c>
      <c r="S192" s="46">
        <v>3498867</v>
      </c>
      <c r="T192" s="46">
        <f t="shared" si="26"/>
        <v>-982952.91000000015</v>
      </c>
      <c r="U192" s="46"/>
      <c r="V192" s="46">
        <v>5880293.6399999997</v>
      </c>
      <c r="W192" s="46">
        <v>4585043</v>
      </c>
      <c r="X192" s="46">
        <f t="shared" si="27"/>
        <v>-1295250.6399999997</v>
      </c>
      <c r="Y192" s="46"/>
      <c r="Z192" s="46">
        <v>6512618.3200000003</v>
      </c>
      <c r="AA192" s="46">
        <v>5939073.7599999998</v>
      </c>
      <c r="AB192" s="46">
        <f t="shared" si="28"/>
        <v>-573544.56000000052</v>
      </c>
      <c r="AC192" s="46"/>
      <c r="AD192" s="46">
        <v>5986464.8200000003</v>
      </c>
      <c r="AE192" s="46">
        <v>5014387.62</v>
      </c>
      <c r="AF192" s="46">
        <f t="shared" si="29"/>
        <v>-972077.20000000019</v>
      </c>
      <c r="AG192" s="46"/>
      <c r="AH192" s="46">
        <v>4181850.72</v>
      </c>
      <c r="AI192" s="46">
        <v>4015939.07</v>
      </c>
      <c r="AJ192" s="46">
        <f t="shared" si="30"/>
        <v>-165911.65000000037</v>
      </c>
      <c r="AK192" s="46"/>
      <c r="AL192" s="46">
        <v>6243128.7300000004</v>
      </c>
      <c r="AM192" s="46">
        <v>6470935.5</v>
      </c>
      <c r="AN192" s="46">
        <f t="shared" si="31"/>
        <v>227806.76999999955</v>
      </c>
      <c r="AO192" s="46"/>
      <c r="AP192" s="46">
        <v>7556448.9299999997</v>
      </c>
      <c r="AQ192" s="46">
        <v>5752998.5300000003</v>
      </c>
      <c r="AR192" s="46">
        <f t="shared" si="32"/>
        <v>-1803450.3999999994</v>
      </c>
      <c r="AS192" s="46"/>
      <c r="AT192" s="46">
        <v>15929841.41</v>
      </c>
      <c r="AU192" s="46">
        <v>10114836.09</v>
      </c>
    </row>
    <row r="193" spans="1:47" x14ac:dyDescent="0.25">
      <c r="A193" s="35" t="s">
        <v>176</v>
      </c>
      <c r="B193" s="46">
        <v>23470957.68</v>
      </c>
      <c r="C193" s="46">
        <v>18908418.25</v>
      </c>
      <c r="D193" s="46">
        <f t="shared" si="22"/>
        <v>-4562539.43</v>
      </c>
      <c r="E193" s="46"/>
      <c r="F193" s="46">
        <v>14589402.779999999</v>
      </c>
      <c r="G193" s="46">
        <v>12639906.640000001</v>
      </c>
      <c r="H193" s="46">
        <f t="shared" si="23"/>
        <v>-1949496.1399999987</v>
      </c>
      <c r="I193" s="46"/>
      <c r="J193" s="46">
        <v>1978244.73</v>
      </c>
      <c r="K193" s="46">
        <v>1703239.96</v>
      </c>
      <c r="L193" s="46">
        <f t="shared" si="24"/>
        <v>-275004.77</v>
      </c>
      <c r="M193" s="46"/>
      <c r="N193" s="46">
        <v>3374441.77</v>
      </c>
      <c r="O193" s="46">
        <v>3194489.31</v>
      </c>
      <c r="P193" s="46">
        <f t="shared" si="25"/>
        <v>-179952.45999999996</v>
      </c>
      <c r="Q193" s="46"/>
      <c r="R193" s="46">
        <v>1515948.1</v>
      </c>
      <c r="S193" s="46">
        <v>1201207.81</v>
      </c>
      <c r="T193" s="46">
        <f t="shared" si="26"/>
        <v>-314740.29000000004</v>
      </c>
      <c r="U193" s="46"/>
      <c r="V193" s="46">
        <v>1852730.51</v>
      </c>
      <c r="W193" s="46">
        <v>1415884.01</v>
      </c>
      <c r="X193" s="46">
        <f t="shared" si="27"/>
        <v>-436846.5</v>
      </c>
      <c r="Y193" s="46"/>
      <c r="Z193" s="46">
        <v>2042217.04</v>
      </c>
      <c r="AA193" s="46">
        <v>1741798.78</v>
      </c>
      <c r="AB193" s="46">
        <f t="shared" si="28"/>
        <v>-300418.26</v>
      </c>
      <c r="AC193" s="46"/>
      <c r="AD193" s="46">
        <v>1916135.53</v>
      </c>
      <c r="AE193" s="46">
        <v>1637601.72</v>
      </c>
      <c r="AF193" s="46">
        <f t="shared" si="29"/>
        <v>-278533.81000000006</v>
      </c>
      <c r="AG193" s="46"/>
      <c r="AH193" s="46">
        <v>1909685.1</v>
      </c>
      <c r="AI193" s="46">
        <v>1745685.05</v>
      </c>
      <c r="AJ193" s="46">
        <f t="shared" si="30"/>
        <v>-164000.05000000005</v>
      </c>
      <c r="AK193" s="46"/>
      <c r="AL193" s="46">
        <v>1944169.57</v>
      </c>
      <c r="AM193" s="46">
        <v>1826144.14</v>
      </c>
      <c r="AN193" s="46">
        <f t="shared" si="31"/>
        <v>-118025.43000000017</v>
      </c>
      <c r="AO193" s="46"/>
      <c r="AP193" s="46">
        <v>2232040.64</v>
      </c>
      <c r="AQ193" s="46">
        <v>1654943.75</v>
      </c>
      <c r="AR193" s="46">
        <f t="shared" si="32"/>
        <v>-577096.89000000013</v>
      </c>
      <c r="AS193" s="46"/>
      <c r="AT193" s="46">
        <v>4705344.6900000004</v>
      </c>
      <c r="AU193" s="46">
        <v>2787423.72</v>
      </c>
    </row>
    <row r="194" spans="1:47" x14ac:dyDescent="0.25">
      <c r="A194" s="35" t="s">
        <v>177</v>
      </c>
      <c r="B194" s="46">
        <v>418965.9</v>
      </c>
      <c r="C194" s="46">
        <v>249593.14</v>
      </c>
      <c r="D194" s="46">
        <f t="shared" si="22"/>
        <v>-169372.76</v>
      </c>
      <c r="E194" s="46"/>
      <c r="F194" s="46">
        <v>418965.9</v>
      </c>
      <c r="G194" s="46">
        <v>249593.14</v>
      </c>
      <c r="H194" s="46">
        <f t="shared" si="23"/>
        <v>-169372.76</v>
      </c>
      <c r="I194" s="46"/>
      <c r="J194" s="47">
        <v>0</v>
      </c>
      <c r="K194" s="47">
        <v>0</v>
      </c>
      <c r="L194" s="46">
        <f t="shared" si="24"/>
        <v>0</v>
      </c>
      <c r="M194" s="46"/>
      <c r="N194" s="46">
        <v>45000</v>
      </c>
      <c r="O194" s="46">
        <v>25163.24</v>
      </c>
      <c r="P194" s="46">
        <f t="shared" si="25"/>
        <v>-19836.759999999998</v>
      </c>
      <c r="Q194" s="46"/>
      <c r="R194" s="47">
        <v>0</v>
      </c>
      <c r="S194" s="47">
        <v>0</v>
      </c>
      <c r="T194" s="46">
        <f t="shared" si="26"/>
        <v>0</v>
      </c>
      <c r="U194" s="46"/>
      <c r="V194" s="47">
        <v>0</v>
      </c>
      <c r="W194" s="47">
        <v>0</v>
      </c>
      <c r="X194" s="46">
        <f t="shared" si="27"/>
        <v>0</v>
      </c>
      <c r="Y194" s="46"/>
      <c r="Z194" s="47">
        <v>0</v>
      </c>
      <c r="AA194" s="47">
        <v>0</v>
      </c>
      <c r="AB194" s="46">
        <f t="shared" si="28"/>
        <v>0</v>
      </c>
      <c r="AC194" s="46"/>
      <c r="AD194" s="47">
        <v>0</v>
      </c>
      <c r="AE194" s="47">
        <v>0</v>
      </c>
      <c r="AF194" s="46">
        <f t="shared" si="29"/>
        <v>0</v>
      </c>
      <c r="AG194" s="46"/>
      <c r="AH194" s="46">
        <v>373965.9</v>
      </c>
      <c r="AI194" s="46">
        <v>224429.9</v>
      </c>
      <c r="AJ194" s="46">
        <f t="shared" si="30"/>
        <v>-149536.00000000003</v>
      </c>
      <c r="AK194" s="46"/>
      <c r="AL194" s="47">
        <v>0</v>
      </c>
      <c r="AM194" s="47">
        <v>0</v>
      </c>
      <c r="AN194" s="46">
        <f t="shared" si="31"/>
        <v>0</v>
      </c>
      <c r="AO194" s="46"/>
      <c r="AP194" s="47">
        <v>0</v>
      </c>
      <c r="AQ194" s="47">
        <v>0</v>
      </c>
      <c r="AR194" s="46">
        <f t="shared" si="32"/>
        <v>0</v>
      </c>
      <c r="AS194" s="46"/>
      <c r="AT194" s="47">
        <v>0</v>
      </c>
      <c r="AU194" s="47">
        <v>0</v>
      </c>
    </row>
    <row r="195" spans="1:47" x14ac:dyDescent="0.25">
      <c r="A195" s="34" t="s">
        <v>178</v>
      </c>
      <c r="B195" s="44">
        <v>280200</v>
      </c>
      <c r="C195" s="44">
        <v>251531.63</v>
      </c>
      <c r="D195" s="44">
        <f t="shared" si="22"/>
        <v>-28668.369999999995</v>
      </c>
      <c r="E195" s="44"/>
      <c r="F195" s="44">
        <v>280200</v>
      </c>
      <c r="G195" s="44">
        <v>226531.63</v>
      </c>
      <c r="H195" s="44">
        <f t="shared" si="23"/>
        <v>-53668.369999999995</v>
      </c>
      <c r="I195" s="44"/>
      <c r="J195" s="44">
        <v>0</v>
      </c>
      <c r="K195" s="45">
        <v>0</v>
      </c>
      <c r="L195" s="44">
        <f t="shared" si="24"/>
        <v>0</v>
      </c>
      <c r="M195" s="44"/>
      <c r="N195" s="44">
        <v>102300</v>
      </c>
      <c r="O195" s="44">
        <v>144966.32999999999</v>
      </c>
      <c r="P195" s="44">
        <f t="shared" si="25"/>
        <v>42666.329999999987</v>
      </c>
      <c r="Q195" s="44"/>
      <c r="R195" s="44">
        <v>89400</v>
      </c>
      <c r="S195" s="44">
        <v>14400</v>
      </c>
      <c r="T195" s="44">
        <f t="shared" si="26"/>
        <v>-75000</v>
      </c>
      <c r="U195" s="44"/>
      <c r="V195" s="44">
        <v>2900</v>
      </c>
      <c r="W195" s="44">
        <v>38900</v>
      </c>
      <c r="X195" s="44">
        <f t="shared" si="27"/>
        <v>36000</v>
      </c>
      <c r="Y195" s="44"/>
      <c r="Z195" s="44">
        <v>53600</v>
      </c>
      <c r="AA195" s="44">
        <v>14000</v>
      </c>
      <c r="AB195" s="44">
        <f t="shared" si="28"/>
        <v>-39600</v>
      </c>
      <c r="AC195" s="44"/>
      <c r="AD195" s="45">
        <v>0</v>
      </c>
      <c r="AE195" s="44">
        <v>14265.3</v>
      </c>
      <c r="AF195" s="44">
        <f t="shared" si="29"/>
        <v>14265.3</v>
      </c>
      <c r="AG195" s="44"/>
      <c r="AH195" s="44">
        <v>32000</v>
      </c>
      <c r="AI195" s="45">
        <v>0</v>
      </c>
      <c r="AJ195" s="44">
        <f t="shared" si="30"/>
        <v>-32000</v>
      </c>
      <c r="AK195" s="44"/>
      <c r="AL195" s="45">
        <v>0</v>
      </c>
      <c r="AM195" s="44">
        <v>25000</v>
      </c>
      <c r="AN195" s="44">
        <f t="shared" si="31"/>
        <v>25000</v>
      </c>
      <c r="AO195" s="44"/>
      <c r="AP195" s="45">
        <v>0</v>
      </c>
      <c r="AQ195" s="45">
        <v>0</v>
      </c>
      <c r="AR195" s="44">
        <f t="shared" si="32"/>
        <v>0</v>
      </c>
      <c r="AS195" s="44"/>
      <c r="AT195" s="45">
        <v>0</v>
      </c>
      <c r="AU195" s="45">
        <v>0</v>
      </c>
    </row>
    <row r="196" spans="1:47" x14ac:dyDescent="0.25">
      <c r="A196" s="35" t="s">
        <v>179</v>
      </c>
      <c r="B196" s="46">
        <v>280200</v>
      </c>
      <c r="C196" s="46">
        <v>251531.63</v>
      </c>
      <c r="D196" s="46">
        <f t="shared" si="22"/>
        <v>-28668.369999999995</v>
      </c>
      <c r="E196" s="46"/>
      <c r="F196" s="46">
        <v>280200</v>
      </c>
      <c r="G196" s="46">
        <v>226531.63</v>
      </c>
      <c r="H196" s="46">
        <f t="shared" si="23"/>
        <v>-53668.369999999995</v>
      </c>
      <c r="I196" s="46"/>
      <c r="J196" s="46">
        <v>0</v>
      </c>
      <c r="K196" s="47">
        <v>0</v>
      </c>
      <c r="L196" s="46">
        <f t="shared" si="24"/>
        <v>0</v>
      </c>
      <c r="M196" s="46"/>
      <c r="N196" s="46">
        <v>102300</v>
      </c>
      <c r="O196" s="46">
        <v>144966.32999999999</v>
      </c>
      <c r="P196" s="46">
        <f t="shared" si="25"/>
        <v>42666.329999999987</v>
      </c>
      <c r="Q196" s="46"/>
      <c r="R196" s="46">
        <v>89400</v>
      </c>
      <c r="S196" s="46">
        <v>14400</v>
      </c>
      <c r="T196" s="46">
        <f t="shared" si="26"/>
        <v>-75000</v>
      </c>
      <c r="U196" s="46"/>
      <c r="V196" s="46">
        <v>2900</v>
      </c>
      <c r="W196" s="46">
        <v>38900</v>
      </c>
      <c r="X196" s="46">
        <f t="shared" si="27"/>
        <v>36000</v>
      </c>
      <c r="Y196" s="46"/>
      <c r="Z196" s="46">
        <v>53600</v>
      </c>
      <c r="AA196" s="46">
        <v>14000</v>
      </c>
      <c r="AB196" s="46">
        <f t="shared" si="28"/>
        <v>-39600</v>
      </c>
      <c r="AC196" s="46"/>
      <c r="AD196" s="47">
        <v>0</v>
      </c>
      <c r="AE196" s="46">
        <v>14265.3</v>
      </c>
      <c r="AF196" s="46">
        <f t="shared" si="29"/>
        <v>14265.3</v>
      </c>
      <c r="AG196" s="46"/>
      <c r="AH196" s="46">
        <v>32000</v>
      </c>
      <c r="AI196" s="47">
        <v>0</v>
      </c>
      <c r="AJ196" s="46">
        <f t="shared" si="30"/>
        <v>-32000</v>
      </c>
      <c r="AK196" s="46"/>
      <c r="AL196" s="47">
        <v>0</v>
      </c>
      <c r="AM196" s="46">
        <v>25000</v>
      </c>
      <c r="AN196" s="46">
        <f t="shared" si="31"/>
        <v>25000</v>
      </c>
      <c r="AO196" s="46"/>
      <c r="AP196" s="47">
        <v>0</v>
      </c>
      <c r="AQ196" s="47">
        <v>0</v>
      </c>
      <c r="AR196" s="46">
        <f t="shared" si="32"/>
        <v>0</v>
      </c>
      <c r="AS196" s="46"/>
      <c r="AT196" s="47">
        <v>0</v>
      </c>
      <c r="AU196" s="47">
        <v>0</v>
      </c>
    </row>
    <row r="197" spans="1:47" x14ac:dyDescent="0.25">
      <c r="A197" s="35" t="s">
        <v>180</v>
      </c>
      <c r="B197" s="47">
        <v>0</v>
      </c>
      <c r="C197" s="47">
        <v>0</v>
      </c>
      <c r="D197" s="47">
        <f t="shared" si="22"/>
        <v>0</v>
      </c>
      <c r="E197" s="47"/>
      <c r="F197" s="47">
        <v>0</v>
      </c>
      <c r="G197" s="47">
        <v>0</v>
      </c>
      <c r="H197" s="47">
        <f t="shared" si="23"/>
        <v>0</v>
      </c>
      <c r="I197" s="47"/>
      <c r="J197" s="47">
        <v>0</v>
      </c>
      <c r="K197" s="47">
        <v>0</v>
      </c>
      <c r="L197" s="47">
        <f t="shared" si="24"/>
        <v>0</v>
      </c>
      <c r="M197" s="47"/>
      <c r="N197" s="47">
        <v>0</v>
      </c>
      <c r="O197" s="47">
        <v>0</v>
      </c>
      <c r="P197" s="47">
        <f t="shared" si="25"/>
        <v>0</v>
      </c>
      <c r="Q197" s="47"/>
      <c r="R197" s="47">
        <v>0</v>
      </c>
      <c r="S197" s="47">
        <v>0</v>
      </c>
      <c r="T197" s="47">
        <f t="shared" si="26"/>
        <v>0</v>
      </c>
      <c r="U197" s="47"/>
      <c r="V197" s="47">
        <v>0</v>
      </c>
      <c r="W197" s="47">
        <v>0</v>
      </c>
      <c r="X197" s="47">
        <f t="shared" si="27"/>
        <v>0</v>
      </c>
      <c r="Y197" s="47"/>
      <c r="Z197" s="47">
        <v>0</v>
      </c>
      <c r="AA197" s="47">
        <v>0</v>
      </c>
      <c r="AB197" s="47">
        <f t="shared" si="28"/>
        <v>0</v>
      </c>
      <c r="AC197" s="47"/>
      <c r="AD197" s="47">
        <v>0</v>
      </c>
      <c r="AE197" s="47">
        <v>0</v>
      </c>
      <c r="AF197" s="47">
        <f t="shared" si="29"/>
        <v>0</v>
      </c>
      <c r="AG197" s="47"/>
      <c r="AH197" s="47">
        <v>0</v>
      </c>
      <c r="AI197" s="47">
        <v>0</v>
      </c>
      <c r="AJ197" s="47">
        <f t="shared" si="30"/>
        <v>0</v>
      </c>
      <c r="AK197" s="47"/>
      <c r="AL197" s="47">
        <v>0</v>
      </c>
      <c r="AM197" s="47">
        <v>0</v>
      </c>
      <c r="AN197" s="47">
        <f t="shared" si="31"/>
        <v>0</v>
      </c>
      <c r="AO197" s="47"/>
      <c r="AP197" s="47">
        <v>0</v>
      </c>
      <c r="AQ197" s="47">
        <v>0</v>
      </c>
      <c r="AR197" s="47">
        <f t="shared" si="32"/>
        <v>0</v>
      </c>
      <c r="AS197" s="47"/>
      <c r="AT197" s="47">
        <v>0</v>
      </c>
      <c r="AU197" s="47">
        <v>0</v>
      </c>
    </row>
    <row r="198" spans="1:47" x14ac:dyDescent="0.25">
      <c r="A198" s="38" t="s">
        <v>187</v>
      </c>
      <c r="B198" s="46">
        <v>140696.25</v>
      </c>
      <c r="C198" s="46">
        <v>20284.84</v>
      </c>
      <c r="D198" s="46">
        <f t="shared" si="22"/>
        <v>-120411.41</v>
      </c>
      <c r="E198" s="46"/>
      <c r="F198" s="46">
        <v>37500</v>
      </c>
      <c r="G198" s="47">
        <v>0</v>
      </c>
      <c r="H198" s="46">
        <f t="shared" si="23"/>
        <v>-37500</v>
      </c>
      <c r="I198" s="46"/>
      <c r="J198" s="47">
        <v>0</v>
      </c>
      <c r="K198" s="47">
        <v>0</v>
      </c>
      <c r="L198" s="46">
        <f t="shared" si="24"/>
        <v>0</v>
      </c>
      <c r="M198" s="46"/>
      <c r="N198" s="47">
        <v>0</v>
      </c>
      <c r="O198" s="47">
        <v>0</v>
      </c>
      <c r="P198" s="46">
        <f t="shared" si="25"/>
        <v>0</v>
      </c>
      <c r="Q198" s="46"/>
      <c r="R198" s="46">
        <v>19500</v>
      </c>
      <c r="S198" s="47">
        <v>0</v>
      </c>
      <c r="T198" s="46">
        <f t="shared" si="26"/>
        <v>-19500</v>
      </c>
      <c r="U198" s="46"/>
      <c r="V198" s="46">
        <v>18000</v>
      </c>
      <c r="W198" s="47">
        <v>0</v>
      </c>
      <c r="X198" s="46">
        <f t="shared" si="27"/>
        <v>-18000</v>
      </c>
      <c r="Y198" s="46"/>
      <c r="Z198" s="47">
        <v>0</v>
      </c>
      <c r="AA198" s="47">
        <v>0</v>
      </c>
      <c r="AB198" s="46">
        <f t="shared" si="28"/>
        <v>0</v>
      </c>
      <c r="AC198" s="46"/>
      <c r="AD198" s="47">
        <v>0</v>
      </c>
      <c r="AE198" s="47">
        <v>0</v>
      </c>
      <c r="AF198" s="46">
        <f t="shared" si="29"/>
        <v>0</v>
      </c>
      <c r="AG198" s="46"/>
      <c r="AH198" s="47">
        <v>0</v>
      </c>
      <c r="AI198" s="47">
        <v>0</v>
      </c>
      <c r="AJ198" s="46">
        <f t="shared" si="30"/>
        <v>0</v>
      </c>
      <c r="AK198" s="46"/>
      <c r="AL198" s="46">
        <v>8196.25</v>
      </c>
      <c r="AM198" s="46">
        <v>14930.25</v>
      </c>
      <c r="AN198" s="46">
        <f t="shared" si="31"/>
        <v>6734</v>
      </c>
      <c r="AO198" s="46"/>
      <c r="AP198" s="47">
        <v>0</v>
      </c>
      <c r="AQ198" s="46">
        <v>5354.59</v>
      </c>
      <c r="AR198" s="46">
        <f t="shared" si="32"/>
        <v>5354.59</v>
      </c>
      <c r="AS198" s="46"/>
      <c r="AT198" s="46">
        <v>95000</v>
      </c>
      <c r="AU198" s="47">
        <v>0</v>
      </c>
    </row>
    <row r="199" spans="1:47" x14ac:dyDescent="0.25">
      <c r="A199" s="34" t="s">
        <v>188</v>
      </c>
      <c r="B199" s="44">
        <v>23960194.989999998</v>
      </c>
      <c r="C199" s="44">
        <v>7095783.7800000003</v>
      </c>
      <c r="D199" s="44">
        <f t="shared" si="22"/>
        <v>-16864411.209999997</v>
      </c>
      <c r="E199" s="44"/>
      <c r="F199" s="44">
        <v>3218990.99</v>
      </c>
      <c r="G199" s="44">
        <v>1627320.73</v>
      </c>
      <c r="H199" s="44">
        <f t="shared" si="23"/>
        <v>-1591670.2600000002</v>
      </c>
      <c r="I199" s="44"/>
      <c r="J199" s="44">
        <v>356760.62</v>
      </c>
      <c r="K199" s="44">
        <v>327473.78999999998</v>
      </c>
      <c r="L199" s="44">
        <f t="shared" si="24"/>
        <v>-29286.830000000016</v>
      </c>
      <c r="M199" s="44"/>
      <c r="N199" s="44">
        <v>1473917.3</v>
      </c>
      <c r="O199" s="44">
        <v>667628.62</v>
      </c>
      <c r="P199" s="44">
        <f t="shared" si="25"/>
        <v>-806288.68</v>
      </c>
      <c r="Q199" s="44"/>
      <c r="R199" s="44">
        <v>207801.73</v>
      </c>
      <c r="S199" s="44">
        <v>107202.44</v>
      </c>
      <c r="T199" s="44">
        <f t="shared" si="26"/>
        <v>-100599.29000000001</v>
      </c>
      <c r="U199" s="44"/>
      <c r="V199" s="44">
        <v>799143.25</v>
      </c>
      <c r="W199" s="44">
        <v>182238.5</v>
      </c>
      <c r="X199" s="44">
        <f t="shared" si="27"/>
        <v>-616904.75</v>
      </c>
      <c r="Y199" s="44"/>
      <c r="Z199" s="44">
        <v>225616.74</v>
      </c>
      <c r="AA199" s="44">
        <v>163199.34</v>
      </c>
      <c r="AB199" s="44">
        <f t="shared" si="28"/>
        <v>-62417.399999999994</v>
      </c>
      <c r="AC199" s="44"/>
      <c r="AD199" s="44">
        <v>24926.59</v>
      </c>
      <c r="AE199" s="44">
        <v>84601.59</v>
      </c>
      <c r="AF199" s="44">
        <f t="shared" si="29"/>
        <v>59675</v>
      </c>
      <c r="AG199" s="44"/>
      <c r="AH199" s="44">
        <v>130824.76</v>
      </c>
      <c r="AI199" s="44">
        <v>94976.45</v>
      </c>
      <c r="AJ199" s="44">
        <f t="shared" si="30"/>
        <v>-35848.31</v>
      </c>
      <c r="AK199" s="44"/>
      <c r="AL199" s="44">
        <v>6300</v>
      </c>
      <c r="AM199" s="44">
        <v>13220</v>
      </c>
      <c r="AN199" s="44">
        <f t="shared" si="31"/>
        <v>6920</v>
      </c>
      <c r="AO199" s="44"/>
      <c r="AP199" s="44">
        <v>2594804</v>
      </c>
      <c r="AQ199" s="44">
        <v>853834.05</v>
      </c>
      <c r="AR199" s="44">
        <f t="shared" si="32"/>
        <v>-1740969.95</v>
      </c>
      <c r="AS199" s="44"/>
      <c r="AT199" s="44">
        <v>18140100</v>
      </c>
      <c r="AU199" s="44">
        <v>4601409</v>
      </c>
    </row>
    <row r="200" spans="1:47" x14ac:dyDescent="0.25">
      <c r="A200" s="35" t="s">
        <v>189</v>
      </c>
      <c r="B200" s="46">
        <v>3168561.14</v>
      </c>
      <c r="C200" s="46">
        <v>1425792.47</v>
      </c>
      <c r="D200" s="46">
        <f t="shared" si="22"/>
        <v>-1742768.6700000002</v>
      </c>
      <c r="E200" s="46"/>
      <c r="F200" s="46">
        <v>786861.14</v>
      </c>
      <c r="G200" s="46">
        <v>125105.8</v>
      </c>
      <c r="H200" s="46">
        <f t="shared" si="23"/>
        <v>-661755.34</v>
      </c>
      <c r="I200" s="46"/>
      <c r="J200" s="46">
        <v>66984.800000000003</v>
      </c>
      <c r="K200" s="46">
        <v>17684.8</v>
      </c>
      <c r="L200" s="46">
        <f t="shared" si="24"/>
        <v>-49300</v>
      </c>
      <c r="M200" s="46"/>
      <c r="N200" s="46">
        <v>495153</v>
      </c>
      <c r="O200" s="46">
        <v>83601</v>
      </c>
      <c r="P200" s="46">
        <f t="shared" si="25"/>
        <v>-411552</v>
      </c>
      <c r="Q200" s="46"/>
      <c r="R200" s="46">
        <v>75200</v>
      </c>
      <c r="S200" s="46">
        <v>13700</v>
      </c>
      <c r="T200" s="46">
        <f t="shared" si="26"/>
        <v>-61500</v>
      </c>
      <c r="U200" s="46"/>
      <c r="V200" s="46">
        <v>37216.67</v>
      </c>
      <c r="W200" s="46">
        <v>-11188.33</v>
      </c>
      <c r="X200" s="46">
        <f t="shared" si="27"/>
        <v>-48405</v>
      </c>
      <c r="Y200" s="46"/>
      <c r="Z200" s="46">
        <v>74306.67</v>
      </c>
      <c r="AA200" s="46">
        <v>21308.33</v>
      </c>
      <c r="AB200" s="46">
        <f t="shared" si="28"/>
        <v>-52998.34</v>
      </c>
      <c r="AC200" s="46"/>
      <c r="AD200" s="47">
        <v>0</v>
      </c>
      <c r="AE200" s="47">
        <v>0</v>
      </c>
      <c r="AF200" s="46">
        <f t="shared" si="29"/>
        <v>0</v>
      </c>
      <c r="AG200" s="46"/>
      <c r="AH200" s="46">
        <v>38000</v>
      </c>
      <c r="AI200" s="47">
        <v>0</v>
      </c>
      <c r="AJ200" s="46">
        <f t="shared" si="30"/>
        <v>-38000</v>
      </c>
      <c r="AK200" s="46"/>
      <c r="AL200" s="46">
        <v>6300</v>
      </c>
      <c r="AM200" s="46">
        <v>13220</v>
      </c>
      <c r="AN200" s="46">
        <f t="shared" si="31"/>
        <v>6920</v>
      </c>
      <c r="AO200" s="46"/>
      <c r="AP200" s="47">
        <v>0</v>
      </c>
      <c r="AQ200" s="47">
        <v>0</v>
      </c>
      <c r="AR200" s="46">
        <f t="shared" si="32"/>
        <v>0</v>
      </c>
      <c r="AS200" s="46"/>
      <c r="AT200" s="46">
        <v>2375400</v>
      </c>
      <c r="AU200" s="46">
        <v>1287466.67</v>
      </c>
    </row>
    <row r="201" spans="1:47" ht="22.5" x14ac:dyDescent="0.25">
      <c r="A201" s="35" t="s">
        <v>190</v>
      </c>
      <c r="B201" s="46">
        <v>9219190.7200000007</v>
      </c>
      <c r="C201" s="46">
        <v>331378.42</v>
      </c>
      <c r="D201" s="46">
        <f t="shared" ref="D201:D264" si="33">C201-B201</f>
        <v>-8887812.3000000007</v>
      </c>
      <c r="E201" s="46"/>
      <c r="F201" s="46">
        <v>1346059.89</v>
      </c>
      <c r="G201" s="46">
        <v>282362.12</v>
      </c>
      <c r="H201" s="46">
        <f t="shared" ref="H201:H264" si="34">G201-F201</f>
        <v>-1063697.77</v>
      </c>
      <c r="I201" s="46"/>
      <c r="J201" s="46">
        <v>83359.89</v>
      </c>
      <c r="K201" s="46">
        <v>29724</v>
      </c>
      <c r="L201" s="46">
        <f t="shared" ref="L201:L264" si="35">K201-J201</f>
        <v>-53635.89</v>
      </c>
      <c r="M201" s="46"/>
      <c r="N201" s="46">
        <v>628000</v>
      </c>
      <c r="O201" s="46">
        <v>56731.67</v>
      </c>
      <c r="P201" s="46">
        <f t="shared" ref="P201:P264" si="36">O201-N201</f>
        <v>-571268.32999999996</v>
      </c>
      <c r="Q201" s="46"/>
      <c r="R201" s="47">
        <v>0</v>
      </c>
      <c r="S201" s="46">
        <v>400</v>
      </c>
      <c r="T201" s="46">
        <f t="shared" ref="T201:T264" si="37">S201-R201</f>
        <v>400</v>
      </c>
      <c r="U201" s="46"/>
      <c r="V201" s="46">
        <v>455000</v>
      </c>
      <c r="W201" s="47">
        <v>0</v>
      </c>
      <c r="X201" s="46">
        <f t="shared" ref="X201:X264" si="38">W201-V201</f>
        <v>-455000</v>
      </c>
      <c r="Y201" s="46"/>
      <c r="Z201" s="46">
        <v>100000</v>
      </c>
      <c r="AA201" s="46">
        <v>86280</v>
      </c>
      <c r="AB201" s="46">
        <f t="shared" ref="AB201:AB264" si="39">AA201-Z201</f>
        <v>-13720</v>
      </c>
      <c r="AC201" s="46"/>
      <c r="AD201" s="47">
        <v>0</v>
      </c>
      <c r="AE201" s="46">
        <v>25875</v>
      </c>
      <c r="AF201" s="46">
        <f t="shared" ref="AF201:AF264" si="40">AE201-AD201</f>
        <v>25875</v>
      </c>
      <c r="AG201" s="46"/>
      <c r="AH201" s="46">
        <v>79700</v>
      </c>
      <c r="AI201" s="46">
        <v>83351.45</v>
      </c>
      <c r="AJ201" s="46">
        <f t="shared" ref="AJ201:AJ264" si="41">AI201-AH201</f>
        <v>3651.4499999999971</v>
      </c>
      <c r="AK201" s="46"/>
      <c r="AL201" s="47">
        <v>0</v>
      </c>
      <c r="AM201" s="47">
        <v>0</v>
      </c>
      <c r="AN201" s="46">
        <f t="shared" ref="AN201:AN264" si="42">AM201-AL201</f>
        <v>0</v>
      </c>
      <c r="AO201" s="46"/>
      <c r="AP201" s="46">
        <v>1043130.83</v>
      </c>
      <c r="AQ201" s="46">
        <v>49016.3</v>
      </c>
      <c r="AR201" s="46">
        <f t="shared" ref="AR201:AR264" si="43">AQ201-AP201</f>
        <v>-994114.52999999991</v>
      </c>
      <c r="AS201" s="46"/>
      <c r="AT201" s="46">
        <v>6830000</v>
      </c>
      <c r="AU201" s="46">
        <v>0</v>
      </c>
    </row>
    <row r="202" spans="1:47" ht="22.5" x14ac:dyDescent="0.25">
      <c r="A202" s="35" t="s">
        <v>191</v>
      </c>
      <c r="B202" s="46">
        <v>96850</v>
      </c>
      <c r="C202" s="46">
        <v>112125</v>
      </c>
      <c r="D202" s="46">
        <f t="shared" si="33"/>
        <v>15275</v>
      </c>
      <c r="E202" s="46"/>
      <c r="F202" s="46">
        <v>96850</v>
      </c>
      <c r="G202" s="46">
        <v>112125</v>
      </c>
      <c r="H202" s="46">
        <f t="shared" si="34"/>
        <v>15275</v>
      </c>
      <c r="I202" s="46"/>
      <c r="J202" s="46">
        <v>49950</v>
      </c>
      <c r="K202" s="46">
        <v>74925</v>
      </c>
      <c r="L202" s="46">
        <f t="shared" si="35"/>
        <v>24975</v>
      </c>
      <c r="M202" s="46"/>
      <c r="N202" s="46">
        <v>7100</v>
      </c>
      <c r="O202" s="46">
        <v>7100</v>
      </c>
      <c r="P202" s="46">
        <f t="shared" si="36"/>
        <v>0</v>
      </c>
      <c r="Q202" s="46"/>
      <c r="R202" s="47">
        <v>0</v>
      </c>
      <c r="S202" s="47">
        <v>0</v>
      </c>
      <c r="T202" s="46">
        <f t="shared" si="37"/>
        <v>0</v>
      </c>
      <c r="U202" s="46"/>
      <c r="V202" s="46">
        <v>0</v>
      </c>
      <c r="W202" s="47">
        <v>0</v>
      </c>
      <c r="X202" s="46">
        <f t="shared" si="38"/>
        <v>0</v>
      </c>
      <c r="Y202" s="46"/>
      <c r="Z202" s="46">
        <v>39800</v>
      </c>
      <c r="AA202" s="46">
        <v>30100</v>
      </c>
      <c r="AB202" s="46">
        <f t="shared" si="39"/>
        <v>-9700</v>
      </c>
      <c r="AC202" s="46"/>
      <c r="AD202" s="47">
        <v>0</v>
      </c>
      <c r="AE202" s="47">
        <v>0</v>
      </c>
      <c r="AF202" s="46">
        <f t="shared" si="40"/>
        <v>0</v>
      </c>
      <c r="AG202" s="46"/>
      <c r="AH202" s="47">
        <v>0</v>
      </c>
      <c r="AI202" s="47">
        <v>0</v>
      </c>
      <c r="AJ202" s="46">
        <f t="shared" si="41"/>
        <v>0</v>
      </c>
      <c r="AK202" s="46"/>
      <c r="AL202" s="47">
        <v>0</v>
      </c>
      <c r="AM202" s="47">
        <v>0</v>
      </c>
      <c r="AN202" s="46">
        <f t="shared" si="42"/>
        <v>0</v>
      </c>
      <c r="AO202" s="46"/>
      <c r="AP202" s="47">
        <v>0</v>
      </c>
      <c r="AQ202" s="47">
        <v>0</v>
      </c>
      <c r="AR202" s="46">
        <f t="shared" si="43"/>
        <v>0</v>
      </c>
      <c r="AS202" s="46"/>
      <c r="AT202" s="46">
        <v>0</v>
      </c>
      <c r="AU202" s="47">
        <v>0</v>
      </c>
    </row>
    <row r="203" spans="1:47" ht="22.5" x14ac:dyDescent="0.25">
      <c r="A203" s="35" t="s">
        <v>192</v>
      </c>
      <c r="B203" s="46">
        <v>1924048</v>
      </c>
      <c r="C203" s="46">
        <v>229798.75</v>
      </c>
      <c r="D203" s="46">
        <f t="shared" si="33"/>
        <v>-1694249.25</v>
      </c>
      <c r="E203" s="46"/>
      <c r="F203" s="46">
        <v>102263</v>
      </c>
      <c r="G203" s="46">
        <v>55998.75</v>
      </c>
      <c r="H203" s="46">
        <f t="shared" si="34"/>
        <v>-46264.25</v>
      </c>
      <c r="I203" s="46"/>
      <c r="J203" s="47">
        <v>0</v>
      </c>
      <c r="K203" s="47">
        <v>0</v>
      </c>
      <c r="L203" s="46">
        <f t="shared" si="35"/>
        <v>0</v>
      </c>
      <c r="M203" s="46"/>
      <c r="N203" s="46">
        <v>49263</v>
      </c>
      <c r="O203" s="46">
        <v>14198.75</v>
      </c>
      <c r="P203" s="46">
        <f t="shared" si="36"/>
        <v>-35064.25</v>
      </c>
      <c r="Q203" s="46"/>
      <c r="R203" s="46">
        <v>40000</v>
      </c>
      <c r="S203" s="47">
        <v>0</v>
      </c>
      <c r="T203" s="46">
        <f t="shared" si="37"/>
        <v>-40000</v>
      </c>
      <c r="U203" s="46"/>
      <c r="V203" s="47">
        <v>0</v>
      </c>
      <c r="W203" s="47">
        <v>0</v>
      </c>
      <c r="X203" s="46">
        <f t="shared" si="38"/>
        <v>0</v>
      </c>
      <c r="Y203" s="46"/>
      <c r="Z203" s="47">
        <v>0</v>
      </c>
      <c r="AA203" s="47">
        <v>0</v>
      </c>
      <c r="AB203" s="46">
        <f t="shared" si="39"/>
        <v>0</v>
      </c>
      <c r="AC203" s="46"/>
      <c r="AD203" s="46">
        <v>8000</v>
      </c>
      <c r="AE203" s="46">
        <v>41800</v>
      </c>
      <c r="AF203" s="46">
        <f t="shared" si="40"/>
        <v>33800</v>
      </c>
      <c r="AG203" s="46"/>
      <c r="AH203" s="46">
        <v>5000</v>
      </c>
      <c r="AI203" s="47">
        <v>0</v>
      </c>
      <c r="AJ203" s="46">
        <f t="shared" si="41"/>
        <v>-5000</v>
      </c>
      <c r="AK203" s="46"/>
      <c r="AL203" s="47">
        <v>0</v>
      </c>
      <c r="AM203" s="47">
        <v>0</v>
      </c>
      <c r="AN203" s="46">
        <f t="shared" si="42"/>
        <v>0</v>
      </c>
      <c r="AO203" s="46"/>
      <c r="AP203" s="47">
        <v>0</v>
      </c>
      <c r="AQ203" s="47">
        <v>0</v>
      </c>
      <c r="AR203" s="46">
        <f t="shared" si="43"/>
        <v>0</v>
      </c>
      <c r="AS203" s="46"/>
      <c r="AT203" s="46">
        <v>1821785</v>
      </c>
      <c r="AU203" s="46">
        <v>173800</v>
      </c>
    </row>
    <row r="204" spans="1:47" ht="22.5" x14ac:dyDescent="0.25">
      <c r="A204" s="35" t="s">
        <v>193</v>
      </c>
      <c r="B204" s="47">
        <v>0</v>
      </c>
      <c r="C204" s="47">
        <v>0</v>
      </c>
      <c r="D204" s="47">
        <f t="shared" si="33"/>
        <v>0</v>
      </c>
      <c r="E204" s="47"/>
      <c r="F204" s="47">
        <v>0</v>
      </c>
      <c r="G204" s="47">
        <v>0</v>
      </c>
      <c r="H204" s="47">
        <f t="shared" si="34"/>
        <v>0</v>
      </c>
      <c r="I204" s="47"/>
      <c r="J204" s="47">
        <v>0</v>
      </c>
      <c r="K204" s="47">
        <v>0</v>
      </c>
      <c r="L204" s="47">
        <f t="shared" si="35"/>
        <v>0</v>
      </c>
      <c r="M204" s="47"/>
      <c r="N204" s="47">
        <v>0</v>
      </c>
      <c r="O204" s="47">
        <v>0</v>
      </c>
      <c r="P204" s="47">
        <f t="shared" si="36"/>
        <v>0</v>
      </c>
      <c r="Q204" s="47"/>
      <c r="R204" s="47">
        <v>0</v>
      </c>
      <c r="S204" s="47">
        <v>0</v>
      </c>
      <c r="T204" s="47">
        <f t="shared" si="37"/>
        <v>0</v>
      </c>
      <c r="U204" s="47"/>
      <c r="V204" s="47">
        <v>0</v>
      </c>
      <c r="W204" s="47">
        <v>0</v>
      </c>
      <c r="X204" s="47">
        <f t="shared" si="38"/>
        <v>0</v>
      </c>
      <c r="Y204" s="47"/>
      <c r="Z204" s="47">
        <v>0</v>
      </c>
      <c r="AA204" s="47">
        <v>0</v>
      </c>
      <c r="AB204" s="47">
        <f t="shared" si="39"/>
        <v>0</v>
      </c>
      <c r="AC204" s="47"/>
      <c r="AD204" s="47">
        <v>0</v>
      </c>
      <c r="AE204" s="47">
        <v>0</v>
      </c>
      <c r="AF204" s="47">
        <f t="shared" si="40"/>
        <v>0</v>
      </c>
      <c r="AG204" s="47"/>
      <c r="AH204" s="47">
        <v>0</v>
      </c>
      <c r="AI204" s="47">
        <v>0</v>
      </c>
      <c r="AJ204" s="47">
        <f t="shared" si="41"/>
        <v>0</v>
      </c>
      <c r="AK204" s="47"/>
      <c r="AL204" s="47">
        <v>0</v>
      </c>
      <c r="AM204" s="47">
        <v>0</v>
      </c>
      <c r="AN204" s="47">
        <f t="shared" si="42"/>
        <v>0</v>
      </c>
      <c r="AO204" s="47"/>
      <c r="AP204" s="47">
        <v>0</v>
      </c>
      <c r="AQ204" s="47">
        <v>0</v>
      </c>
      <c r="AR204" s="47">
        <f t="shared" si="43"/>
        <v>0</v>
      </c>
      <c r="AS204" s="47"/>
      <c r="AT204" s="47">
        <v>0</v>
      </c>
      <c r="AU204" s="47">
        <v>0</v>
      </c>
    </row>
    <row r="205" spans="1:47" x14ac:dyDescent="0.25">
      <c r="A205" s="35" t="s">
        <v>194</v>
      </c>
      <c r="B205" s="46">
        <v>9461545.1300000008</v>
      </c>
      <c r="C205" s="46">
        <v>4961463.29</v>
      </c>
      <c r="D205" s="46">
        <f t="shared" si="33"/>
        <v>-4500081.8400000008</v>
      </c>
      <c r="E205" s="46"/>
      <c r="F205" s="46">
        <v>886956.96</v>
      </c>
      <c r="G205" s="46">
        <v>1048503.21</v>
      </c>
      <c r="H205" s="46">
        <f t="shared" si="34"/>
        <v>161546.25</v>
      </c>
      <c r="I205" s="46"/>
      <c r="J205" s="46">
        <v>156465.93</v>
      </c>
      <c r="K205" s="46">
        <v>205139.99</v>
      </c>
      <c r="L205" s="46">
        <f t="shared" si="35"/>
        <v>48674.06</v>
      </c>
      <c r="M205" s="46"/>
      <c r="N205" s="46">
        <v>294401.3</v>
      </c>
      <c r="O205" s="46">
        <v>502771.35</v>
      </c>
      <c r="P205" s="46">
        <f t="shared" si="36"/>
        <v>208370.05</v>
      </c>
      <c r="Q205" s="46"/>
      <c r="R205" s="46">
        <v>92601.73</v>
      </c>
      <c r="S205" s="46">
        <v>93102.44</v>
      </c>
      <c r="T205" s="46">
        <f t="shared" si="37"/>
        <v>500.7100000000064</v>
      </c>
      <c r="U205" s="46"/>
      <c r="V205" s="46">
        <v>306926.58</v>
      </c>
      <c r="W205" s="46">
        <v>193426.83</v>
      </c>
      <c r="X205" s="46">
        <f t="shared" si="38"/>
        <v>-113499.75000000003</v>
      </c>
      <c r="Y205" s="46"/>
      <c r="Z205" s="46">
        <v>11510.07</v>
      </c>
      <c r="AA205" s="46">
        <v>25511.01</v>
      </c>
      <c r="AB205" s="46">
        <f t="shared" si="39"/>
        <v>14000.939999999999</v>
      </c>
      <c r="AC205" s="46"/>
      <c r="AD205" s="46">
        <v>16926.59</v>
      </c>
      <c r="AE205" s="46">
        <v>16926.59</v>
      </c>
      <c r="AF205" s="46">
        <f t="shared" si="40"/>
        <v>0</v>
      </c>
      <c r="AG205" s="46"/>
      <c r="AH205" s="46">
        <v>8124.76</v>
      </c>
      <c r="AI205" s="46">
        <v>11625</v>
      </c>
      <c r="AJ205" s="46">
        <f t="shared" si="41"/>
        <v>3500.24</v>
      </c>
      <c r="AK205" s="46"/>
      <c r="AL205" s="47">
        <v>0</v>
      </c>
      <c r="AM205" s="47">
        <v>0</v>
      </c>
      <c r="AN205" s="46">
        <f t="shared" si="42"/>
        <v>0</v>
      </c>
      <c r="AO205" s="46"/>
      <c r="AP205" s="46">
        <v>1551673.17</v>
      </c>
      <c r="AQ205" s="46">
        <v>804817.75</v>
      </c>
      <c r="AR205" s="46">
        <f t="shared" si="43"/>
        <v>-746855.41999999993</v>
      </c>
      <c r="AS205" s="46"/>
      <c r="AT205" s="46">
        <v>7022915</v>
      </c>
      <c r="AU205" s="46">
        <v>3108142.33</v>
      </c>
    </row>
    <row r="206" spans="1:47" x14ac:dyDescent="0.25">
      <c r="A206" s="35" t="s">
        <v>195</v>
      </c>
      <c r="B206" s="46">
        <v>90000</v>
      </c>
      <c r="C206" s="46">
        <v>35225.85</v>
      </c>
      <c r="D206" s="46">
        <f t="shared" si="33"/>
        <v>-54774.15</v>
      </c>
      <c r="E206" s="46"/>
      <c r="F206" s="47">
        <v>0</v>
      </c>
      <c r="G206" s="46">
        <v>3225.85</v>
      </c>
      <c r="H206" s="46">
        <f t="shared" si="34"/>
        <v>3225.85</v>
      </c>
      <c r="I206" s="46"/>
      <c r="J206" s="47">
        <v>0</v>
      </c>
      <c r="K206" s="47">
        <v>0</v>
      </c>
      <c r="L206" s="46">
        <f t="shared" si="35"/>
        <v>0</v>
      </c>
      <c r="M206" s="46"/>
      <c r="N206" s="47">
        <v>0</v>
      </c>
      <c r="O206" s="46">
        <v>3225.85</v>
      </c>
      <c r="P206" s="46">
        <f t="shared" si="36"/>
        <v>3225.85</v>
      </c>
      <c r="Q206" s="46"/>
      <c r="R206" s="47">
        <v>0</v>
      </c>
      <c r="S206" s="47">
        <v>0</v>
      </c>
      <c r="T206" s="46">
        <f t="shared" si="37"/>
        <v>0</v>
      </c>
      <c r="U206" s="46"/>
      <c r="V206" s="47">
        <v>0</v>
      </c>
      <c r="W206" s="47">
        <v>0</v>
      </c>
      <c r="X206" s="46">
        <f t="shared" si="38"/>
        <v>0</v>
      </c>
      <c r="Y206" s="46"/>
      <c r="Z206" s="47">
        <v>0</v>
      </c>
      <c r="AA206" s="47">
        <v>0</v>
      </c>
      <c r="AB206" s="46">
        <f t="shared" si="39"/>
        <v>0</v>
      </c>
      <c r="AC206" s="46"/>
      <c r="AD206" s="47">
        <v>0</v>
      </c>
      <c r="AE206" s="47">
        <v>0</v>
      </c>
      <c r="AF206" s="46">
        <f t="shared" si="40"/>
        <v>0</v>
      </c>
      <c r="AG206" s="46"/>
      <c r="AH206" s="47">
        <v>0</v>
      </c>
      <c r="AI206" s="47">
        <v>0</v>
      </c>
      <c r="AJ206" s="46">
        <f t="shared" si="41"/>
        <v>0</v>
      </c>
      <c r="AK206" s="46"/>
      <c r="AL206" s="47">
        <v>0</v>
      </c>
      <c r="AM206" s="47">
        <v>0</v>
      </c>
      <c r="AN206" s="46">
        <f t="shared" si="42"/>
        <v>0</v>
      </c>
      <c r="AO206" s="46"/>
      <c r="AP206" s="47">
        <v>0</v>
      </c>
      <c r="AQ206" s="47">
        <v>0</v>
      </c>
      <c r="AR206" s="46">
        <f t="shared" si="43"/>
        <v>0</v>
      </c>
      <c r="AS206" s="46"/>
      <c r="AT206" s="46">
        <v>90000</v>
      </c>
      <c r="AU206" s="46">
        <v>32000</v>
      </c>
    </row>
    <row r="207" spans="1:47" x14ac:dyDescent="0.25">
      <c r="A207" s="38" t="s">
        <v>196</v>
      </c>
      <c r="B207" s="46">
        <v>4314021.74</v>
      </c>
      <c r="C207" s="46">
        <v>3155562.27</v>
      </c>
      <c r="D207" s="46">
        <f t="shared" si="33"/>
        <v>-1158459.4700000002</v>
      </c>
      <c r="E207" s="46"/>
      <c r="F207" s="47">
        <v>0</v>
      </c>
      <c r="G207" s="47">
        <v>0</v>
      </c>
      <c r="H207" s="46">
        <f t="shared" si="34"/>
        <v>0</v>
      </c>
      <c r="I207" s="46"/>
      <c r="J207" s="47">
        <v>0</v>
      </c>
      <c r="K207" s="47">
        <v>0</v>
      </c>
      <c r="L207" s="46">
        <f t="shared" si="35"/>
        <v>0</v>
      </c>
      <c r="M207" s="46"/>
      <c r="N207" s="47">
        <v>0</v>
      </c>
      <c r="O207" s="47">
        <v>0</v>
      </c>
      <c r="P207" s="46">
        <f t="shared" si="36"/>
        <v>0</v>
      </c>
      <c r="Q207" s="46"/>
      <c r="R207" s="47">
        <v>0</v>
      </c>
      <c r="S207" s="47">
        <v>0</v>
      </c>
      <c r="T207" s="46">
        <f t="shared" si="37"/>
        <v>0</v>
      </c>
      <c r="U207" s="46"/>
      <c r="V207" s="47">
        <v>0</v>
      </c>
      <c r="W207" s="47">
        <v>0</v>
      </c>
      <c r="X207" s="46">
        <f t="shared" si="38"/>
        <v>0</v>
      </c>
      <c r="Y207" s="46"/>
      <c r="Z207" s="47">
        <v>0</v>
      </c>
      <c r="AA207" s="47">
        <v>0</v>
      </c>
      <c r="AB207" s="46">
        <f t="shared" si="39"/>
        <v>0</v>
      </c>
      <c r="AC207" s="46"/>
      <c r="AD207" s="47">
        <v>0</v>
      </c>
      <c r="AE207" s="47">
        <v>0</v>
      </c>
      <c r="AF207" s="46">
        <f t="shared" si="40"/>
        <v>0</v>
      </c>
      <c r="AG207" s="46"/>
      <c r="AH207" s="47">
        <v>0</v>
      </c>
      <c r="AI207" s="47">
        <v>0</v>
      </c>
      <c r="AJ207" s="46">
        <f t="shared" si="41"/>
        <v>0</v>
      </c>
      <c r="AK207" s="46"/>
      <c r="AL207" s="47">
        <v>0</v>
      </c>
      <c r="AM207" s="47">
        <v>0</v>
      </c>
      <c r="AN207" s="46">
        <f t="shared" si="42"/>
        <v>0</v>
      </c>
      <c r="AO207" s="46"/>
      <c r="AP207" s="46">
        <v>880751.63</v>
      </c>
      <c r="AQ207" s="46">
        <v>698739.88</v>
      </c>
      <c r="AR207" s="46">
        <f t="shared" si="43"/>
        <v>-182011.75</v>
      </c>
      <c r="AS207" s="46"/>
      <c r="AT207" s="46">
        <v>3433270.11</v>
      </c>
      <c r="AU207" s="46">
        <v>2456822.39</v>
      </c>
    </row>
    <row r="208" spans="1:47" x14ac:dyDescent="0.25">
      <c r="A208" s="33" t="s">
        <v>197</v>
      </c>
      <c r="B208" s="44">
        <v>3088764360.4499998</v>
      </c>
      <c r="C208" s="44">
        <v>2545119595.5800004</v>
      </c>
      <c r="D208" s="44">
        <f t="shared" si="33"/>
        <v>-543644764.86999941</v>
      </c>
      <c r="E208" s="44"/>
      <c r="F208" s="44">
        <v>1420217360.6700001</v>
      </c>
      <c r="G208" s="44">
        <v>1259780766.3</v>
      </c>
      <c r="H208" s="44">
        <f t="shared" si="34"/>
        <v>-160436594.37000012</v>
      </c>
      <c r="I208" s="44"/>
      <c r="J208" s="44">
        <v>192284158.38</v>
      </c>
      <c r="K208" s="44">
        <v>180525058.91</v>
      </c>
      <c r="L208" s="44">
        <f t="shared" si="35"/>
        <v>-11759099.469999999</v>
      </c>
      <c r="M208" s="44"/>
      <c r="N208" s="44">
        <v>299500424.76999998</v>
      </c>
      <c r="O208" s="44">
        <v>246461536.80000001</v>
      </c>
      <c r="P208" s="44">
        <f t="shared" si="36"/>
        <v>-53038887.969999969</v>
      </c>
      <c r="Q208" s="44"/>
      <c r="R208" s="44">
        <v>182783180.38999999</v>
      </c>
      <c r="S208" s="44">
        <v>163313178.40000001</v>
      </c>
      <c r="T208" s="44">
        <f t="shared" si="37"/>
        <v>-19470001.98999998</v>
      </c>
      <c r="U208" s="44"/>
      <c r="V208" s="44">
        <v>178718445.88</v>
      </c>
      <c r="W208" s="44">
        <v>150533077.75999999</v>
      </c>
      <c r="X208" s="44">
        <f t="shared" si="38"/>
        <v>-28185368.120000005</v>
      </c>
      <c r="Y208" s="44"/>
      <c r="Z208" s="44">
        <v>199168271.72</v>
      </c>
      <c r="AA208" s="44">
        <v>180686867.24000001</v>
      </c>
      <c r="AB208" s="44">
        <f t="shared" si="39"/>
        <v>-18481404.479999989</v>
      </c>
      <c r="AC208" s="44"/>
      <c r="AD208" s="44">
        <v>182293037.40000001</v>
      </c>
      <c r="AE208" s="44">
        <v>169857692</v>
      </c>
      <c r="AF208" s="44">
        <f t="shared" si="40"/>
        <v>-12435345.400000006</v>
      </c>
      <c r="AG208" s="44"/>
      <c r="AH208" s="44">
        <v>185469842.13</v>
      </c>
      <c r="AI208" s="44">
        <v>168403355.19</v>
      </c>
      <c r="AJ208" s="44">
        <f t="shared" si="41"/>
        <v>-17066486.939999998</v>
      </c>
      <c r="AK208" s="44"/>
      <c r="AL208" s="44">
        <v>578943922.60000002</v>
      </c>
      <c r="AM208" s="44">
        <v>423860120.37</v>
      </c>
      <c r="AN208" s="44">
        <f t="shared" si="42"/>
        <v>-155083802.23000002</v>
      </c>
      <c r="AO208" s="44"/>
      <c r="AP208" s="44">
        <v>151656216.72</v>
      </c>
      <c r="AQ208" s="44">
        <v>117769794.81999999</v>
      </c>
      <c r="AR208" s="44">
        <f t="shared" si="43"/>
        <v>-33886421.900000006</v>
      </c>
      <c r="AS208" s="44"/>
      <c r="AT208" s="44">
        <v>848634757.98000002</v>
      </c>
      <c r="AU208" s="44">
        <v>709907104.41999996</v>
      </c>
    </row>
    <row r="209" spans="1:47" x14ac:dyDescent="0.25">
      <c r="A209" s="34" t="s">
        <v>198</v>
      </c>
      <c r="B209" s="44">
        <v>57138980.530000001</v>
      </c>
      <c r="C209" s="44">
        <v>50641146.329999998</v>
      </c>
      <c r="D209" s="44">
        <f t="shared" si="33"/>
        <v>-6497834.200000003</v>
      </c>
      <c r="E209" s="44"/>
      <c r="F209" s="44">
        <v>6796049.46</v>
      </c>
      <c r="G209" s="44">
        <v>6231539.46</v>
      </c>
      <c r="H209" s="44">
        <f t="shared" si="34"/>
        <v>-564510</v>
      </c>
      <c r="I209" s="44"/>
      <c r="J209" s="44">
        <v>1587609.95</v>
      </c>
      <c r="K209" s="44">
        <v>1238416.19</v>
      </c>
      <c r="L209" s="44">
        <f t="shared" si="35"/>
        <v>-349193.76</v>
      </c>
      <c r="M209" s="44"/>
      <c r="N209" s="44">
        <v>639392.39</v>
      </c>
      <c r="O209" s="44">
        <v>726149.35</v>
      </c>
      <c r="P209" s="44">
        <f t="shared" si="36"/>
        <v>86756.959999999963</v>
      </c>
      <c r="Q209" s="44"/>
      <c r="R209" s="44">
        <v>1028480.01</v>
      </c>
      <c r="S209" s="44">
        <v>992708.42</v>
      </c>
      <c r="T209" s="44">
        <f t="shared" si="37"/>
        <v>-35771.589999999967</v>
      </c>
      <c r="U209" s="44"/>
      <c r="V209" s="44">
        <v>784216.39</v>
      </c>
      <c r="W209" s="44">
        <v>830177.95</v>
      </c>
      <c r="X209" s="44">
        <f t="shared" si="38"/>
        <v>45961.559999999939</v>
      </c>
      <c r="Y209" s="44"/>
      <c r="Z209" s="44">
        <v>1405381.5</v>
      </c>
      <c r="AA209" s="44">
        <v>1186622.02</v>
      </c>
      <c r="AB209" s="44">
        <f t="shared" si="39"/>
        <v>-218759.47999999998</v>
      </c>
      <c r="AC209" s="44"/>
      <c r="AD209" s="44">
        <v>922311.97</v>
      </c>
      <c r="AE209" s="44">
        <v>581904.81999999995</v>
      </c>
      <c r="AF209" s="44">
        <f t="shared" si="40"/>
        <v>-340407.15</v>
      </c>
      <c r="AG209" s="44"/>
      <c r="AH209" s="44">
        <v>428657.25</v>
      </c>
      <c r="AI209" s="44">
        <v>675560.71</v>
      </c>
      <c r="AJ209" s="44">
        <f t="shared" si="41"/>
        <v>246903.45999999996</v>
      </c>
      <c r="AK209" s="44"/>
      <c r="AL209" s="44">
        <v>49634992.759999998</v>
      </c>
      <c r="AM209" s="44">
        <v>43935728.829999998</v>
      </c>
      <c r="AN209" s="44">
        <f t="shared" si="42"/>
        <v>-5699263.9299999997</v>
      </c>
      <c r="AO209" s="44"/>
      <c r="AP209" s="44">
        <v>359760.2</v>
      </c>
      <c r="AQ209" s="45">
        <v>0</v>
      </c>
      <c r="AR209" s="44">
        <f t="shared" si="43"/>
        <v>-359760.2</v>
      </c>
      <c r="AS209" s="44"/>
      <c r="AT209" s="44">
        <v>325941.11</v>
      </c>
      <c r="AU209" s="44">
        <v>473731.41</v>
      </c>
    </row>
    <row r="210" spans="1:47" x14ac:dyDescent="0.25">
      <c r="A210" s="35" t="s">
        <v>121</v>
      </c>
      <c r="B210" s="46">
        <v>4358231.32</v>
      </c>
      <c r="C210" s="46">
        <v>1310554.1100000001</v>
      </c>
      <c r="D210" s="46">
        <f t="shared" si="33"/>
        <v>-3047677.21</v>
      </c>
      <c r="E210" s="46"/>
      <c r="F210" s="46">
        <v>894968.97</v>
      </c>
      <c r="G210" s="46">
        <v>623065.71</v>
      </c>
      <c r="H210" s="46">
        <f t="shared" si="34"/>
        <v>-271903.26</v>
      </c>
      <c r="I210" s="46"/>
      <c r="J210" s="46">
        <v>178766.12</v>
      </c>
      <c r="K210" s="46">
        <v>177834.73</v>
      </c>
      <c r="L210" s="46">
        <f t="shared" si="35"/>
        <v>-931.38999999998487</v>
      </c>
      <c r="M210" s="46"/>
      <c r="N210" s="46">
        <v>95203.08</v>
      </c>
      <c r="O210" s="46">
        <v>155958.23000000001</v>
      </c>
      <c r="P210" s="46">
        <f t="shared" si="36"/>
        <v>60755.150000000009</v>
      </c>
      <c r="Q210" s="46"/>
      <c r="R210" s="46">
        <v>92493.55</v>
      </c>
      <c r="S210" s="46">
        <v>70735.12</v>
      </c>
      <c r="T210" s="46">
        <f t="shared" si="37"/>
        <v>-21758.430000000008</v>
      </c>
      <c r="U210" s="46"/>
      <c r="V210" s="46">
        <v>94220.01</v>
      </c>
      <c r="W210" s="46">
        <v>94333.85</v>
      </c>
      <c r="X210" s="46">
        <f t="shared" si="38"/>
        <v>113.84000000001106</v>
      </c>
      <c r="Y210" s="46"/>
      <c r="Z210" s="46">
        <v>269536.18</v>
      </c>
      <c r="AA210" s="46">
        <v>20256.29</v>
      </c>
      <c r="AB210" s="46">
        <f t="shared" si="39"/>
        <v>-249279.88999999998</v>
      </c>
      <c r="AC210" s="46"/>
      <c r="AD210" s="46">
        <v>93503.03</v>
      </c>
      <c r="AE210" s="46">
        <v>87224.66</v>
      </c>
      <c r="AF210" s="46">
        <f t="shared" si="40"/>
        <v>-6278.3699999999953</v>
      </c>
      <c r="AG210" s="46"/>
      <c r="AH210" s="46">
        <v>71247</v>
      </c>
      <c r="AI210" s="46">
        <v>16722.830000000002</v>
      </c>
      <c r="AJ210" s="46">
        <f t="shared" si="41"/>
        <v>-54524.17</v>
      </c>
      <c r="AK210" s="46"/>
      <c r="AL210" s="46">
        <v>3193359.05</v>
      </c>
      <c r="AM210" s="46">
        <v>687258.44</v>
      </c>
      <c r="AN210" s="46">
        <f t="shared" si="42"/>
        <v>-2506100.61</v>
      </c>
      <c r="AO210" s="46"/>
      <c r="AP210" s="46">
        <v>25680</v>
      </c>
      <c r="AQ210" s="47">
        <v>0</v>
      </c>
      <c r="AR210" s="46">
        <f t="shared" si="43"/>
        <v>-25680</v>
      </c>
      <c r="AS210" s="46"/>
      <c r="AT210" s="46">
        <v>242058.3</v>
      </c>
      <c r="AU210" s="46">
        <v>83.33</v>
      </c>
    </row>
    <row r="211" spans="1:47" x14ac:dyDescent="0.25">
      <c r="A211" s="35" t="s">
        <v>122</v>
      </c>
      <c r="B211" s="46">
        <v>26987040.600000001</v>
      </c>
      <c r="C211" s="46">
        <v>28040725.16</v>
      </c>
      <c r="D211" s="46">
        <f t="shared" si="33"/>
        <v>1053684.5599999987</v>
      </c>
      <c r="E211" s="46"/>
      <c r="F211" s="46">
        <v>3489264.49</v>
      </c>
      <c r="G211" s="46">
        <v>3475227.99</v>
      </c>
      <c r="H211" s="46">
        <f t="shared" si="34"/>
        <v>-14036.5</v>
      </c>
      <c r="I211" s="46"/>
      <c r="J211" s="46">
        <v>844298.63</v>
      </c>
      <c r="K211" s="46">
        <v>747325.43999999994</v>
      </c>
      <c r="L211" s="46">
        <f t="shared" si="35"/>
        <v>-96973.190000000061</v>
      </c>
      <c r="M211" s="46"/>
      <c r="N211" s="46">
        <v>310340.31</v>
      </c>
      <c r="O211" s="46">
        <v>459739.25</v>
      </c>
      <c r="P211" s="46">
        <f t="shared" si="36"/>
        <v>149398.94</v>
      </c>
      <c r="Q211" s="46"/>
      <c r="R211" s="46">
        <v>571842.94999999995</v>
      </c>
      <c r="S211" s="46">
        <v>564496.21</v>
      </c>
      <c r="T211" s="46">
        <f t="shared" si="37"/>
        <v>-7346.7399999999907</v>
      </c>
      <c r="U211" s="46"/>
      <c r="V211" s="46">
        <v>541931.72</v>
      </c>
      <c r="W211" s="46">
        <v>580306.22</v>
      </c>
      <c r="X211" s="46">
        <f t="shared" si="38"/>
        <v>38374.5</v>
      </c>
      <c r="Y211" s="46"/>
      <c r="Z211" s="46">
        <v>557156.12</v>
      </c>
      <c r="AA211" s="46">
        <v>567830.41</v>
      </c>
      <c r="AB211" s="46">
        <f t="shared" si="39"/>
        <v>10674.290000000037</v>
      </c>
      <c r="AC211" s="46"/>
      <c r="AD211" s="46">
        <v>492178.52</v>
      </c>
      <c r="AE211" s="46">
        <v>243528.54</v>
      </c>
      <c r="AF211" s="46">
        <f t="shared" si="40"/>
        <v>-248649.98</v>
      </c>
      <c r="AG211" s="46"/>
      <c r="AH211" s="46">
        <v>171516.24</v>
      </c>
      <c r="AI211" s="46">
        <v>312001.91999999998</v>
      </c>
      <c r="AJ211" s="46">
        <f t="shared" si="41"/>
        <v>140485.68</v>
      </c>
      <c r="AK211" s="46"/>
      <c r="AL211" s="46">
        <v>23295182.18</v>
      </c>
      <c r="AM211" s="46">
        <v>24503808.190000001</v>
      </c>
      <c r="AN211" s="46">
        <f t="shared" si="42"/>
        <v>1208626.0100000016</v>
      </c>
      <c r="AO211" s="46"/>
      <c r="AP211" s="46">
        <v>175063.87</v>
      </c>
      <c r="AQ211" s="47">
        <v>0</v>
      </c>
      <c r="AR211" s="46">
        <f t="shared" si="43"/>
        <v>-175063.87</v>
      </c>
      <c r="AS211" s="46"/>
      <c r="AT211" s="46">
        <v>18413.060000000001</v>
      </c>
      <c r="AU211" s="46">
        <v>61688.98</v>
      </c>
    </row>
    <row r="212" spans="1:47" x14ac:dyDescent="0.25">
      <c r="A212" s="35" t="s">
        <v>123</v>
      </c>
      <c r="B212" s="46">
        <v>14086269.550000001</v>
      </c>
      <c r="C212" s="46">
        <v>11659543.960000001</v>
      </c>
      <c r="D212" s="46">
        <f t="shared" si="33"/>
        <v>-2426725.59</v>
      </c>
      <c r="E212" s="46"/>
      <c r="F212" s="46">
        <v>1935118.14</v>
      </c>
      <c r="G212" s="46">
        <v>1930601.18</v>
      </c>
      <c r="H212" s="46">
        <f t="shared" si="34"/>
        <v>-4516.9599999999627</v>
      </c>
      <c r="I212" s="46"/>
      <c r="J212" s="46">
        <v>445473.24</v>
      </c>
      <c r="K212" s="46">
        <v>234577.19</v>
      </c>
      <c r="L212" s="46">
        <f t="shared" si="35"/>
        <v>-210896.05</v>
      </c>
      <c r="M212" s="46"/>
      <c r="N212" s="46">
        <v>233849</v>
      </c>
      <c r="O212" s="46">
        <v>74025.679999999993</v>
      </c>
      <c r="P212" s="46">
        <f t="shared" si="36"/>
        <v>-159823.32</v>
      </c>
      <c r="Q212" s="46"/>
      <c r="R212" s="46">
        <v>342000.32</v>
      </c>
      <c r="S212" s="46">
        <v>337086.1</v>
      </c>
      <c r="T212" s="46">
        <f t="shared" si="37"/>
        <v>-4914.2200000000303</v>
      </c>
      <c r="U212" s="46"/>
      <c r="V212" s="46">
        <v>122740</v>
      </c>
      <c r="W212" s="46">
        <v>147418.22</v>
      </c>
      <c r="X212" s="46">
        <f t="shared" si="38"/>
        <v>24678.22</v>
      </c>
      <c r="Y212" s="46"/>
      <c r="Z212" s="46">
        <v>335294.06</v>
      </c>
      <c r="AA212" s="46">
        <v>558082.52</v>
      </c>
      <c r="AB212" s="46">
        <f t="shared" si="39"/>
        <v>222788.46000000002</v>
      </c>
      <c r="AC212" s="46"/>
      <c r="AD212" s="46">
        <v>281875.51</v>
      </c>
      <c r="AE212" s="46">
        <v>235525.51</v>
      </c>
      <c r="AF212" s="46">
        <f t="shared" si="40"/>
        <v>-46350</v>
      </c>
      <c r="AG212" s="46"/>
      <c r="AH212" s="46">
        <v>173886.01</v>
      </c>
      <c r="AI212" s="46">
        <v>343885.96</v>
      </c>
      <c r="AJ212" s="46">
        <f t="shared" si="41"/>
        <v>169999.95</v>
      </c>
      <c r="AK212" s="46"/>
      <c r="AL212" s="46">
        <v>12018523.33</v>
      </c>
      <c r="AM212" s="46">
        <v>9324983.6799999997</v>
      </c>
      <c r="AN212" s="46">
        <f t="shared" si="42"/>
        <v>-2693539.6500000004</v>
      </c>
      <c r="AO212" s="46"/>
      <c r="AP212" s="46">
        <v>59696.33</v>
      </c>
      <c r="AQ212" s="47">
        <v>0</v>
      </c>
      <c r="AR212" s="46">
        <f t="shared" si="43"/>
        <v>-59696.33</v>
      </c>
      <c r="AS212" s="46"/>
      <c r="AT212" s="46">
        <v>65469.75</v>
      </c>
      <c r="AU212" s="46">
        <v>403959.1</v>
      </c>
    </row>
    <row r="213" spans="1:47" ht="22.5" x14ac:dyDescent="0.25">
      <c r="A213" s="35" t="s">
        <v>199</v>
      </c>
      <c r="B213" s="46">
        <v>11707439.060000001</v>
      </c>
      <c r="C213" s="46">
        <v>9630323.0999999996</v>
      </c>
      <c r="D213" s="46">
        <f t="shared" si="33"/>
        <v>-2077115.9600000009</v>
      </c>
      <c r="E213" s="46"/>
      <c r="F213" s="46">
        <v>476697.86</v>
      </c>
      <c r="G213" s="46">
        <v>202644.58</v>
      </c>
      <c r="H213" s="46">
        <f t="shared" si="34"/>
        <v>-274053.28000000003</v>
      </c>
      <c r="I213" s="46"/>
      <c r="J213" s="46">
        <v>119071.96</v>
      </c>
      <c r="K213" s="46">
        <v>78678.83</v>
      </c>
      <c r="L213" s="46">
        <f t="shared" si="35"/>
        <v>-40393.130000000005</v>
      </c>
      <c r="M213" s="46"/>
      <c r="N213" s="47">
        <v>0</v>
      </c>
      <c r="O213" s="46">
        <v>36426.19</v>
      </c>
      <c r="P213" s="46">
        <f t="shared" si="36"/>
        <v>36426.19</v>
      </c>
      <c r="Q213" s="46"/>
      <c r="R213" s="46">
        <v>22143.19</v>
      </c>
      <c r="S213" s="46">
        <v>20390.990000000002</v>
      </c>
      <c r="T213" s="46">
        <f t="shared" si="37"/>
        <v>-1752.1999999999971</v>
      </c>
      <c r="U213" s="46"/>
      <c r="V213" s="46">
        <v>25324.66</v>
      </c>
      <c r="W213" s="46">
        <v>8119.66</v>
      </c>
      <c r="X213" s="46">
        <f t="shared" si="38"/>
        <v>-17205</v>
      </c>
      <c r="Y213" s="46"/>
      <c r="Z213" s="46">
        <v>243395.14</v>
      </c>
      <c r="AA213" s="46">
        <v>40452.800000000003</v>
      </c>
      <c r="AB213" s="46">
        <f t="shared" si="39"/>
        <v>-202942.34000000003</v>
      </c>
      <c r="AC213" s="46"/>
      <c r="AD213" s="46">
        <v>54754.91</v>
      </c>
      <c r="AE213" s="46">
        <v>15626.11</v>
      </c>
      <c r="AF213" s="46">
        <f t="shared" si="40"/>
        <v>-39128.800000000003</v>
      </c>
      <c r="AG213" s="46"/>
      <c r="AH213" s="46">
        <v>12008</v>
      </c>
      <c r="AI213" s="46">
        <v>2950</v>
      </c>
      <c r="AJ213" s="46">
        <f t="shared" si="41"/>
        <v>-9058</v>
      </c>
      <c r="AK213" s="46"/>
      <c r="AL213" s="46">
        <v>11127928.199999999</v>
      </c>
      <c r="AM213" s="46">
        <v>9419678.5199999996</v>
      </c>
      <c r="AN213" s="46">
        <f t="shared" si="42"/>
        <v>-1708249.6799999997</v>
      </c>
      <c r="AO213" s="46"/>
      <c r="AP213" s="46">
        <v>99320</v>
      </c>
      <c r="AQ213" s="47">
        <v>0</v>
      </c>
      <c r="AR213" s="46">
        <f t="shared" si="43"/>
        <v>-99320</v>
      </c>
      <c r="AS213" s="46"/>
      <c r="AT213" s="47">
        <v>0</v>
      </c>
      <c r="AU213" s="46">
        <v>8000</v>
      </c>
    </row>
    <row r="214" spans="1:47" x14ac:dyDescent="0.25">
      <c r="A214" s="35" t="s">
        <v>126</v>
      </c>
      <c r="B214" s="47">
        <v>0</v>
      </c>
      <c r="C214" s="46">
        <v>0</v>
      </c>
      <c r="D214" s="46">
        <f t="shared" si="33"/>
        <v>0</v>
      </c>
      <c r="E214" s="46"/>
      <c r="F214" s="47">
        <v>0</v>
      </c>
      <c r="G214" s="47">
        <v>0</v>
      </c>
      <c r="H214" s="46">
        <f t="shared" si="34"/>
        <v>0</v>
      </c>
      <c r="I214" s="46"/>
      <c r="J214" s="47">
        <v>0</v>
      </c>
      <c r="K214" s="47">
        <v>0</v>
      </c>
      <c r="L214" s="46">
        <f t="shared" si="35"/>
        <v>0</v>
      </c>
      <c r="M214" s="46"/>
      <c r="N214" s="47">
        <v>0</v>
      </c>
      <c r="O214" s="47">
        <v>0</v>
      </c>
      <c r="P214" s="46">
        <f t="shared" si="36"/>
        <v>0</v>
      </c>
      <c r="Q214" s="46"/>
      <c r="R214" s="47">
        <v>0</v>
      </c>
      <c r="S214" s="47">
        <v>0</v>
      </c>
      <c r="T214" s="46">
        <f t="shared" si="37"/>
        <v>0</v>
      </c>
      <c r="U214" s="46"/>
      <c r="V214" s="47">
        <v>0</v>
      </c>
      <c r="W214" s="47">
        <v>0</v>
      </c>
      <c r="X214" s="46">
        <f t="shared" si="38"/>
        <v>0</v>
      </c>
      <c r="Y214" s="46"/>
      <c r="Z214" s="47">
        <v>0</v>
      </c>
      <c r="AA214" s="47">
        <v>0</v>
      </c>
      <c r="AB214" s="46">
        <f t="shared" si="39"/>
        <v>0</v>
      </c>
      <c r="AC214" s="46"/>
      <c r="AD214" s="47">
        <v>0</v>
      </c>
      <c r="AE214" s="47">
        <v>0</v>
      </c>
      <c r="AF214" s="46">
        <f t="shared" si="40"/>
        <v>0</v>
      </c>
      <c r="AG214" s="46"/>
      <c r="AH214" s="47">
        <v>0</v>
      </c>
      <c r="AI214" s="47">
        <v>0</v>
      </c>
      <c r="AJ214" s="46">
        <f t="shared" si="41"/>
        <v>0</v>
      </c>
      <c r="AK214" s="46"/>
      <c r="AL214" s="47">
        <v>0</v>
      </c>
      <c r="AM214" s="46">
        <v>0</v>
      </c>
      <c r="AN214" s="46">
        <f t="shared" si="42"/>
        <v>0</v>
      </c>
      <c r="AO214" s="46"/>
      <c r="AP214" s="47">
        <v>0</v>
      </c>
      <c r="AQ214" s="47">
        <v>0</v>
      </c>
      <c r="AR214" s="46">
        <f t="shared" si="43"/>
        <v>0</v>
      </c>
      <c r="AS214" s="46"/>
      <c r="AT214" s="47">
        <v>0</v>
      </c>
      <c r="AU214" s="47">
        <v>0</v>
      </c>
    </row>
    <row r="215" spans="1:47" x14ac:dyDescent="0.25">
      <c r="A215" s="35" t="s">
        <v>127</v>
      </c>
      <c r="B215" s="47">
        <v>0</v>
      </c>
      <c r="C215" s="47">
        <v>0</v>
      </c>
      <c r="D215" s="47">
        <f t="shared" si="33"/>
        <v>0</v>
      </c>
      <c r="E215" s="47"/>
      <c r="F215" s="47">
        <v>0</v>
      </c>
      <c r="G215" s="47">
        <v>0</v>
      </c>
      <c r="H215" s="47">
        <f t="shared" si="34"/>
        <v>0</v>
      </c>
      <c r="I215" s="47"/>
      <c r="J215" s="47">
        <v>0</v>
      </c>
      <c r="K215" s="47">
        <v>0</v>
      </c>
      <c r="L215" s="47">
        <f t="shared" si="35"/>
        <v>0</v>
      </c>
      <c r="M215" s="47"/>
      <c r="N215" s="47">
        <v>0</v>
      </c>
      <c r="O215" s="47">
        <v>0</v>
      </c>
      <c r="P215" s="47">
        <f t="shared" si="36"/>
        <v>0</v>
      </c>
      <c r="Q215" s="47"/>
      <c r="R215" s="47">
        <v>0</v>
      </c>
      <c r="S215" s="47">
        <v>0</v>
      </c>
      <c r="T215" s="47">
        <f t="shared" si="37"/>
        <v>0</v>
      </c>
      <c r="U215" s="47"/>
      <c r="V215" s="47">
        <v>0</v>
      </c>
      <c r="W215" s="47">
        <v>0</v>
      </c>
      <c r="X215" s="47">
        <f t="shared" si="38"/>
        <v>0</v>
      </c>
      <c r="Y215" s="47"/>
      <c r="Z215" s="47">
        <v>0</v>
      </c>
      <c r="AA215" s="47">
        <v>0</v>
      </c>
      <c r="AB215" s="47">
        <f t="shared" si="39"/>
        <v>0</v>
      </c>
      <c r="AC215" s="47"/>
      <c r="AD215" s="47">
        <v>0</v>
      </c>
      <c r="AE215" s="47">
        <v>0</v>
      </c>
      <c r="AF215" s="47">
        <f t="shared" si="40"/>
        <v>0</v>
      </c>
      <c r="AG215" s="47"/>
      <c r="AH215" s="47">
        <v>0</v>
      </c>
      <c r="AI215" s="47">
        <v>0</v>
      </c>
      <c r="AJ215" s="47">
        <f t="shared" si="41"/>
        <v>0</v>
      </c>
      <c r="AK215" s="47"/>
      <c r="AL215" s="47">
        <v>0</v>
      </c>
      <c r="AM215" s="47">
        <v>0</v>
      </c>
      <c r="AN215" s="47">
        <f t="shared" si="42"/>
        <v>0</v>
      </c>
      <c r="AO215" s="47"/>
      <c r="AP215" s="47">
        <v>0</v>
      </c>
      <c r="AQ215" s="47">
        <v>0</v>
      </c>
      <c r="AR215" s="47">
        <f t="shared" si="43"/>
        <v>0</v>
      </c>
      <c r="AS215" s="47"/>
      <c r="AT215" s="47">
        <v>0</v>
      </c>
      <c r="AU215" s="47">
        <v>0</v>
      </c>
    </row>
    <row r="216" spans="1:47" x14ac:dyDescent="0.25">
      <c r="A216" s="35" t="s">
        <v>200</v>
      </c>
      <c r="B216" s="47">
        <v>0</v>
      </c>
      <c r="C216" s="46">
        <v>0</v>
      </c>
      <c r="D216" s="46">
        <f t="shared" si="33"/>
        <v>0</v>
      </c>
      <c r="E216" s="46"/>
      <c r="F216" s="47">
        <v>0</v>
      </c>
      <c r="G216" s="47">
        <v>0</v>
      </c>
      <c r="H216" s="46">
        <f t="shared" si="34"/>
        <v>0</v>
      </c>
      <c r="I216" s="46"/>
      <c r="J216" s="47">
        <v>0</v>
      </c>
      <c r="K216" s="47">
        <v>0</v>
      </c>
      <c r="L216" s="46">
        <f t="shared" si="35"/>
        <v>0</v>
      </c>
      <c r="M216" s="46"/>
      <c r="N216" s="47">
        <v>0</v>
      </c>
      <c r="O216" s="47">
        <v>0</v>
      </c>
      <c r="P216" s="46">
        <f t="shared" si="36"/>
        <v>0</v>
      </c>
      <c r="Q216" s="46"/>
      <c r="R216" s="47">
        <v>0</v>
      </c>
      <c r="S216" s="47">
        <v>0</v>
      </c>
      <c r="T216" s="46">
        <f t="shared" si="37"/>
        <v>0</v>
      </c>
      <c r="U216" s="46"/>
      <c r="V216" s="47">
        <v>0</v>
      </c>
      <c r="W216" s="47">
        <v>0</v>
      </c>
      <c r="X216" s="46">
        <f t="shared" si="38"/>
        <v>0</v>
      </c>
      <c r="Y216" s="46"/>
      <c r="Z216" s="47">
        <v>0</v>
      </c>
      <c r="AA216" s="47">
        <v>0</v>
      </c>
      <c r="AB216" s="46">
        <f t="shared" si="39"/>
        <v>0</v>
      </c>
      <c r="AC216" s="46"/>
      <c r="AD216" s="47">
        <v>0</v>
      </c>
      <c r="AE216" s="47">
        <v>0</v>
      </c>
      <c r="AF216" s="46">
        <f t="shared" si="40"/>
        <v>0</v>
      </c>
      <c r="AG216" s="46"/>
      <c r="AH216" s="47">
        <v>0</v>
      </c>
      <c r="AI216" s="47">
        <v>0</v>
      </c>
      <c r="AJ216" s="46">
        <f t="shared" si="41"/>
        <v>0</v>
      </c>
      <c r="AK216" s="46"/>
      <c r="AL216" s="47">
        <v>0</v>
      </c>
      <c r="AM216" s="46">
        <v>0</v>
      </c>
      <c r="AN216" s="46">
        <f t="shared" si="42"/>
        <v>0</v>
      </c>
      <c r="AO216" s="46"/>
      <c r="AP216" s="47">
        <v>0</v>
      </c>
      <c r="AQ216" s="47">
        <v>0</v>
      </c>
      <c r="AR216" s="46">
        <f t="shared" si="43"/>
        <v>0</v>
      </c>
      <c r="AS216" s="46"/>
      <c r="AT216" s="47">
        <v>0</v>
      </c>
      <c r="AU216" s="47">
        <v>0</v>
      </c>
    </row>
    <row r="217" spans="1:47" x14ac:dyDescent="0.25">
      <c r="A217" s="34" t="s">
        <v>201</v>
      </c>
      <c r="B217" s="44">
        <v>86534380.709999993</v>
      </c>
      <c r="C217" s="44">
        <v>81949895.099999994</v>
      </c>
      <c r="D217" s="44">
        <f t="shared" si="33"/>
        <v>-4584485.6099999994</v>
      </c>
      <c r="E217" s="44"/>
      <c r="F217" s="44">
        <v>49235459.359999999</v>
      </c>
      <c r="G217" s="44">
        <v>52196723.700000003</v>
      </c>
      <c r="H217" s="44">
        <f t="shared" si="34"/>
        <v>2961264.3400000036</v>
      </c>
      <c r="I217" s="44"/>
      <c r="J217" s="44">
        <v>6850896.1699999999</v>
      </c>
      <c r="K217" s="44">
        <v>7998219.3300000001</v>
      </c>
      <c r="L217" s="44">
        <f t="shared" si="35"/>
        <v>1147323.1600000001</v>
      </c>
      <c r="M217" s="44"/>
      <c r="N217" s="44">
        <v>11076311.550000001</v>
      </c>
      <c r="O217" s="44">
        <v>9420753.6699999999</v>
      </c>
      <c r="P217" s="44">
        <f t="shared" si="36"/>
        <v>-1655557.8800000008</v>
      </c>
      <c r="Q217" s="44"/>
      <c r="R217" s="44">
        <v>6503270.5800000001</v>
      </c>
      <c r="S217" s="44">
        <v>8353201.25</v>
      </c>
      <c r="T217" s="44">
        <f t="shared" si="37"/>
        <v>1849930.67</v>
      </c>
      <c r="U217" s="44"/>
      <c r="V217" s="44">
        <v>7483071.8099999996</v>
      </c>
      <c r="W217" s="44">
        <v>5027402.3899999997</v>
      </c>
      <c r="X217" s="44">
        <f t="shared" si="38"/>
        <v>-2455669.42</v>
      </c>
      <c r="Y217" s="44"/>
      <c r="Z217" s="44">
        <v>7547449.4100000001</v>
      </c>
      <c r="AA217" s="44">
        <v>8578326.8599999994</v>
      </c>
      <c r="AB217" s="44">
        <f t="shared" si="39"/>
        <v>1030877.4499999993</v>
      </c>
      <c r="AC217" s="44"/>
      <c r="AD217" s="44">
        <v>5767461.0199999996</v>
      </c>
      <c r="AE217" s="44">
        <v>7743821.2699999996</v>
      </c>
      <c r="AF217" s="44">
        <f t="shared" si="40"/>
        <v>1976360.25</v>
      </c>
      <c r="AG217" s="44"/>
      <c r="AH217" s="44">
        <v>4006998.82</v>
      </c>
      <c r="AI217" s="44">
        <v>5074998.93</v>
      </c>
      <c r="AJ217" s="44">
        <f t="shared" si="41"/>
        <v>1068000.1099999999</v>
      </c>
      <c r="AK217" s="44"/>
      <c r="AL217" s="44">
        <v>22398214.149999999</v>
      </c>
      <c r="AM217" s="44">
        <v>15791889.4</v>
      </c>
      <c r="AN217" s="44">
        <f t="shared" si="42"/>
        <v>-6606324.7499999981</v>
      </c>
      <c r="AO217" s="44"/>
      <c r="AP217" s="44">
        <v>3756883.18</v>
      </c>
      <c r="AQ217" s="44">
        <v>6542731.4299999997</v>
      </c>
      <c r="AR217" s="44">
        <f t="shared" si="43"/>
        <v>2785848.2499999995</v>
      </c>
      <c r="AS217" s="44"/>
      <c r="AT217" s="44">
        <v>7036870.2800000003</v>
      </c>
      <c r="AU217" s="44">
        <v>7336550.1799999997</v>
      </c>
    </row>
    <row r="218" spans="1:47" x14ac:dyDescent="0.25">
      <c r="A218" s="35" t="s">
        <v>202</v>
      </c>
      <c r="B218" s="46">
        <v>6877229.1500000004</v>
      </c>
      <c r="C218" s="46">
        <v>5641489.3399999999</v>
      </c>
      <c r="D218" s="46">
        <f t="shared" si="33"/>
        <v>-1235739.8100000005</v>
      </c>
      <c r="E218" s="46"/>
      <c r="F218" s="46">
        <v>5342307.22</v>
      </c>
      <c r="G218" s="46">
        <v>4348472.9800000004</v>
      </c>
      <c r="H218" s="46">
        <f t="shared" si="34"/>
        <v>-993834.23999999929</v>
      </c>
      <c r="I218" s="46"/>
      <c r="J218" s="46">
        <v>712568.41</v>
      </c>
      <c r="K218" s="46">
        <v>626580.11</v>
      </c>
      <c r="L218" s="46">
        <f t="shared" si="35"/>
        <v>-85988.300000000047</v>
      </c>
      <c r="M218" s="46"/>
      <c r="N218" s="46">
        <v>984414.75</v>
      </c>
      <c r="O218" s="46">
        <v>1083436.5900000001</v>
      </c>
      <c r="P218" s="46">
        <f t="shared" si="36"/>
        <v>99021.840000000084</v>
      </c>
      <c r="Q218" s="46"/>
      <c r="R218" s="46">
        <v>1352714.95</v>
      </c>
      <c r="S218" s="46">
        <v>702265.28</v>
      </c>
      <c r="T218" s="46">
        <f t="shared" si="37"/>
        <v>-650449.66999999993</v>
      </c>
      <c r="U218" s="46"/>
      <c r="V218" s="46">
        <v>367864.72</v>
      </c>
      <c r="W218" s="46">
        <v>208420.64</v>
      </c>
      <c r="X218" s="46">
        <f t="shared" si="38"/>
        <v>-159444.07999999996</v>
      </c>
      <c r="Y218" s="46"/>
      <c r="Z218" s="46">
        <v>901548.77</v>
      </c>
      <c r="AA218" s="46">
        <v>888600.51</v>
      </c>
      <c r="AB218" s="46">
        <f t="shared" si="39"/>
        <v>-12948.260000000009</v>
      </c>
      <c r="AC218" s="46"/>
      <c r="AD218" s="46">
        <v>474740.97</v>
      </c>
      <c r="AE218" s="46">
        <v>401513.81</v>
      </c>
      <c r="AF218" s="46">
        <f t="shared" si="40"/>
        <v>-73227.159999999974</v>
      </c>
      <c r="AG218" s="46"/>
      <c r="AH218" s="46">
        <v>548454.65</v>
      </c>
      <c r="AI218" s="46">
        <v>437656.04</v>
      </c>
      <c r="AJ218" s="46">
        <f t="shared" si="41"/>
        <v>-110798.61000000004</v>
      </c>
      <c r="AK218" s="46"/>
      <c r="AL218" s="46">
        <v>676715.42</v>
      </c>
      <c r="AM218" s="46">
        <v>758187.77</v>
      </c>
      <c r="AN218" s="46">
        <f t="shared" si="42"/>
        <v>81472.349999999977</v>
      </c>
      <c r="AO218" s="46"/>
      <c r="AP218" s="46">
        <v>526406.49</v>
      </c>
      <c r="AQ218" s="46">
        <v>268852.05</v>
      </c>
      <c r="AR218" s="46">
        <f t="shared" si="43"/>
        <v>-257554.44</v>
      </c>
      <c r="AS218" s="46"/>
      <c r="AT218" s="46">
        <v>253961.76</v>
      </c>
      <c r="AU218" s="46">
        <v>262030.07</v>
      </c>
    </row>
    <row r="219" spans="1:47" x14ac:dyDescent="0.25">
      <c r="A219" s="35" t="s">
        <v>203</v>
      </c>
      <c r="B219" s="46">
        <v>12364782.98</v>
      </c>
      <c r="C219" s="46">
        <v>9078888.5999999996</v>
      </c>
      <c r="D219" s="46">
        <f t="shared" si="33"/>
        <v>-3285894.3800000008</v>
      </c>
      <c r="E219" s="46"/>
      <c r="F219" s="46">
        <v>6052496.3700000001</v>
      </c>
      <c r="G219" s="46">
        <v>5196725.8</v>
      </c>
      <c r="H219" s="46">
        <f t="shared" si="34"/>
        <v>-855770.5700000003</v>
      </c>
      <c r="I219" s="46"/>
      <c r="J219" s="46">
        <v>892043.67</v>
      </c>
      <c r="K219" s="46">
        <v>859313.82</v>
      </c>
      <c r="L219" s="46">
        <f t="shared" si="35"/>
        <v>-32729.850000000093</v>
      </c>
      <c r="M219" s="46"/>
      <c r="N219" s="46">
        <v>1303637.29</v>
      </c>
      <c r="O219" s="46">
        <v>793716.52</v>
      </c>
      <c r="P219" s="46">
        <f t="shared" si="36"/>
        <v>-509920.77</v>
      </c>
      <c r="Q219" s="46"/>
      <c r="R219" s="46">
        <v>869584.27</v>
      </c>
      <c r="S219" s="46">
        <v>606221.01</v>
      </c>
      <c r="T219" s="46">
        <f t="shared" si="37"/>
        <v>-263363.26</v>
      </c>
      <c r="U219" s="46"/>
      <c r="V219" s="46">
        <v>862459.52</v>
      </c>
      <c r="W219" s="46">
        <v>767337.14</v>
      </c>
      <c r="X219" s="46">
        <f t="shared" si="38"/>
        <v>-95122.38</v>
      </c>
      <c r="Y219" s="46"/>
      <c r="Z219" s="46">
        <v>758816.54</v>
      </c>
      <c r="AA219" s="46">
        <v>909497.47</v>
      </c>
      <c r="AB219" s="46">
        <f t="shared" si="39"/>
        <v>150680.92999999993</v>
      </c>
      <c r="AC219" s="46"/>
      <c r="AD219" s="46">
        <v>766630.67</v>
      </c>
      <c r="AE219" s="46">
        <v>702628.48</v>
      </c>
      <c r="AF219" s="46">
        <f t="shared" si="40"/>
        <v>-64002.190000000061</v>
      </c>
      <c r="AG219" s="46"/>
      <c r="AH219" s="46">
        <v>599324.41</v>
      </c>
      <c r="AI219" s="46">
        <v>558011.36</v>
      </c>
      <c r="AJ219" s="46">
        <f t="shared" si="41"/>
        <v>-41313.050000000047</v>
      </c>
      <c r="AK219" s="46"/>
      <c r="AL219" s="46">
        <v>2698051.77</v>
      </c>
      <c r="AM219" s="46">
        <v>1031432.45</v>
      </c>
      <c r="AN219" s="46">
        <f t="shared" si="42"/>
        <v>-1666619.32</v>
      </c>
      <c r="AO219" s="46"/>
      <c r="AP219" s="46">
        <v>506293.31</v>
      </c>
      <c r="AQ219" s="46">
        <v>959373.44</v>
      </c>
      <c r="AR219" s="46">
        <f t="shared" si="43"/>
        <v>453080.12999999995</v>
      </c>
      <c r="AS219" s="46"/>
      <c r="AT219" s="46">
        <v>3053441.53</v>
      </c>
      <c r="AU219" s="46">
        <v>1891356.91</v>
      </c>
    </row>
    <row r="220" spans="1:47" x14ac:dyDescent="0.25">
      <c r="A220" s="35" t="s">
        <v>204</v>
      </c>
      <c r="B220" s="46">
        <v>11562461.59</v>
      </c>
      <c r="C220" s="46">
        <v>7851159.7699999996</v>
      </c>
      <c r="D220" s="46">
        <f t="shared" si="33"/>
        <v>-3711301.8200000003</v>
      </c>
      <c r="E220" s="46"/>
      <c r="F220" s="46">
        <v>5449255.71</v>
      </c>
      <c r="G220" s="46">
        <v>4133690.47</v>
      </c>
      <c r="H220" s="46">
        <f t="shared" si="34"/>
        <v>-1315565.2399999998</v>
      </c>
      <c r="I220" s="46"/>
      <c r="J220" s="46">
        <v>733862.68</v>
      </c>
      <c r="K220" s="46">
        <v>561426.13</v>
      </c>
      <c r="L220" s="46">
        <f t="shared" si="35"/>
        <v>-172436.55000000005</v>
      </c>
      <c r="M220" s="46"/>
      <c r="N220" s="46">
        <v>1393491.29</v>
      </c>
      <c r="O220" s="46">
        <v>992963.36</v>
      </c>
      <c r="P220" s="46">
        <f t="shared" si="36"/>
        <v>-400527.93000000005</v>
      </c>
      <c r="Q220" s="46"/>
      <c r="R220" s="46">
        <v>772290.22</v>
      </c>
      <c r="S220" s="46">
        <v>791537.79</v>
      </c>
      <c r="T220" s="46">
        <f t="shared" si="37"/>
        <v>19247.570000000065</v>
      </c>
      <c r="U220" s="46"/>
      <c r="V220" s="46">
        <v>408023.53</v>
      </c>
      <c r="W220" s="46">
        <v>264289.06</v>
      </c>
      <c r="X220" s="46">
        <f t="shared" si="38"/>
        <v>-143734.47000000003</v>
      </c>
      <c r="Y220" s="46"/>
      <c r="Z220" s="46">
        <v>1172167.6599999999</v>
      </c>
      <c r="AA220" s="46">
        <v>775903.12</v>
      </c>
      <c r="AB220" s="46">
        <f t="shared" si="39"/>
        <v>-396264.53999999992</v>
      </c>
      <c r="AC220" s="46"/>
      <c r="AD220" s="46">
        <v>381088.76</v>
      </c>
      <c r="AE220" s="46">
        <v>449292.06</v>
      </c>
      <c r="AF220" s="46">
        <f t="shared" si="40"/>
        <v>68203.299999999988</v>
      </c>
      <c r="AG220" s="46"/>
      <c r="AH220" s="46">
        <v>588331.56999999995</v>
      </c>
      <c r="AI220" s="46">
        <v>298278.95</v>
      </c>
      <c r="AJ220" s="46">
        <f t="shared" si="41"/>
        <v>-290052.61999999994</v>
      </c>
      <c r="AK220" s="46"/>
      <c r="AL220" s="46">
        <v>5853838.8899999997</v>
      </c>
      <c r="AM220" s="46">
        <v>2934996.32</v>
      </c>
      <c r="AN220" s="46">
        <f t="shared" si="42"/>
        <v>-2918842.57</v>
      </c>
      <c r="AO220" s="46"/>
      <c r="AP220" s="46">
        <v>63328.09</v>
      </c>
      <c r="AQ220" s="46">
        <v>19815.23</v>
      </c>
      <c r="AR220" s="46">
        <f t="shared" si="43"/>
        <v>-43512.86</v>
      </c>
      <c r="AS220" s="46"/>
      <c r="AT220" s="47">
        <v>0</v>
      </c>
      <c r="AU220" s="46">
        <v>748970.44</v>
      </c>
    </row>
    <row r="221" spans="1:47" x14ac:dyDescent="0.25">
      <c r="A221" s="35" t="s">
        <v>205</v>
      </c>
      <c r="B221" s="46">
        <v>12266762.369999999</v>
      </c>
      <c r="C221" s="46">
        <v>11174797.4</v>
      </c>
      <c r="D221" s="46">
        <f t="shared" si="33"/>
        <v>-1091964.9699999988</v>
      </c>
      <c r="E221" s="46"/>
      <c r="F221" s="46">
        <v>8438645.0800000001</v>
      </c>
      <c r="G221" s="46">
        <v>7716914.3899999997</v>
      </c>
      <c r="H221" s="46">
        <f t="shared" si="34"/>
        <v>-721730.69000000041</v>
      </c>
      <c r="I221" s="46"/>
      <c r="J221" s="46">
        <v>1392285.53</v>
      </c>
      <c r="K221" s="46">
        <v>1385875.12</v>
      </c>
      <c r="L221" s="46">
        <f t="shared" si="35"/>
        <v>-6410.4099999999162</v>
      </c>
      <c r="M221" s="46"/>
      <c r="N221" s="46">
        <v>1540651.46</v>
      </c>
      <c r="O221" s="46">
        <v>1507562.55</v>
      </c>
      <c r="P221" s="46">
        <f t="shared" si="36"/>
        <v>-33088.909999999916</v>
      </c>
      <c r="Q221" s="46"/>
      <c r="R221" s="46">
        <v>1325462.2</v>
      </c>
      <c r="S221" s="46">
        <v>1115873.44</v>
      </c>
      <c r="T221" s="46">
        <f t="shared" si="37"/>
        <v>-209588.76</v>
      </c>
      <c r="U221" s="46"/>
      <c r="V221" s="46">
        <v>1172466.96</v>
      </c>
      <c r="W221" s="46">
        <v>1032848.65</v>
      </c>
      <c r="X221" s="46">
        <f t="shared" si="38"/>
        <v>-139618.30999999994</v>
      </c>
      <c r="Y221" s="46"/>
      <c r="Z221" s="46">
        <v>1118438.01</v>
      </c>
      <c r="AA221" s="46">
        <v>980155.82</v>
      </c>
      <c r="AB221" s="46">
        <f t="shared" si="39"/>
        <v>-138282.19000000006</v>
      </c>
      <c r="AC221" s="46"/>
      <c r="AD221" s="46">
        <v>981005.29</v>
      </c>
      <c r="AE221" s="46">
        <v>926090.7</v>
      </c>
      <c r="AF221" s="46">
        <f t="shared" si="40"/>
        <v>-54914.590000000084</v>
      </c>
      <c r="AG221" s="46"/>
      <c r="AH221" s="46">
        <v>908335.63</v>
      </c>
      <c r="AI221" s="46">
        <v>768508.11</v>
      </c>
      <c r="AJ221" s="46">
        <f t="shared" si="41"/>
        <v>-139827.52000000002</v>
      </c>
      <c r="AK221" s="46"/>
      <c r="AL221" s="46">
        <v>2429561.1</v>
      </c>
      <c r="AM221" s="46">
        <v>1909997.61</v>
      </c>
      <c r="AN221" s="46">
        <f t="shared" si="42"/>
        <v>-519563.49</v>
      </c>
      <c r="AO221" s="46"/>
      <c r="AP221" s="46">
        <v>923765.18</v>
      </c>
      <c r="AQ221" s="46">
        <v>1281083.8400000001</v>
      </c>
      <c r="AR221" s="46">
        <f t="shared" si="43"/>
        <v>357318.66000000003</v>
      </c>
      <c r="AS221" s="46"/>
      <c r="AT221" s="46">
        <v>388007.67</v>
      </c>
      <c r="AU221" s="46">
        <v>265769.18</v>
      </c>
    </row>
    <row r="222" spans="1:47" x14ac:dyDescent="0.25">
      <c r="A222" s="36" t="s">
        <v>206</v>
      </c>
      <c r="B222" s="44">
        <v>30287108.010000002</v>
      </c>
      <c r="C222" s="44">
        <v>21069617.41</v>
      </c>
      <c r="D222" s="44">
        <f t="shared" si="33"/>
        <v>-9217490.6000000015</v>
      </c>
      <c r="E222" s="44"/>
      <c r="F222" s="44">
        <v>15654307.550000001</v>
      </c>
      <c r="G222" s="44">
        <v>13231131.800000001</v>
      </c>
      <c r="H222" s="44">
        <f t="shared" si="34"/>
        <v>-2423175.75</v>
      </c>
      <c r="I222" s="44"/>
      <c r="J222" s="44">
        <v>2079701.87</v>
      </c>
      <c r="K222" s="44">
        <v>1506819.11</v>
      </c>
      <c r="L222" s="44">
        <f t="shared" si="35"/>
        <v>-572882.76</v>
      </c>
      <c r="M222" s="44"/>
      <c r="N222" s="44">
        <v>3919469.56</v>
      </c>
      <c r="O222" s="44">
        <v>2398143.9300000002</v>
      </c>
      <c r="P222" s="44">
        <f t="shared" si="36"/>
        <v>-1521325.63</v>
      </c>
      <c r="Q222" s="44"/>
      <c r="R222" s="44">
        <v>1335747.24</v>
      </c>
      <c r="S222" s="44">
        <v>1993912.92</v>
      </c>
      <c r="T222" s="44">
        <f t="shared" si="37"/>
        <v>658165.67999999993</v>
      </c>
      <c r="U222" s="44"/>
      <c r="V222" s="44">
        <v>3020659.37</v>
      </c>
      <c r="W222" s="44">
        <v>1168053.04</v>
      </c>
      <c r="X222" s="44">
        <f t="shared" si="38"/>
        <v>-1852606.33</v>
      </c>
      <c r="Y222" s="44"/>
      <c r="Z222" s="44">
        <v>2398735.9900000002</v>
      </c>
      <c r="AA222" s="44">
        <v>2181777.29</v>
      </c>
      <c r="AB222" s="44">
        <f t="shared" si="39"/>
        <v>-216958.70000000019</v>
      </c>
      <c r="AC222" s="44"/>
      <c r="AD222" s="44">
        <v>1935960</v>
      </c>
      <c r="AE222" s="44">
        <v>2536939.4</v>
      </c>
      <c r="AF222" s="44">
        <f t="shared" si="40"/>
        <v>600979.39999999991</v>
      </c>
      <c r="AG222" s="44"/>
      <c r="AH222" s="44">
        <v>964033.52</v>
      </c>
      <c r="AI222" s="44">
        <v>1445486.11</v>
      </c>
      <c r="AJ222" s="44">
        <f t="shared" si="41"/>
        <v>481452.59000000008</v>
      </c>
      <c r="AK222" s="44"/>
      <c r="AL222" s="44">
        <v>7498980.4800000004</v>
      </c>
      <c r="AM222" s="44">
        <v>2727267.83</v>
      </c>
      <c r="AN222" s="44">
        <f t="shared" si="42"/>
        <v>-4771712.6500000004</v>
      </c>
      <c r="AO222" s="44"/>
      <c r="AP222" s="44">
        <v>1654741.67</v>
      </c>
      <c r="AQ222" s="44">
        <v>3216207.68</v>
      </c>
      <c r="AR222" s="44">
        <f t="shared" si="43"/>
        <v>1561466.0100000002</v>
      </c>
      <c r="AS222" s="44"/>
      <c r="AT222" s="44">
        <v>1999386.95</v>
      </c>
      <c r="AU222" s="44">
        <v>1852118.74</v>
      </c>
    </row>
    <row r="223" spans="1:47" x14ac:dyDescent="0.25">
      <c r="A223" s="37" t="s">
        <v>207</v>
      </c>
      <c r="B223" s="46">
        <v>4586972.63</v>
      </c>
      <c r="C223" s="46">
        <v>1810266.97</v>
      </c>
      <c r="D223" s="46">
        <f t="shared" si="33"/>
        <v>-2776705.66</v>
      </c>
      <c r="E223" s="46"/>
      <c r="F223" s="46">
        <v>1020933.83</v>
      </c>
      <c r="G223" s="46">
        <v>894517.98</v>
      </c>
      <c r="H223" s="46">
        <f t="shared" si="34"/>
        <v>-126415.84999999998</v>
      </c>
      <c r="I223" s="46"/>
      <c r="J223" s="46">
        <v>180910</v>
      </c>
      <c r="K223" s="46">
        <v>162150</v>
      </c>
      <c r="L223" s="46">
        <f t="shared" si="35"/>
        <v>-18760</v>
      </c>
      <c r="M223" s="46"/>
      <c r="N223" s="46">
        <v>364104</v>
      </c>
      <c r="O223" s="46">
        <v>80203</v>
      </c>
      <c r="P223" s="46">
        <f t="shared" si="36"/>
        <v>-283901</v>
      </c>
      <c r="Q223" s="46"/>
      <c r="R223" s="46">
        <v>222595</v>
      </c>
      <c r="S223" s="46">
        <v>144546.84</v>
      </c>
      <c r="T223" s="46">
        <f t="shared" si="37"/>
        <v>-78048.160000000003</v>
      </c>
      <c r="U223" s="46"/>
      <c r="V223" s="46">
        <v>91160.83</v>
      </c>
      <c r="W223" s="46">
        <v>8660.83</v>
      </c>
      <c r="X223" s="46">
        <f t="shared" si="38"/>
        <v>-82500</v>
      </c>
      <c r="Y223" s="46"/>
      <c r="Z223" s="46">
        <v>181924</v>
      </c>
      <c r="AA223" s="46">
        <v>187876.17</v>
      </c>
      <c r="AB223" s="46">
        <f t="shared" si="39"/>
        <v>5952.1700000000128</v>
      </c>
      <c r="AC223" s="46"/>
      <c r="AD223" s="46">
        <v>-221620</v>
      </c>
      <c r="AE223" s="46">
        <v>75297.789999999994</v>
      </c>
      <c r="AF223" s="46">
        <f t="shared" si="40"/>
        <v>296917.78999999998</v>
      </c>
      <c r="AG223" s="46"/>
      <c r="AH223" s="46">
        <v>201860</v>
      </c>
      <c r="AI223" s="46">
        <v>235783.35</v>
      </c>
      <c r="AJ223" s="46">
        <f t="shared" si="41"/>
        <v>33923.350000000006</v>
      </c>
      <c r="AK223" s="46"/>
      <c r="AL223" s="46">
        <v>878107</v>
      </c>
      <c r="AM223" s="46">
        <v>464185</v>
      </c>
      <c r="AN223" s="46">
        <f t="shared" si="42"/>
        <v>-413922</v>
      </c>
      <c r="AO223" s="46"/>
      <c r="AP223" s="46">
        <v>391131.8</v>
      </c>
      <c r="AQ223" s="46">
        <v>321213.26</v>
      </c>
      <c r="AR223" s="46">
        <f t="shared" si="43"/>
        <v>-69918.539999999979</v>
      </c>
      <c r="AS223" s="46"/>
      <c r="AT223" s="47">
        <v>0</v>
      </c>
      <c r="AU223" s="46">
        <v>130350.73</v>
      </c>
    </row>
    <row r="224" spans="1:47" x14ac:dyDescent="0.25">
      <c r="A224" s="37" t="s">
        <v>208</v>
      </c>
      <c r="B224" s="46">
        <v>18045041.469999999</v>
      </c>
      <c r="C224" s="46">
        <v>10655000.93</v>
      </c>
      <c r="D224" s="46">
        <f t="shared" si="33"/>
        <v>-7390040.5399999991</v>
      </c>
      <c r="E224" s="46"/>
      <c r="F224" s="46">
        <v>10901008.42</v>
      </c>
      <c r="G224" s="46">
        <v>6541692.9000000004</v>
      </c>
      <c r="H224" s="46">
        <f t="shared" si="34"/>
        <v>-4359315.5199999996</v>
      </c>
      <c r="I224" s="46"/>
      <c r="J224" s="46">
        <v>1544075.22</v>
      </c>
      <c r="K224" s="46">
        <v>666013.1</v>
      </c>
      <c r="L224" s="46">
        <f t="shared" si="35"/>
        <v>-878062.12</v>
      </c>
      <c r="M224" s="46"/>
      <c r="N224" s="46">
        <v>2311141.14</v>
      </c>
      <c r="O224" s="46">
        <v>1477459.61</v>
      </c>
      <c r="P224" s="46">
        <f t="shared" si="36"/>
        <v>-833681.53</v>
      </c>
      <c r="Q224" s="46"/>
      <c r="R224" s="46">
        <v>567814.72</v>
      </c>
      <c r="S224" s="46">
        <v>670129.05000000005</v>
      </c>
      <c r="T224" s="46">
        <f t="shared" si="37"/>
        <v>102314.33000000007</v>
      </c>
      <c r="U224" s="46"/>
      <c r="V224" s="46">
        <v>2500741.98</v>
      </c>
      <c r="W224" s="46">
        <v>881314.03</v>
      </c>
      <c r="X224" s="46">
        <f t="shared" si="38"/>
        <v>-1619427.95</v>
      </c>
      <c r="Y224" s="46"/>
      <c r="Z224" s="46">
        <v>1604897.28</v>
      </c>
      <c r="AA224" s="46">
        <v>1343445.88</v>
      </c>
      <c r="AB224" s="46">
        <f t="shared" si="39"/>
        <v>-261451.40000000014</v>
      </c>
      <c r="AC224" s="46"/>
      <c r="AD224" s="46">
        <v>1919341.33</v>
      </c>
      <c r="AE224" s="46">
        <v>987290.58</v>
      </c>
      <c r="AF224" s="46">
        <f t="shared" si="40"/>
        <v>-932050.75000000012</v>
      </c>
      <c r="AG224" s="46"/>
      <c r="AH224" s="46">
        <v>452996.75</v>
      </c>
      <c r="AI224" s="46">
        <v>516040.65</v>
      </c>
      <c r="AJ224" s="46">
        <f t="shared" si="41"/>
        <v>63043.900000000023</v>
      </c>
      <c r="AK224" s="46"/>
      <c r="AL224" s="46">
        <v>4624057.46</v>
      </c>
      <c r="AM224" s="46">
        <v>1160428.8</v>
      </c>
      <c r="AN224" s="46">
        <f t="shared" si="42"/>
        <v>-3463628.66</v>
      </c>
      <c r="AO224" s="46"/>
      <c r="AP224" s="46">
        <v>1091574.1399999999</v>
      </c>
      <c r="AQ224" s="46">
        <v>2214808.42</v>
      </c>
      <c r="AR224" s="46">
        <f t="shared" si="43"/>
        <v>1123234.28</v>
      </c>
      <c r="AS224" s="46"/>
      <c r="AT224" s="46">
        <v>1148401.45</v>
      </c>
      <c r="AU224" s="46">
        <v>738070.81</v>
      </c>
    </row>
    <row r="225" spans="1:47" x14ac:dyDescent="0.25">
      <c r="A225" s="37" t="s">
        <v>209</v>
      </c>
      <c r="B225" s="46">
        <v>2492107.67</v>
      </c>
      <c r="C225" s="46">
        <v>995506.9</v>
      </c>
      <c r="D225" s="46">
        <f t="shared" si="33"/>
        <v>-1496600.77</v>
      </c>
      <c r="E225" s="46"/>
      <c r="F225" s="46">
        <v>1346185.89</v>
      </c>
      <c r="G225" s="46">
        <v>517148.02</v>
      </c>
      <c r="H225" s="46">
        <f t="shared" si="34"/>
        <v>-829037.86999999988</v>
      </c>
      <c r="I225" s="46"/>
      <c r="J225" s="46">
        <v>187025.55</v>
      </c>
      <c r="K225" s="46">
        <v>218140.42</v>
      </c>
      <c r="L225" s="46">
        <f t="shared" si="35"/>
        <v>31114.870000000024</v>
      </c>
      <c r="M225" s="46"/>
      <c r="N225" s="46">
        <v>299689.02</v>
      </c>
      <c r="O225" s="46">
        <v>39433.56</v>
      </c>
      <c r="P225" s="46">
        <f t="shared" si="36"/>
        <v>-260255.46000000002</v>
      </c>
      <c r="Q225" s="46"/>
      <c r="R225" s="46">
        <v>345450.02</v>
      </c>
      <c r="S225" s="46">
        <v>62354.76</v>
      </c>
      <c r="T225" s="46">
        <f t="shared" si="37"/>
        <v>-283095.26</v>
      </c>
      <c r="U225" s="46"/>
      <c r="V225" s="46">
        <v>200342.39999999999</v>
      </c>
      <c r="W225" s="46">
        <v>10620.98</v>
      </c>
      <c r="X225" s="46">
        <f t="shared" si="38"/>
        <v>-189721.41999999998</v>
      </c>
      <c r="Y225" s="46"/>
      <c r="Z225" s="46">
        <v>224733.9</v>
      </c>
      <c r="AA225" s="46">
        <v>132628.88</v>
      </c>
      <c r="AB225" s="46">
        <f t="shared" si="39"/>
        <v>-92105.01999999999</v>
      </c>
      <c r="AC225" s="46"/>
      <c r="AD225" s="46">
        <v>70345</v>
      </c>
      <c r="AE225" s="46">
        <v>24844.7</v>
      </c>
      <c r="AF225" s="46">
        <f t="shared" si="40"/>
        <v>-45500.3</v>
      </c>
      <c r="AG225" s="46"/>
      <c r="AH225" s="46">
        <v>18600</v>
      </c>
      <c r="AI225" s="46">
        <v>29124.720000000001</v>
      </c>
      <c r="AJ225" s="46">
        <f t="shared" si="41"/>
        <v>10524.720000000001</v>
      </c>
      <c r="AK225" s="46"/>
      <c r="AL225" s="46">
        <v>266700</v>
      </c>
      <c r="AM225" s="46">
        <v>157368.19</v>
      </c>
      <c r="AN225" s="46">
        <f t="shared" si="42"/>
        <v>-109331.81</v>
      </c>
      <c r="AO225" s="46"/>
      <c r="AP225" s="46">
        <v>126330.42</v>
      </c>
      <c r="AQ225" s="46">
        <v>228593.17</v>
      </c>
      <c r="AR225" s="46">
        <f t="shared" si="43"/>
        <v>102262.75000000001</v>
      </c>
      <c r="AS225" s="46"/>
      <c r="AT225" s="47">
        <v>0</v>
      </c>
      <c r="AU225" s="46">
        <v>49506.16</v>
      </c>
    </row>
    <row r="226" spans="1:47" ht="22.5" x14ac:dyDescent="0.25">
      <c r="A226" s="37" t="s">
        <v>210</v>
      </c>
      <c r="B226" s="46">
        <v>5162986.24</v>
      </c>
      <c r="C226" s="46">
        <v>7608842.6100000003</v>
      </c>
      <c r="D226" s="46">
        <f t="shared" si="33"/>
        <v>2445856.37</v>
      </c>
      <c r="E226" s="46"/>
      <c r="F226" s="46">
        <v>2386179.41</v>
      </c>
      <c r="G226" s="46">
        <v>5277772.9000000004</v>
      </c>
      <c r="H226" s="46">
        <f t="shared" si="34"/>
        <v>2891593.49</v>
      </c>
      <c r="I226" s="46"/>
      <c r="J226" s="46">
        <v>167691.1</v>
      </c>
      <c r="K226" s="46">
        <v>460515.59</v>
      </c>
      <c r="L226" s="46">
        <f t="shared" si="35"/>
        <v>292824.49</v>
      </c>
      <c r="M226" s="46"/>
      <c r="N226" s="46">
        <v>944535.4</v>
      </c>
      <c r="O226" s="46">
        <v>801047.76</v>
      </c>
      <c r="P226" s="46">
        <f t="shared" si="36"/>
        <v>-143487.64000000001</v>
      </c>
      <c r="Q226" s="46"/>
      <c r="R226" s="46">
        <v>199887.5</v>
      </c>
      <c r="S226" s="46">
        <v>1116882.27</v>
      </c>
      <c r="T226" s="46">
        <f t="shared" si="37"/>
        <v>916994.77</v>
      </c>
      <c r="U226" s="46"/>
      <c r="V226" s="46">
        <v>228414.16</v>
      </c>
      <c r="W226" s="46">
        <v>267457.2</v>
      </c>
      <c r="X226" s="46">
        <f t="shared" si="38"/>
        <v>39043.040000000008</v>
      </c>
      <c r="Y226" s="46"/>
      <c r="Z226" s="46">
        <v>387180.81</v>
      </c>
      <c r="AA226" s="46">
        <v>517826.36</v>
      </c>
      <c r="AB226" s="46">
        <f t="shared" si="39"/>
        <v>130645.54999999999</v>
      </c>
      <c r="AC226" s="46"/>
      <c r="AD226" s="46">
        <v>167893.67</v>
      </c>
      <c r="AE226" s="46">
        <v>1449506.33</v>
      </c>
      <c r="AF226" s="46">
        <f t="shared" si="40"/>
        <v>1281612.6600000001</v>
      </c>
      <c r="AG226" s="46"/>
      <c r="AH226" s="46">
        <v>290576.77</v>
      </c>
      <c r="AI226" s="46">
        <v>664537.39</v>
      </c>
      <c r="AJ226" s="46">
        <f t="shared" si="41"/>
        <v>373960.62</v>
      </c>
      <c r="AK226" s="46"/>
      <c r="AL226" s="46">
        <v>1730116.02</v>
      </c>
      <c r="AM226" s="46">
        <v>945285.84</v>
      </c>
      <c r="AN226" s="46">
        <f t="shared" si="42"/>
        <v>-784830.18</v>
      </c>
      <c r="AO226" s="46"/>
      <c r="AP226" s="46">
        <v>45705.31</v>
      </c>
      <c r="AQ226" s="46">
        <v>451592.83</v>
      </c>
      <c r="AR226" s="46">
        <f t="shared" si="43"/>
        <v>405887.52</v>
      </c>
      <c r="AS226" s="46"/>
      <c r="AT226" s="46">
        <v>850985.5</v>
      </c>
      <c r="AU226" s="46">
        <v>934191.04</v>
      </c>
    </row>
    <row r="227" spans="1:47" x14ac:dyDescent="0.25">
      <c r="A227" s="35" t="s">
        <v>211</v>
      </c>
      <c r="B227" s="46">
        <v>7050376.2599999998</v>
      </c>
      <c r="C227" s="46">
        <v>5318441.58</v>
      </c>
      <c r="D227" s="46">
        <f t="shared" si="33"/>
        <v>-1731934.6799999997</v>
      </c>
      <c r="E227" s="46"/>
      <c r="F227" s="46">
        <v>4619337.99</v>
      </c>
      <c r="G227" s="46">
        <v>2943502.02</v>
      </c>
      <c r="H227" s="46">
        <f t="shared" si="34"/>
        <v>-1675835.9700000002</v>
      </c>
      <c r="I227" s="46"/>
      <c r="J227" s="46">
        <v>548260.94999999995</v>
      </c>
      <c r="K227" s="46">
        <v>398150.39</v>
      </c>
      <c r="L227" s="46">
        <f t="shared" si="35"/>
        <v>-150110.55999999994</v>
      </c>
      <c r="M227" s="46"/>
      <c r="N227" s="46">
        <v>1060676.75</v>
      </c>
      <c r="O227" s="46">
        <v>717250.69</v>
      </c>
      <c r="P227" s="46">
        <f t="shared" si="36"/>
        <v>-343426.06000000006</v>
      </c>
      <c r="Q227" s="46"/>
      <c r="R227" s="46">
        <v>226916.37</v>
      </c>
      <c r="S227" s="46">
        <v>207756.63</v>
      </c>
      <c r="T227" s="46">
        <f t="shared" si="37"/>
        <v>-19159.739999999991</v>
      </c>
      <c r="U227" s="46"/>
      <c r="V227" s="46">
        <v>1318662.28</v>
      </c>
      <c r="W227" s="46">
        <v>695352.83</v>
      </c>
      <c r="X227" s="46">
        <f t="shared" si="38"/>
        <v>-623309.45000000007</v>
      </c>
      <c r="Y227" s="46"/>
      <c r="Z227" s="46">
        <v>800570.12</v>
      </c>
      <c r="AA227" s="46">
        <v>508006.87</v>
      </c>
      <c r="AB227" s="46">
        <f t="shared" si="39"/>
        <v>-292563.25</v>
      </c>
      <c r="AC227" s="46"/>
      <c r="AD227" s="46">
        <v>485738.32</v>
      </c>
      <c r="AE227" s="46">
        <v>231198.74</v>
      </c>
      <c r="AF227" s="46">
        <f t="shared" si="40"/>
        <v>-254539.58000000002</v>
      </c>
      <c r="AG227" s="46"/>
      <c r="AH227" s="46">
        <v>178513.2</v>
      </c>
      <c r="AI227" s="46">
        <v>185785.87</v>
      </c>
      <c r="AJ227" s="46">
        <f t="shared" si="41"/>
        <v>7272.6699999999837</v>
      </c>
      <c r="AK227" s="46"/>
      <c r="AL227" s="46">
        <v>1395733.55</v>
      </c>
      <c r="AM227" s="46">
        <v>1607152.31</v>
      </c>
      <c r="AN227" s="46">
        <f t="shared" si="42"/>
        <v>211418.76</v>
      </c>
      <c r="AO227" s="46"/>
      <c r="AP227" s="46">
        <v>59189.56</v>
      </c>
      <c r="AQ227" s="46">
        <v>32205.09</v>
      </c>
      <c r="AR227" s="46">
        <f t="shared" si="43"/>
        <v>-26984.469999999998</v>
      </c>
      <c r="AS227" s="46"/>
      <c r="AT227" s="46">
        <v>976115.16</v>
      </c>
      <c r="AU227" s="46">
        <v>735582.16</v>
      </c>
    </row>
    <row r="228" spans="1:47" x14ac:dyDescent="0.25">
      <c r="A228" s="35" t="s">
        <v>212</v>
      </c>
      <c r="B228" s="46">
        <v>6125660.3499999996</v>
      </c>
      <c r="C228" s="46">
        <v>21815501</v>
      </c>
      <c r="D228" s="46">
        <f t="shared" si="33"/>
        <v>15689840.65</v>
      </c>
      <c r="E228" s="46"/>
      <c r="F228" s="46">
        <v>3679109.44</v>
      </c>
      <c r="G228" s="46">
        <v>14626286.24</v>
      </c>
      <c r="H228" s="46">
        <f t="shared" si="34"/>
        <v>10947176.800000001</v>
      </c>
      <c r="I228" s="46"/>
      <c r="J228" s="46">
        <v>492173.06</v>
      </c>
      <c r="K228" s="46">
        <v>2660054.65</v>
      </c>
      <c r="L228" s="46">
        <f t="shared" si="35"/>
        <v>2167881.59</v>
      </c>
      <c r="M228" s="46"/>
      <c r="N228" s="46">
        <v>873970.45</v>
      </c>
      <c r="O228" s="46">
        <v>1927680.03</v>
      </c>
      <c r="P228" s="46">
        <f t="shared" si="36"/>
        <v>1053709.58</v>
      </c>
      <c r="Q228" s="46"/>
      <c r="R228" s="46">
        <v>620555.32999999996</v>
      </c>
      <c r="S228" s="46">
        <v>2935634.18</v>
      </c>
      <c r="T228" s="46">
        <f t="shared" si="37"/>
        <v>2315078.85</v>
      </c>
      <c r="U228" s="46"/>
      <c r="V228" s="46">
        <v>332935.43</v>
      </c>
      <c r="W228" s="46">
        <v>891101.03</v>
      </c>
      <c r="X228" s="46">
        <f t="shared" si="38"/>
        <v>558165.60000000009</v>
      </c>
      <c r="Y228" s="46"/>
      <c r="Z228" s="46">
        <v>397172.32</v>
      </c>
      <c r="AA228" s="46">
        <v>2334385.7799999998</v>
      </c>
      <c r="AB228" s="46">
        <f t="shared" si="39"/>
        <v>1937213.4599999997</v>
      </c>
      <c r="AC228" s="46"/>
      <c r="AD228" s="46">
        <v>742297.01</v>
      </c>
      <c r="AE228" s="46">
        <v>2496158.08</v>
      </c>
      <c r="AF228" s="46">
        <f t="shared" si="40"/>
        <v>1753861.07</v>
      </c>
      <c r="AG228" s="46"/>
      <c r="AH228" s="46">
        <v>220005.84</v>
      </c>
      <c r="AI228" s="46">
        <v>1381272.49</v>
      </c>
      <c r="AJ228" s="46">
        <f t="shared" si="41"/>
        <v>1161266.6499999999</v>
      </c>
      <c r="AK228" s="46"/>
      <c r="AL228" s="46">
        <v>1845332.94</v>
      </c>
      <c r="AM228" s="46">
        <v>4822855.1100000003</v>
      </c>
      <c r="AN228" s="46">
        <f t="shared" si="42"/>
        <v>2977522.1700000004</v>
      </c>
      <c r="AO228" s="46"/>
      <c r="AP228" s="46">
        <v>23158.880000000001</v>
      </c>
      <c r="AQ228" s="46">
        <v>765194.1</v>
      </c>
      <c r="AR228" s="46">
        <f t="shared" si="43"/>
        <v>742035.22</v>
      </c>
      <c r="AS228" s="46"/>
      <c r="AT228" s="46">
        <v>365957.21</v>
      </c>
      <c r="AU228" s="46">
        <v>1580722.68</v>
      </c>
    </row>
    <row r="229" spans="1:47" x14ac:dyDescent="0.25">
      <c r="A229" s="35" t="s">
        <v>213</v>
      </c>
      <c r="B229" s="47">
        <v>0</v>
      </c>
      <c r="C229" s="46">
        <v>0</v>
      </c>
      <c r="D229" s="46">
        <f t="shared" si="33"/>
        <v>0</v>
      </c>
      <c r="E229" s="46"/>
      <c r="F229" s="47">
        <v>0</v>
      </c>
      <c r="G229" s="47">
        <v>0</v>
      </c>
      <c r="H229" s="46">
        <f t="shared" si="34"/>
        <v>0</v>
      </c>
      <c r="I229" s="46"/>
      <c r="J229" s="47">
        <v>0</v>
      </c>
      <c r="K229" s="47">
        <v>0</v>
      </c>
      <c r="L229" s="46">
        <f t="shared" si="35"/>
        <v>0</v>
      </c>
      <c r="M229" s="46"/>
      <c r="N229" s="47">
        <v>0</v>
      </c>
      <c r="O229" s="47">
        <v>0</v>
      </c>
      <c r="P229" s="46">
        <f t="shared" si="36"/>
        <v>0</v>
      </c>
      <c r="Q229" s="46"/>
      <c r="R229" s="47">
        <v>0</v>
      </c>
      <c r="S229" s="47">
        <v>0</v>
      </c>
      <c r="T229" s="46">
        <f t="shared" si="37"/>
        <v>0</v>
      </c>
      <c r="U229" s="46"/>
      <c r="V229" s="47">
        <v>0</v>
      </c>
      <c r="W229" s="47">
        <v>0</v>
      </c>
      <c r="X229" s="46">
        <f t="shared" si="38"/>
        <v>0</v>
      </c>
      <c r="Y229" s="46"/>
      <c r="Z229" s="47">
        <v>0</v>
      </c>
      <c r="AA229" s="47">
        <v>0</v>
      </c>
      <c r="AB229" s="46">
        <f t="shared" si="39"/>
        <v>0</v>
      </c>
      <c r="AC229" s="46"/>
      <c r="AD229" s="47">
        <v>0</v>
      </c>
      <c r="AE229" s="47">
        <v>0</v>
      </c>
      <c r="AF229" s="46">
        <f t="shared" si="40"/>
        <v>0</v>
      </c>
      <c r="AG229" s="46"/>
      <c r="AH229" s="47">
        <v>0</v>
      </c>
      <c r="AI229" s="47">
        <v>0</v>
      </c>
      <c r="AJ229" s="46">
        <f t="shared" si="41"/>
        <v>0</v>
      </c>
      <c r="AK229" s="46"/>
      <c r="AL229" s="47">
        <v>0</v>
      </c>
      <c r="AM229" s="46">
        <v>0</v>
      </c>
      <c r="AN229" s="46">
        <f t="shared" si="42"/>
        <v>0</v>
      </c>
      <c r="AO229" s="46"/>
      <c r="AP229" s="47">
        <v>0</v>
      </c>
      <c r="AQ229" s="47">
        <v>0</v>
      </c>
      <c r="AR229" s="46">
        <f t="shared" si="43"/>
        <v>0</v>
      </c>
      <c r="AS229" s="46"/>
      <c r="AT229" s="47">
        <v>0</v>
      </c>
      <c r="AU229" s="47">
        <v>0</v>
      </c>
    </row>
    <row r="230" spans="1:47" x14ac:dyDescent="0.25">
      <c r="A230" s="34" t="s">
        <v>135</v>
      </c>
      <c r="B230" s="44">
        <v>54791220.990000002</v>
      </c>
      <c r="C230" s="44">
        <v>54996196.68</v>
      </c>
      <c r="D230" s="44">
        <f t="shared" si="33"/>
        <v>204975.68999999762</v>
      </c>
      <c r="E230" s="44"/>
      <c r="F230" s="44">
        <v>13002756.380000001</v>
      </c>
      <c r="G230" s="44">
        <v>13676054.02</v>
      </c>
      <c r="H230" s="44">
        <f t="shared" si="34"/>
        <v>673297.63999999873</v>
      </c>
      <c r="I230" s="44"/>
      <c r="J230" s="44">
        <v>1216383.45</v>
      </c>
      <c r="K230" s="44">
        <v>1284332.01</v>
      </c>
      <c r="L230" s="44">
        <f t="shared" si="35"/>
        <v>67948.560000000056</v>
      </c>
      <c r="M230" s="44"/>
      <c r="N230" s="44">
        <v>3816211.72</v>
      </c>
      <c r="O230" s="44">
        <v>3892651.72</v>
      </c>
      <c r="P230" s="44">
        <f t="shared" si="36"/>
        <v>76440</v>
      </c>
      <c r="Q230" s="44"/>
      <c r="R230" s="44">
        <v>2097746.04</v>
      </c>
      <c r="S230" s="44">
        <v>2421674.9500000002</v>
      </c>
      <c r="T230" s="44">
        <f t="shared" si="37"/>
        <v>323928.91000000015</v>
      </c>
      <c r="U230" s="44"/>
      <c r="V230" s="44">
        <v>2511962.59</v>
      </c>
      <c r="W230" s="44">
        <v>2674222.2400000002</v>
      </c>
      <c r="X230" s="44">
        <f t="shared" si="38"/>
        <v>162259.65000000037</v>
      </c>
      <c r="Y230" s="44"/>
      <c r="Z230" s="44">
        <v>1375488.75</v>
      </c>
      <c r="AA230" s="44">
        <v>1558300.73</v>
      </c>
      <c r="AB230" s="44">
        <f t="shared" si="39"/>
        <v>182811.97999999998</v>
      </c>
      <c r="AC230" s="44"/>
      <c r="AD230" s="44">
        <v>803848.93</v>
      </c>
      <c r="AE230" s="44">
        <v>751905.55</v>
      </c>
      <c r="AF230" s="44">
        <f t="shared" si="40"/>
        <v>-51943.380000000005</v>
      </c>
      <c r="AG230" s="44"/>
      <c r="AH230" s="44">
        <v>1181114.8999999999</v>
      </c>
      <c r="AI230" s="44">
        <v>1092966.82</v>
      </c>
      <c r="AJ230" s="44">
        <f t="shared" si="41"/>
        <v>-88148.079999999842</v>
      </c>
      <c r="AK230" s="44"/>
      <c r="AL230" s="44">
        <v>30118508.579999998</v>
      </c>
      <c r="AM230" s="44">
        <v>30778079.510000002</v>
      </c>
      <c r="AN230" s="44">
        <f t="shared" si="42"/>
        <v>659570.93000000343</v>
      </c>
      <c r="AO230" s="44"/>
      <c r="AP230" s="44">
        <v>506790.12</v>
      </c>
      <c r="AQ230" s="44">
        <v>1522185.33</v>
      </c>
      <c r="AR230" s="44">
        <f t="shared" si="43"/>
        <v>1015395.2100000001</v>
      </c>
      <c r="AS230" s="44"/>
      <c r="AT230" s="44">
        <v>9494193.0600000005</v>
      </c>
      <c r="AU230" s="44">
        <v>8917801.8800000008</v>
      </c>
    </row>
    <row r="231" spans="1:47" x14ac:dyDescent="0.25">
      <c r="A231" s="35" t="s">
        <v>214</v>
      </c>
      <c r="B231" s="46">
        <v>41566552.729999997</v>
      </c>
      <c r="C231" s="46">
        <v>41499238.219999999</v>
      </c>
      <c r="D231" s="46">
        <f t="shared" si="33"/>
        <v>-67314.509999997914</v>
      </c>
      <c r="E231" s="46"/>
      <c r="F231" s="46">
        <v>12931178.539999999</v>
      </c>
      <c r="G231" s="46">
        <v>13604476.18</v>
      </c>
      <c r="H231" s="46">
        <f t="shared" si="34"/>
        <v>673297.6400000006</v>
      </c>
      <c r="I231" s="46"/>
      <c r="J231" s="46">
        <v>1216383.45</v>
      </c>
      <c r="K231" s="46">
        <v>1284332.01</v>
      </c>
      <c r="L231" s="46">
        <f t="shared" si="35"/>
        <v>67948.560000000056</v>
      </c>
      <c r="M231" s="46"/>
      <c r="N231" s="46">
        <v>3816211.72</v>
      </c>
      <c r="O231" s="46">
        <v>3892651.72</v>
      </c>
      <c r="P231" s="46">
        <f t="shared" si="36"/>
        <v>76440</v>
      </c>
      <c r="Q231" s="46"/>
      <c r="R231" s="46">
        <v>2097746.04</v>
      </c>
      <c r="S231" s="46">
        <v>2421674.9500000002</v>
      </c>
      <c r="T231" s="46">
        <f t="shared" si="37"/>
        <v>323928.91000000015</v>
      </c>
      <c r="U231" s="46"/>
      <c r="V231" s="46">
        <v>2511962.59</v>
      </c>
      <c r="W231" s="46">
        <v>2674222.2400000002</v>
      </c>
      <c r="X231" s="46">
        <f t="shared" si="38"/>
        <v>162259.65000000037</v>
      </c>
      <c r="Y231" s="46"/>
      <c r="Z231" s="46">
        <v>1375488.75</v>
      </c>
      <c r="AA231" s="46">
        <v>1558300.73</v>
      </c>
      <c r="AB231" s="46">
        <f t="shared" si="39"/>
        <v>182811.97999999998</v>
      </c>
      <c r="AC231" s="46"/>
      <c r="AD231" s="46">
        <v>803848.93</v>
      </c>
      <c r="AE231" s="46">
        <v>751905.55</v>
      </c>
      <c r="AF231" s="46">
        <f t="shared" si="40"/>
        <v>-51943.380000000005</v>
      </c>
      <c r="AG231" s="46"/>
      <c r="AH231" s="46">
        <v>1109537.06</v>
      </c>
      <c r="AI231" s="46">
        <v>1021388.98</v>
      </c>
      <c r="AJ231" s="46">
        <f t="shared" si="41"/>
        <v>-88148.080000000075</v>
      </c>
      <c r="AK231" s="46"/>
      <c r="AL231" s="46">
        <v>16965418.16</v>
      </c>
      <c r="AM231" s="46">
        <v>17352698.890000001</v>
      </c>
      <c r="AN231" s="46">
        <f t="shared" si="42"/>
        <v>387280.73000000045</v>
      </c>
      <c r="AO231" s="46"/>
      <c r="AP231" s="46">
        <v>506790.12</v>
      </c>
      <c r="AQ231" s="46">
        <v>1522185.33</v>
      </c>
      <c r="AR231" s="46">
        <f t="shared" si="43"/>
        <v>1015395.2100000001</v>
      </c>
      <c r="AS231" s="46"/>
      <c r="AT231" s="46">
        <v>9494193.0600000005</v>
      </c>
      <c r="AU231" s="46">
        <v>8917801.8800000008</v>
      </c>
    </row>
    <row r="232" spans="1:47" x14ac:dyDescent="0.25">
      <c r="A232" s="35" t="s">
        <v>215</v>
      </c>
      <c r="B232" s="46">
        <v>13224668.26</v>
      </c>
      <c r="C232" s="46">
        <v>13496958.460000001</v>
      </c>
      <c r="D232" s="46">
        <f t="shared" si="33"/>
        <v>272290.20000000112</v>
      </c>
      <c r="E232" s="46"/>
      <c r="F232" s="46">
        <v>71577.84</v>
      </c>
      <c r="G232" s="46">
        <v>71577.84</v>
      </c>
      <c r="H232" s="46">
        <f t="shared" si="34"/>
        <v>0</v>
      </c>
      <c r="I232" s="46"/>
      <c r="J232" s="47">
        <v>0</v>
      </c>
      <c r="K232" s="47">
        <v>0</v>
      </c>
      <c r="L232" s="46">
        <f t="shared" si="35"/>
        <v>0</v>
      </c>
      <c r="M232" s="46"/>
      <c r="N232" s="47">
        <v>0</v>
      </c>
      <c r="O232" s="47">
        <v>0</v>
      </c>
      <c r="P232" s="46">
        <f t="shared" si="36"/>
        <v>0</v>
      </c>
      <c r="Q232" s="46"/>
      <c r="R232" s="47">
        <v>0</v>
      </c>
      <c r="S232" s="47">
        <v>0</v>
      </c>
      <c r="T232" s="46">
        <f t="shared" si="37"/>
        <v>0</v>
      </c>
      <c r="U232" s="46"/>
      <c r="V232" s="47">
        <v>0</v>
      </c>
      <c r="W232" s="47">
        <v>0</v>
      </c>
      <c r="X232" s="46">
        <f t="shared" si="38"/>
        <v>0</v>
      </c>
      <c r="Y232" s="46"/>
      <c r="Z232" s="47">
        <v>0</v>
      </c>
      <c r="AA232" s="47">
        <v>0</v>
      </c>
      <c r="AB232" s="46">
        <f t="shared" si="39"/>
        <v>0</v>
      </c>
      <c r="AC232" s="46"/>
      <c r="AD232" s="47">
        <v>0</v>
      </c>
      <c r="AE232" s="47">
        <v>0</v>
      </c>
      <c r="AF232" s="46">
        <f t="shared" si="40"/>
        <v>0</v>
      </c>
      <c r="AG232" s="46"/>
      <c r="AH232" s="46">
        <v>71577.84</v>
      </c>
      <c r="AI232" s="46">
        <v>71577.84</v>
      </c>
      <c r="AJ232" s="46">
        <f t="shared" si="41"/>
        <v>0</v>
      </c>
      <c r="AK232" s="46"/>
      <c r="AL232" s="46">
        <v>13153090.42</v>
      </c>
      <c r="AM232" s="46">
        <v>13425380.619999999</v>
      </c>
      <c r="AN232" s="46">
        <f t="shared" si="42"/>
        <v>272290.19999999925</v>
      </c>
      <c r="AO232" s="46"/>
      <c r="AP232" s="47">
        <v>0</v>
      </c>
      <c r="AQ232" s="47">
        <v>0</v>
      </c>
      <c r="AR232" s="46">
        <f t="shared" si="43"/>
        <v>0</v>
      </c>
      <c r="AS232" s="46"/>
      <c r="AT232" s="47">
        <v>0</v>
      </c>
      <c r="AU232" s="47">
        <v>0</v>
      </c>
    </row>
    <row r="233" spans="1:47" x14ac:dyDescent="0.25">
      <c r="A233" s="34" t="s">
        <v>140</v>
      </c>
      <c r="B233" s="44">
        <v>684884987.13</v>
      </c>
      <c r="C233" s="44">
        <v>470213762.74000001</v>
      </c>
      <c r="D233" s="44">
        <f t="shared" si="33"/>
        <v>-214671224.38999999</v>
      </c>
      <c r="E233" s="44"/>
      <c r="F233" s="44">
        <v>132303775.15000001</v>
      </c>
      <c r="G233" s="44">
        <v>117737290.13</v>
      </c>
      <c r="H233" s="44">
        <f t="shared" si="34"/>
        <v>-14566485.020000011</v>
      </c>
      <c r="I233" s="44"/>
      <c r="J233" s="44">
        <v>16720455.189999999</v>
      </c>
      <c r="K233" s="44">
        <v>16292446.4</v>
      </c>
      <c r="L233" s="44">
        <f t="shared" si="35"/>
        <v>-428008.78999999911</v>
      </c>
      <c r="M233" s="44"/>
      <c r="N233" s="44">
        <v>17824271.609999999</v>
      </c>
      <c r="O233" s="44">
        <v>13380594.67</v>
      </c>
      <c r="P233" s="44">
        <f t="shared" si="36"/>
        <v>-4443676.9399999995</v>
      </c>
      <c r="Q233" s="44"/>
      <c r="R233" s="44">
        <v>26780474.690000001</v>
      </c>
      <c r="S233" s="44">
        <v>22696540.309999999</v>
      </c>
      <c r="T233" s="44">
        <f t="shared" si="37"/>
        <v>-4083934.3800000027</v>
      </c>
      <c r="U233" s="44"/>
      <c r="V233" s="44">
        <v>11980290.189999999</v>
      </c>
      <c r="W233" s="44">
        <v>10450314.609999999</v>
      </c>
      <c r="X233" s="44">
        <f t="shared" si="38"/>
        <v>-1529975.58</v>
      </c>
      <c r="Y233" s="44"/>
      <c r="Z233" s="44">
        <v>20562013.25</v>
      </c>
      <c r="AA233" s="44">
        <v>18344494.190000001</v>
      </c>
      <c r="AB233" s="44">
        <f t="shared" si="39"/>
        <v>-2217519.0599999987</v>
      </c>
      <c r="AC233" s="44"/>
      <c r="AD233" s="44">
        <v>20913967.73</v>
      </c>
      <c r="AE233" s="44">
        <v>20372175.289999999</v>
      </c>
      <c r="AF233" s="44">
        <f t="shared" si="40"/>
        <v>-541792.44000000134</v>
      </c>
      <c r="AG233" s="44"/>
      <c r="AH233" s="44">
        <v>17522302.489999998</v>
      </c>
      <c r="AI233" s="44">
        <v>16200724.66</v>
      </c>
      <c r="AJ233" s="44">
        <f t="shared" si="41"/>
        <v>-1321577.8299999982</v>
      </c>
      <c r="AK233" s="44"/>
      <c r="AL233" s="44">
        <v>40861298.380000003</v>
      </c>
      <c r="AM233" s="44">
        <v>24922877.300000001</v>
      </c>
      <c r="AN233" s="44">
        <f t="shared" si="42"/>
        <v>-15938421.080000002</v>
      </c>
      <c r="AO233" s="44"/>
      <c r="AP233" s="44">
        <v>7112592.0999999996</v>
      </c>
      <c r="AQ233" s="44">
        <v>7692370.5499999998</v>
      </c>
      <c r="AR233" s="44">
        <f t="shared" si="43"/>
        <v>579778.45000000019</v>
      </c>
      <c r="AS233" s="44"/>
      <c r="AT233" s="44">
        <v>477077657.39999998</v>
      </c>
      <c r="AU233" s="44">
        <v>315782033.38999999</v>
      </c>
    </row>
    <row r="234" spans="1:47" x14ac:dyDescent="0.25">
      <c r="A234" s="36" t="s">
        <v>216</v>
      </c>
      <c r="B234" s="44">
        <v>158517990.91</v>
      </c>
      <c r="C234" s="44">
        <v>43164203.810000002</v>
      </c>
      <c r="D234" s="44">
        <f t="shared" si="33"/>
        <v>-115353787.09999999</v>
      </c>
      <c r="E234" s="44"/>
      <c r="F234" s="44">
        <v>8400025.4299999997</v>
      </c>
      <c r="G234" s="44">
        <v>7173156.0899999999</v>
      </c>
      <c r="H234" s="44">
        <f t="shared" si="34"/>
        <v>-1226869.3399999999</v>
      </c>
      <c r="I234" s="44"/>
      <c r="J234" s="44">
        <v>894832.15</v>
      </c>
      <c r="K234" s="44">
        <v>736214.61</v>
      </c>
      <c r="L234" s="44">
        <f t="shared" si="35"/>
        <v>-158617.54000000004</v>
      </c>
      <c r="M234" s="44"/>
      <c r="N234" s="44">
        <v>1694480.31</v>
      </c>
      <c r="O234" s="44">
        <v>1022671.3</v>
      </c>
      <c r="P234" s="44">
        <f t="shared" si="36"/>
        <v>-671809.01</v>
      </c>
      <c r="Q234" s="44"/>
      <c r="R234" s="44">
        <v>1223314.6399999999</v>
      </c>
      <c r="S234" s="44">
        <v>1156909.77</v>
      </c>
      <c r="T234" s="44">
        <f t="shared" si="37"/>
        <v>-66404.869999999879</v>
      </c>
      <c r="U234" s="44"/>
      <c r="V234" s="44">
        <v>927983.76</v>
      </c>
      <c r="W234" s="44">
        <v>846171.75</v>
      </c>
      <c r="X234" s="44">
        <f t="shared" si="38"/>
        <v>-81812.010000000009</v>
      </c>
      <c r="Y234" s="44"/>
      <c r="Z234" s="44">
        <v>1519845.08</v>
      </c>
      <c r="AA234" s="44">
        <v>852700.93</v>
      </c>
      <c r="AB234" s="44">
        <f t="shared" si="39"/>
        <v>-667144.15</v>
      </c>
      <c r="AC234" s="44"/>
      <c r="AD234" s="44">
        <v>1103218.6000000001</v>
      </c>
      <c r="AE234" s="44">
        <v>1193396.1200000001</v>
      </c>
      <c r="AF234" s="44">
        <f t="shared" si="40"/>
        <v>90177.520000000019</v>
      </c>
      <c r="AG234" s="44"/>
      <c r="AH234" s="44">
        <v>1036350.89</v>
      </c>
      <c r="AI234" s="44">
        <v>1365091.61</v>
      </c>
      <c r="AJ234" s="44">
        <f t="shared" si="41"/>
        <v>328740.72000000009</v>
      </c>
      <c r="AK234" s="44"/>
      <c r="AL234" s="44">
        <v>10051507.279999999</v>
      </c>
      <c r="AM234" s="44">
        <v>4445282.4000000004</v>
      </c>
      <c r="AN234" s="44">
        <f t="shared" si="42"/>
        <v>-5606224.879999999</v>
      </c>
      <c r="AO234" s="44"/>
      <c r="AP234" s="44">
        <v>1806441.46</v>
      </c>
      <c r="AQ234" s="44">
        <v>2345786.29</v>
      </c>
      <c r="AR234" s="44">
        <f t="shared" si="43"/>
        <v>539344.83000000007</v>
      </c>
      <c r="AS234" s="44"/>
      <c r="AT234" s="44">
        <v>133413116.7</v>
      </c>
      <c r="AU234" s="44">
        <v>28808199.02</v>
      </c>
    </row>
    <row r="235" spans="1:47" x14ac:dyDescent="0.25">
      <c r="A235" s="37" t="s">
        <v>217</v>
      </c>
      <c r="B235" s="46">
        <v>119035245.08</v>
      </c>
      <c r="C235" s="46">
        <v>27687989.640000001</v>
      </c>
      <c r="D235" s="46">
        <f t="shared" si="33"/>
        <v>-91347255.439999998</v>
      </c>
      <c r="E235" s="46"/>
      <c r="F235" s="46">
        <v>322957.96999999997</v>
      </c>
      <c r="G235" s="46">
        <v>921989.56</v>
      </c>
      <c r="H235" s="46">
        <f t="shared" si="34"/>
        <v>599031.59000000008</v>
      </c>
      <c r="I235" s="46"/>
      <c r="J235" s="46">
        <v>65530.67</v>
      </c>
      <c r="K235" s="46">
        <v>169560.03</v>
      </c>
      <c r="L235" s="46">
        <f t="shared" si="35"/>
        <v>104029.36</v>
      </c>
      <c r="M235" s="46"/>
      <c r="N235" s="46">
        <v>-3072.7</v>
      </c>
      <c r="O235" s="46">
        <v>-30612.7</v>
      </c>
      <c r="P235" s="46">
        <f t="shared" si="36"/>
        <v>-27540</v>
      </c>
      <c r="Q235" s="46"/>
      <c r="R235" s="47">
        <v>0</v>
      </c>
      <c r="S235" s="46">
        <v>360175</v>
      </c>
      <c r="T235" s="46">
        <f t="shared" si="37"/>
        <v>360175</v>
      </c>
      <c r="U235" s="46"/>
      <c r="V235" s="46">
        <v>101500</v>
      </c>
      <c r="W235" s="46">
        <v>101500</v>
      </c>
      <c r="X235" s="46">
        <f t="shared" si="38"/>
        <v>0</v>
      </c>
      <c r="Y235" s="46"/>
      <c r="Z235" s="46">
        <v>150000</v>
      </c>
      <c r="AA235" s="46">
        <v>4400</v>
      </c>
      <c r="AB235" s="46">
        <f t="shared" si="39"/>
        <v>-145600</v>
      </c>
      <c r="AC235" s="46"/>
      <c r="AD235" s="47">
        <v>0</v>
      </c>
      <c r="AE235" s="46">
        <v>146691.15</v>
      </c>
      <c r="AF235" s="46">
        <f t="shared" si="40"/>
        <v>146691.15</v>
      </c>
      <c r="AG235" s="46"/>
      <c r="AH235" s="46">
        <v>9000</v>
      </c>
      <c r="AI235" s="46">
        <v>170276.08</v>
      </c>
      <c r="AJ235" s="46">
        <f t="shared" si="41"/>
        <v>161276.07999999999</v>
      </c>
      <c r="AK235" s="46"/>
      <c r="AL235" s="47">
        <v>0</v>
      </c>
      <c r="AM235" s="46">
        <v>411576</v>
      </c>
      <c r="AN235" s="46">
        <f t="shared" si="42"/>
        <v>411576</v>
      </c>
      <c r="AO235" s="46"/>
      <c r="AP235" s="47">
        <v>0</v>
      </c>
      <c r="AQ235" s="47">
        <v>0</v>
      </c>
      <c r="AR235" s="46">
        <f t="shared" si="43"/>
        <v>0</v>
      </c>
      <c r="AS235" s="46"/>
      <c r="AT235" s="46">
        <v>114712287.11</v>
      </c>
      <c r="AU235" s="46">
        <v>26354424.079999998</v>
      </c>
    </row>
    <row r="236" spans="1:47" x14ac:dyDescent="0.25">
      <c r="A236" s="37" t="s">
        <v>218</v>
      </c>
      <c r="B236" s="46">
        <v>20804725.719999999</v>
      </c>
      <c r="C236" s="46">
        <v>13732087.49</v>
      </c>
      <c r="D236" s="46">
        <f t="shared" si="33"/>
        <v>-7072638.2299999986</v>
      </c>
      <c r="E236" s="46"/>
      <c r="F236" s="46">
        <v>7908205.5099999998</v>
      </c>
      <c r="G236" s="46">
        <v>5879365.2400000002</v>
      </c>
      <c r="H236" s="46">
        <f t="shared" si="34"/>
        <v>-2028840.2699999996</v>
      </c>
      <c r="I236" s="46"/>
      <c r="J236" s="46">
        <v>829301.48</v>
      </c>
      <c r="K236" s="46">
        <v>566654.57999999996</v>
      </c>
      <c r="L236" s="46">
        <f t="shared" si="35"/>
        <v>-262646.90000000002</v>
      </c>
      <c r="M236" s="46"/>
      <c r="N236" s="46">
        <v>1697553.01</v>
      </c>
      <c r="O236" s="46">
        <v>1011617.33</v>
      </c>
      <c r="P236" s="46">
        <f t="shared" si="36"/>
        <v>-685935.68</v>
      </c>
      <c r="Q236" s="46"/>
      <c r="R236" s="46">
        <v>1190314.6399999999</v>
      </c>
      <c r="S236" s="46">
        <v>763734.77</v>
      </c>
      <c r="T236" s="46">
        <f t="shared" si="37"/>
        <v>-426579.86999999988</v>
      </c>
      <c r="U236" s="46"/>
      <c r="V236" s="46">
        <v>690621.81</v>
      </c>
      <c r="W236" s="46">
        <v>545393.13</v>
      </c>
      <c r="X236" s="46">
        <f t="shared" si="38"/>
        <v>-145228.68000000005</v>
      </c>
      <c r="Y236" s="46"/>
      <c r="Z236" s="46">
        <v>1369845.08</v>
      </c>
      <c r="AA236" s="46">
        <v>830444.93</v>
      </c>
      <c r="AB236" s="46">
        <f t="shared" si="39"/>
        <v>-539400.15</v>
      </c>
      <c r="AC236" s="46"/>
      <c r="AD236" s="46">
        <v>1103218.6000000001</v>
      </c>
      <c r="AE236" s="46">
        <v>966704.97</v>
      </c>
      <c r="AF236" s="46">
        <f t="shared" si="40"/>
        <v>-136513.63000000012</v>
      </c>
      <c r="AG236" s="46"/>
      <c r="AH236" s="46">
        <v>1027350.89</v>
      </c>
      <c r="AI236" s="46">
        <v>1194815.53</v>
      </c>
      <c r="AJ236" s="46">
        <f t="shared" si="41"/>
        <v>167464.64000000001</v>
      </c>
      <c r="AK236" s="46"/>
      <c r="AL236" s="46">
        <v>7338507.2800000003</v>
      </c>
      <c r="AM236" s="46">
        <v>4008706.4</v>
      </c>
      <c r="AN236" s="46">
        <f t="shared" si="42"/>
        <v>-3329800.8800000004</v>
      </c>
      <c r="AO236" s="46"/>
      <c r="AP236" s="46">
        <v>1806441.46</v>
      </c>
      <c r="AQ236" s="46">
        <v>2345786.29</v>
      </c>
      <c r="AR236" s="46">
        <f t="shared" si="43"/>
        <v>539344.83000000007</v>
      </c>
      <c r="AS236" s="46"/>
      <c r="AT236" s="46">
        <v>2904671.43</v>
      </c>
      <c r="AU236" s="46">
        <v>1106449.55</v>
      </c>
    </row>
    <row r="237" spans="1:47" ht="22.5" x14ac:dyDescent="0.25">
      <c r="A237" s="37" t="s">
        <v>219</v>
      </c>
      <c r="B237" s="46">
        <v>18678020.109999999</v>
      </c>
      <c r="C237" s="46">
        <v>1744126.68</v>
      </c>
      <c r="D237" s="46">
        <f t="shared" si="33"/>
        <v>-16933893.43</v>
      </c>
      <c r="E237" s="46"/>
      <c r="F237" s="46">
        <v>168861.95</v>
      </c>
      <c r="G237" s="46">
        <v>371801.29</v>
      </c>
      <c r="H237" s="46">
        <f t="shared" si="34"/>
        <v>202939.33999999997</v>
      </c>
      <c r="I237" s="46"/>
      <c r="J237" s="47">
        <v>0</v>
      </c>
      <c r="K237" s="47">
        <v>0</v>
      </c>
      <c r="L237" s="46">
        <f t="shared" si="35"/>
        <v>0</v>
      </c>
      <c r="M237" s="46"/>
      <c r="N237" s="47">
        <v>0</v>
      </c>
      <c r="O237" s="46">
        <v>41666.67</v>
      </c>
      <c r="P237" s="46">
        <f t="shared" si="36"/>
        <v>41666.67</v>
      </c>
      <c r="Q237" s="46"/>
      <c r="R237" s="46">
        <v>33000</v>
      </c>
      <c r="S237" s="46">
        <v>33000</v>
      </c>
      <c r="T237" s="46">
        <f t="shared" si="37"/>
        <v>0</v>
      </c>
      <c r="U237" s="46"/>
      <c r="V237" s="46">
        <v>135861.95000000001</v>
      </c>
      <c r="W237" s="46">
        <v>199278.62</v>
      </c>
      <c r="X237" s="46">
        <f t="shared" si="38"/>
        <v>63416.669999999984</v>
      </c>
      <c r="Y237" s="46"/>
      <c r="Z237" s="47">
        <v>0</v>
      </c>
      <c r="AA237" s="46">
        <v>17856</v>
      </c>
      <c r="AB237" s="46">
        <f t="shared" si="39"/>
        <v>17856</v>
      </c>
      <c r="AC237" s="46"/>
      <c r="AD237" s="47">
        <v>0</v>
      </c>
      <c r="AE237" s="46">
        <v>80000</v>
      </c>
      <c r="AF237" s="46">
        <f t="shared" si="40"/>
        <v>80000</v>
      </c>
      <c r="AG237" s="46"/>
      <c r="AH237" s="47">
        <v>0</v>
      </c>
      <c r="AI237" s="47">
        <v>0</v>
      </c>
      <c r="AJ237" s="46">
        <f t="shared" si="41"/>
        <v>0</v>
      </c>
      <c r="AK237" s="46"/>
      <c r="AL237" s="46">
        <v>2713000</v>
      </c>
      <c r="AM237" s="46">
        <v>25000</v>
      </c>
      <c r="AN237" s="46">
        <f t="shared" si="42"/>
        <v>-2688000</v>
      </c>
      <c r="AO237" s="46"/>
      <c r="AP237" s="47">
        <v>0</v>
      </c>
      <c r="AQ237" s="47">
        <v>0</v>
      </c>
      <c r="AR237" s="46">
        <f t="shared" si="43"/>
        <v>0</v>
      </c>
      <c r="AS237" s="46"/>
      <c r="AT237" s="46">
        <v>15796158.16</v>
      </c>
      <c r="AU237" s="46">
        <v>1347325.39</v>
      </c>
    </row>
    <row r="238" spans="1:47" ht="22.5" x14ac:dyDescent="0.25">
      <c r="A238" s="35" t="s">
        <v>220</v>
      </c>
      <c r="B238" s="46">
        <v>53263923.020000003</v>
      </c>
      <c r="C238" s="46">
        <v>41510501.890000001</v>
      </c>
      <c r="D238" s="46">
        <f t="shared" si="33"/>
        <v>-11753421.130000003</v>
      </c>
      <c r="E238" s="46"/>
      <c r="F238" s="46">
        <v>21742645.129999999</v>
      </c>
      <c r="G238" s="46">
        <v>18419001.120000001</v>
      </c>
      <c r="H238" s="46">
        <f t="shared" si="34"/>
        <v>-3323644.0099999979</v>
      </c>
      <c r="I238" s="46"/>
      <c r="J238" s="46">
        <v>683098.47</v>
      </c>
      <c r="K238" s="46">
        <v>808344.21</v>
      </c>
      <c r="L238" s="46">
        <f t="shared" si="35"/>
        <v>125245.73999999999</v>
      </c>
      <c r="M238" s="46"/>
      <c r="N238" s="46">
        <v>1962892.76</v>
      </c>
      <c r="O238" s="46">
        <v>1297665.26</v>
      </c>
      <c r="P238" s="46">
        <f t="shared" si="36"/>
        <v>-665227.5</v>
      </c>
      <c r="Q238" s="46"/>
      <c r="R238" s="46">
        <v>10162060.720000001</v>
      </c>
      <c r="S238" s="46">
        <v>8240395.8799999999</v>
      </c>
      <c r="T238" s="46">
        <f t="shared" si="37"/>
        <v>-1921664.8400000008</v>
      </c>
      <c r="U238" s="46"/>
      <c r="V238" s="46">
        <v>1183592.98</v>
      </c>
      <c r="W238" s="46">
        <v>689927.65</v>
      </c>
      <c r="X238" s="46">
        <f t="shared" si="38"/>
        <v>-493665.32999999996</v>
      </c>
      <c r="Y238" s="46"/>
      <c r="Z238" s="46">
        <v>2807143.32</v>
      </c>
      <c r="AA238" s="46">
        <v>2845640.99</v>
      </c>
      <c r="AB238" s="46">
        <f t="shared" si="39"/>
        <v>38497.670000000391</v>
      </c>
      <c r="AC238" s="46"/>
      <c r="AD238" s="46">
        <v>2316818.87</v>
      </c>
      <c r="AE238" s="46">
        <v>2054705.81</v>
      </c>
      <c r="AF238" s="46">
        <f t="shared" si="40"/>
        <v>-262113.06000000006</v>
      </c>
      <c r="AG238" s="46"/>
      <c r="AH238" s="46">
        <v>2627038.0099999998</v>
      </c>
      <c r="AI238" s="46">
        <v>2482321.3199999998</v>
      </c>
      <c r="AJ238" s="46">
        <f t="shared" si="41"/>
        <v>-144716.68999999994</v>
      </c>
      <c r="AK238" s="46"/>
      <c r="AL238" s="46">
        <v>15312755.07</v>
      </c>
      <c r="AM238" s="46">
        <v>9521672.4700000007</v>
      </c>
      <c r="AN238" s="46">
        <f t="shared" si="42"/>
        <v>-5791082.5999999996</v>
      </c>
      <c r="AO238" s="46"/>
      <c r="AP238" s="46">
        <v>705000</v>
      </c>
      <c r="AQ238" s="46">
        <v>1119872.71</v>
      </c>
      <c r="AR238" s="46">
        <f t="shared" si="43"/>
        <v>414872.70999999996</v>
      </c>
      <c r="AS238" s="46"/>
      <c r="AT238" s="46">
        <v>12433496.539999999</v>
      </c>
      <c r="AU238" s="46">
        <v>12192448.83</v>
      </c>
    </row>
    <row r="239" spans="1:47" x14ac:dyDescent="0.25">
      <c r="A239" s="36" t="s">
        <v>221</v>
      </c>
      <c r="B239" s="44">
        <v>42705824.060000002</v>
      </c>
      <c r="C239" s="44">
        <v>38061496.020000003</v>
      </c>
      <c r="D239" s="44">
        <f t="shared" si="33"/>
        <v>-4644328.0399999991</v>
      </c>
      <c r="E239" s="44"/>
      <c r="F239" s="44">
        <v>31360752.039999999</v>
      </c>
      <c r="G239" s="44">
        <v>27328053.32</v>
      </c>
      <c r="H239" s="44">
        <f t="shared" si="34"/>
        <v>-4032698.7199999988</v>
      </c>
      <c r="I239" s="44"/>
      <c r="J239" s="44">
        <v>4152917.01</v>
      </c>
      <c r="K239" s="44">
        <v>3740617.89</v>
      </c>
      <c r="L239" s="44">
        <f t="shared" si="35"/>
        <v>-412299.11999999965</v>
      </c>
      <c r="M239" s="44"/>
      <c r="N239" s="44">
        <v>6603273.7800000003</v>
      </c>
      <c r="O239" s="44">
        <v>5012553.1399999997</v>
      </c>
      <c r="P239" s="44">
        <f t="shared" si="36"/>
        <v>-1590720.6400000006</v>
      </c>
      <c r="Q239" s="44"/>
      <c r="R239" s="44">
        <v>4329220.84</v>
      </c>
      <c r="S239" s="44">
        <v>3647411.46</v>
      </c>
      <c r="T239" s="44">
        <f t="shared" si="37"/>
        <v>-681809.37999999989</v>
      </c>
      <c r="U239" s="44"/>
      <c r="V239" s="44">
        <v>3083635.72</v>
      </c>
      <c r="W239" s="44">
        <v>3000103.55</v>
      </c>
      <c r="X239" s="44">
        <f t="shared" si="38"/>
        <v>-83532.170000000391</v>
      </c>
      <c r="Y239" s="44"/>
      <c r="Z239" s="44">
        <v>4617572.6500000004</v>
      </c>
      <c r="AA239" s="44">
        <v>4019472.88</v>
      </c>
      <c r="AB239" s="44">
        <f t="shared" si="39"/>
        <v>-598099.77000000048</v>
      </c>
      <c r="AC239" s="44"/>
      <c r="AD239" s="44">
        <v>5159254</v>
      </c>
      <c r="AE239" s="44">
        <v>4646308.67</v>
      </c>
      <c r="AF239" s="44">
        <f t="shared" si="40"/>
        <v>-512945.33000000007</v>
      </c>
      <c r="AG239" s="44"/>
      <c r="AH239" s="44">
        <v>3414878.04</v>
      </c>
      <c r="AI239" s="44">
        <v>3261585.73</v>
      </c>
      <c r="AJ239" s="44">
        <f t="shared" si="41"/>
        <v>-153292.31000000006</v>
      </c>
      <c r="AK239" s="44"/>
      <c r="AL239" s="44">
        <v>5335091.3099999996</v>
      </c>
      <c r="AM239" s="44">
        <v>4280742.8499999996</v>
      </c>
      <c r="AN239" s="44">
        <f t="shared" si="42"/>
        <v>-1054348.46</v>
      </c>
      <c r="AO239" s="44"/>
      <c r="AP239" s="44">
        <v>1580336.75</v>
      </c>
      <c r="AQ239" s="44">
        <v>1445492.24</v>
      </c>
      <c r="AR239" s="44">
        <f t="shared" si="43"/>
        <v>-134844.51</v>
      </c>
      <c r="AS239" s="44"/>
      <c r="AT239" s="44">
        <v>4157543.03</v>
      </c>
      <c r="AU239" s="44">
        <v>4898606.08</v>
      </c>
    </row>
    <row r="240" spans="1:47" ht="22.5" x14ac:dyDescent="0.25">
      <c r="A240" s="37" t="s">
        <v>222</v>
      </c>
      <c r="B240" s="46">
        <v>13469492.09</v>
      </c>
      <c r="C240" s="46">
        <v>12487851.210000001</v>
      </c>
      <c r="D240" s="46">
        <f t="shared" si="33"/>
        <v>-981640.87999999896</v>
      </c>
      <c r="E240" s="46"/>
      <c r="F240" s="46">
        <v>10134636.35</v>
      </c>
      <c r="G240" s="46">
        <v>8828544.8699999992</v>
      </c>
      <c r="H240" s="46">
        <f t="shared" si="34"/>
        <v>-1306091.4800000004</v>
      </c>
      <c r="I240" s="46"/>
      <c r="J240" s="46">
        <v>1397082.17</v>
      </c>
      <c r="K240" s="46">
        <v>1197189.71</v>
      </c>
      <c r="L240" s="46">
        <f t="shared" si="35"/>
        <v>-199892.45999999996</v>
      </c>
      <c r="M240" s="46"/>
      <c r="N240" s="46">
        <v>1675946.23</v>
      </c>
      <c r="O240" s="46">
        <v>1428721.98</v>
      </c>
      <c r="P240" s="46">
        <f t="shared" si="36"/>
        <v>-247224.25</v>
      </c>
      <c r="Q240" s="46"/>
      <c r="R240" s="46">
        <v>1411224.07</v>
      </c>
      <c r="S240" s="46">
        <v>1073366.98</v>
      </c>
      <c r="T240" s="46">
        <f t="shared" si="37"/>
        <v>-337857.09000000008</v>
      </c>
      <c r="U240" s="46"/>
      <c r="V240" s="46">
        <v>1016655.85</v>
      </c>
      <c r="W240" s="46">
        <v>835385.33</v>
      </c>
      <c r="X240" s="46">
        <f t="shared" si="38"/>
        <v>-181270.52000000002</v>
      </c>
      <c r="Y240" s="46"/>
      <c r="Z240" s="46">
        <v>1260794.6599999999</v>
      </c>
      <c r="AA240" s="46">
        <v>1173355.32</v>
      </c>
      <c r="AB240" s="46">
        <f t="shared" si="39"/>
        <v>-87439.339999999851</v>
      </c>
      <c r="AC240" s="46"/>
      <c r="AD240" s="46">
        <v>1752766.48</v>
      </c>
      <c r="AE240" s="46">
        <v>1545981.52</v>
      </c>
      <c r="AF240" s="46">
        <f t="shared" si="40"/>
        <v>-206784.95999999996</v>
      </c>
      <c r="AG240" s="46"/>
      <c r="AH240" s="46">
        <v>1620166.89</v>
      </c>
      <c r="AI240" s="46">
        <v>1574544.03</v>
      </c>
      <c r="AJ240" s="46">
        <f t="shared" si="41"/>
        <v>-45622.85999999987</v>
      </c>
      <c r="AK240" s="46"/>
      <c r="AL240" s="46">
        <v>1986329.92</v>
      </c>
      <c r="AM240" s="46">
        <v>1773047.11</v>
      </c>
      <c r="AN240" s="46">
        <f t="shared" si="42"/>
        <v>-213282.80999999982</v>
      </c>
      <c r="AO240" s="46"/>
      <c r="AP240" s="46">
        <v>115637.48</v>
      </c>
      <c r="AQ240" s="46">
        <v>102792.22</v>
      </c>
      <c r="AR240" s="46">
        <f t="shared" si="43"/>
        <v>-12845.259999999995</v>
      </c>
      <c r="AS240" s="46"/>
      <c r="AT240" s="46">
        <v>1095673.1000000001</v>
      </c>
      <c r="AU240" s="46">
        <v>1707058.35</v>
      </c>
    </row>
    <row r="241" spans="1:47" x14ac:dyDescent="0.25">
      <c r="A241" s="37" t="s">
        <v>223</v>
      </c>
      <c r="B241" s="46">
        <v>9770905.4100000001</v>
      </c>
      <c r="C241" s="46">
        <v>9116195.9800000004</v>
      </c>
      <c r="D241" s="46">
        <f t="shared" si="33"/>
        <v>-654709.4299999997</v>
      </c>
      <c r="E241" s="46"/>
      <c r="F241" s="46">
        <v>6472838.4500000002</v>
      </c>
      <c r="G241" s="46">
        <v>5821799.5199999996</v>
      </c>
      <c r="H241" s="46">
        <f t="shared" si="34"/>
        <v>-651038.93000000063</v>
      </c>
      <c r="I241" s="46"/>
      <c r="J241" s="46">
        <v>948685.17</v>
      </c>
      <c r="K241" s="46">
        <v>863473.07</v>
      </c>
      <c r="L241" s="46">
        <f t="shared" si="35"/>
        <v>-85212.100000000093</v>
      </c>
      <c r="M241" s="46"/>
      <c r="N241" s="46">
        <v>1255035.23</v>
      </c>
      <c r="O241" s="46">
        <v>1025873.36</v>
      </c>
      <c r="P241" s="46">
        <f t="shared" si="36"/>
        <v>-229161.87</v>
      </c>
      <c r="Q241" s="46"/>
      <c r="R241" s="46">
        <v>1141331.8600000001</v>
      </c>
      <c r="S241" s="46">
        <v>1037822.74</v>
      </c>
      <c r="T241" s="46">
        <f t="shared" si="37"/>
        <v>-103509.12000000011</v>
      </c>
      <c r="U241" s="46"/>
      <c r="V241" s="46">
        <v>757859.15</v>
      </c>
      <c r="W241" s="46">
        <v>632143.84</v>
      </c>
      <c r="X241" s="46">
        <f t="shared" si="38"/>
        <v>-125715.31000000006</v>
      </c>
      <c r="Y241" s="46"/>
      <c r="Z241" s="46">
        <v>1349205.28</v>
      </c>
      <c r="AA241" s="46">
        <v>1235144.8700000001</v>
      </c>
      <c r="AB241" s="46">
        <f t="shared" si="39"/>
        <v>-114060.40999999992</v>
      </c>
      <c r="AC241" s="46"/>
      <c r="AD241" s="46">
        <v>737680.94</v>
      </c>
      <c r="AE241" s="46">
        <v>711532.4</v>
      </c>
      <c r="AF241" s="46">
        <f t="shared" si="40"/>
        <v>-26148.539999999921</v>
      </c>
      <c r="AG241" s="46"/>
      <c r="AH241" s="46">
        <v>283040.82</v>
      </c>
      <c r="AI241" s="46">
        <v>315809.24</v>
      </c>
      <c r="AJ241" s="46">
        <f t="shared" si="41"/>
        <v>32768.419999999984</v>
      </c>
      <c r="AK241" s="46"/>
      <c r="AL241" s="46">
        <v>921004.53</v>
      </c>
      <c r="AM241" s="46">
        <v>826025.27</v>
      </c>
      <c r="AN241" s="46">
        <f t="shared" si="42"/>
        <v>-94979.260000000009</v>
      </c>
      <c r="AO241" s="46"/>
      <c r="AP241" s="46">
        <v>690924.02</v>
      </c>
      <c r="AQ241" s="46">
        <v>525401.41</v>
      </c>
      <c r="AR241" s="46">
        <f t="shared" si="43"/>
        <v>-165522.60999999999</v>
      </c>
      <c r="AS241" s="46"/>
      <c r="AT241" s="46">
        <v>1653655.12</v>
      </c>
      <c r="AU241" s="46">
        <v>1931439.31</v>
      </c>
    </row>
    <row r="242" spans="1:47" x14ac:dyDescent="0.25">
      <c r="A242" s="37" t="s">
        <v>224</v>
      </c>
      <c r="B242" s="46">
        <v>9627368.25</v>
      </c>
      <c r="C242" s="46">
        <v>8392088.5800000001</v>
      </c>
      <c r="D242" s="46">
        <f t="shared" si="33"/>
        <v>-1235279.67</v>
      </c>
      <c r="E242" s="46"/>
      <c r="F242" s="46">
        <v>9127322.8499999996</v>
      </c>
      <c r="G242" s="46">
        <v>8371426.1799999997</v>
      </c>
      <c r="H242" s="46">
        <f t="shared" si="34"/>
        <v>-755896.66999999993</v>
      </c>
      <c r="I242" s="46"/>
      <c r="J242" s="46">
        <v>1157162.48</v>
      </c>
      <c r="K242" s="46">
        <v>1103224.1399999999</v>
      </c>
      <c r="L242" s="46">
        <f t="shared" si="35"/>
        <v>-53938.340000000084</v>
      </c>
      <c r="M242" s="46"/>
      <c r="N242" s="46">
        <v>594489.02</v>
      </c>
      <c r="O242" s="46">
        <v>464196.72</v>
      </c>
      <c r="P242" s="46">
        <f t="shared" si="36"/>
        <v>-130292.30000000005</v>
      </c>
      <c r="Q242" s="46"/>
      <c r="R242" s="46">
        <v>1697884.91</v>
      </c>
      <c r="S242" s="46">
        <v>1535181.74</v>
      </c>
      <c r="T242" s="46">
        <f t="shared" si="37"/>
        <v>-162703.16999999993</v>
      </c>
      <c r="U242" s="46"/>
      <c r="V242" s="46">
        <v>948787.22</v>
      </c>
      <c r="W242" s="46">
        <v>841440.88</v>
      </c>
      <c r="X242" s="46">
        <f t="shared" si="38"/>
        <v>-107346.33999999997</v>
      </c>
      <c r="Y242" s="46"/>
      <c r="Z242" s="46">
        <v>864296.67</v>
      </c>
      <c r="AA242" s="46">
        <v>878818.88</v>
      </c>
      <c r="AB242" s="46">
        <f t="shared" si="39"/>
        <v>14522.209999999963</v>
      </c>
      <c r="AC242" s="46"/>
      <c r="AD242" s="46">
        <v>2668806.58</v>
      </c>
      <c r="AE242" s="46">
        <v>2388794.75</v>
      </c>
      <c r="AF242" s="46">
        <f t="shared" si="40"/>
        <v>-280011.83000000007</v>
      </c>
      <c r="AG242" s="46"/>
      <c r="AH242" s="46">
        <v>1195895.97</v>
      </c>
      <c r="AI242" s="46">
        <v>1159769.07</v>
      </c>
      <c r="AJ242" s="46">
        <f t="shared" si="41"/>
        <v>-36126.899999999907</v>
      </c>
      <c r="AK242" s="46"/>
      <c r="AL242" s="46">
        <v>371448</v>
      </c>
      <c r="AM242" s="47">
        <v>0</v>
      </c>
      <c r="AN242" s="46">
        <f t="shared" si="42"/>
        <v>-371448</v>
      </c>
      <c r="AO242" s="46"/>
      <c r="AP242" s="46">
        <v>9100</v>
      </c>
      <c r="AQ242" s="47">
        <v>0</v>
      </c>
      <c r="AR242" s="46">
        <f t="shared" si="43"/>
        <v>-9100</v>
      </c>
      <c r="AS242" s="46"/>
      <c r="AT242" s="46">
        <v>43335</v>
      </c>
      <c r="AU242" s="47">
        <v>0</v>
      </c>
    </row>
    <row r="243" spans="1:47" x14ac:dyDescent="0.25">
      <c r="A243" s="37" t="s">
        <v>225</v>
      </c>
      <c r="B243" s="46">
        <v>9838058.3100000005</v>
      </c>
      <c r="C243" s="46">
        <v>8065360.25</v>
      </c>
      <c r="D243" s="46">
        <f t="shared" si="33"/>
        <v>-1772698.0600000005</v>
      </c>
      <c r="E243" s="46"/>
      <c r="F243" s="46">
        <v>5625954.3899999997</v>
      </c>
      <c r="G243" s="46">
        <v>4306282.75</v>
      </c>
      <c r="H243" s="46">
        <f t="shared" si="34"/>
        <v>-1319671.6399999997</v>
      </c>
      <c r="I243" s="46"/>
      <c r="J243" s="46">
        <v>649987.18999999994</v>
      </c>
      <c r="K243" s="46">
        <v>576730.97</v>
      </c>
      <c r="L243" s="46">
        <f t="shared" si="35"/>
        <v>-73256.219999999972</v>
      </c>
      <c r="M243" s="46"/>
      <c r="N243" s="46">
        <v>3077803.3</v>
      </c>
      <c r="O243" s="46">
        <v>2093761.08</v>
      </c>
      <c r="P243" s="46">
        <f t="shared" si="36"/>
        <v>-984042.21999999974</v>
      </c>
      <c r="Q243" s="46"/>
      <c r="R243" s="46">
        <v>78780</v>
      </c>
      <c r="S243" s="46">
        <v>1040</v>
      </c>
      <c r="T243" s="46">
        <f t="shared" si="37"/>
        <v>-77740</v>
      </c>
      <c r="U243" s="46"/>
      <c r="V243" s="46">
        <v>360333.5</v>
      </c>
      <c r="W243" s="46">
        <v>691133.5</v>
      </c>
      <c r="X243" s="46">
        <f t="shared" si="38"/>
        <v>330800</v>
      </c>
      <c r="Y243" s="46"/>
      <c r="Z243" s="46">
        <v>1143276.04</v>
      </c>
      <c r="AA243" s="46">
        <v>732153.81</v>
      </c>
      <c r="AB243" s="46">
        <f t="shared" si="39"/>
        <v>-411122.23</v>
      </c>
      <c r="AC243" s="46"/>
      <c r="AD243" s="47">
        <v>0</v>
      </c>
      <c r="AE243" s="47">
        <v>0</v>
      </c>
      <c r="AF243" s="46">
        <f t="shared" si="40"/>
        <v>0</v>
      </c>
      <c r="AG243" s="46"/>
      <c r="AH243" s="46">
        <v>315774.36</v>
      </c>
      <c r="AI243" s="46">
        <v>211463.39</v>
      </c>
      <c r="AJ243" s="46">
        <f t="shared" si="41"/>
        <v>-104310.96999999997</v>
      </c>
      <c r="AK243" s="46"/>
      <c r="AL243" s="46">
        <v>2056308.86</v>
      </c>
      <c r="AM243" s="46">
        <v>1681670.47</v>
      </c>
      <c r="AN243" s="46">
        <f t="shared" si="42"/>
        <v>-374638.39000000013</v>
      </c>
      <c r="AO243" s="46"/>
      <c r="AP243" s="46">
        <v>764675.25</v>
      </c>
      <c r="AQ243" s="46">
        <v>817298.61</v>
      </c>
      <c r="AR243" s="46">
        <f t="shared" si="43"/>
        <v>52623.359999999986</v>
      </c>
      <c r="AS243" s="46"/>
      <c r="AT243" s="46">
        <v>1364879.81</v>
      </c>
      <c r="AU243" s="46">
        <v>1260108.42</v>
      </c>
    </row>
    <row r="244" spans="1:47" x14ac:dyDescent="0.25">
      <c r="A244" s="36" t="s">
        <v>226</v>
      </c>
      <c r="B244" s="44">
        <v>68451282.379999995</v>
      </c>
      <c r="C244" s="44">
        <v>61347156.140000001</v>
      </c>
      <c r="D244" s="44">
        <f t="shared" si="33"/>
        <v>-7104126.2399999946</v>
      </c>
      <c r="E244" s="44"/>
      <c r="F244" s="44">
        <v>56437648.590000004</v>
      </c>
      <c r="G244" s="44">
        <v>53602227.990000002</v>
      </c>
      <c r="H244" s="44">
        <f t="shared" si="34"/>
        <v>-2835420.6000000015</v>
      </c>
      <c r="I244" s="44"/>
      <c r="J244" s="44">
        <v>9244311.8200000003</v>
      </c>
      <c r="K244" s="44">
        <v>9372475.3599999994</v>
      </c>
      <c r="L244" s="44">
        <f t="shared" si="35"/>
        <v>128163.53999999911</v>
      </c>
      <c r="M244" s="44"/>
      <c r="N244" s="44">
        <v>3906185.65</v>
      </c>
      <c r="O244" s="44">
        <v>3673934.67</v>
      </c>
      <c r="P244" s="44">
        <f t="shared" si="36"/>
        <v>-232250.97999999998</v>
      </c>
      <c r="Q244" s="44"/>
      <c r="R244" s="44">
        <v>8580930.9299999997</v>
      </c>
      <c r="S244" s="44">
        <v>7610726.4000000004</v>
      </c>
      <c r="T244" s="44">
        <f t="shared" si="37"/>
        <v>-970204.52999999933</v>
      </c>
      <c r="U244" s="44"/>
      <c r="V244" s="44">
        <v>5216200.28</v>
      </c>
      <c r="W244" s="44">
        <v>4721266.91</v>
      </c>
      <c r="X244" s="44">
        <f t="shared" si="38"/>
        <v>-494933.37000000011</v>
      </c>
      <c r="Y244" s="44"/>
      <c r="Z244" s="44">
        <v>9022796.3599999994</v>
      </c>
      <c r="AA244" s="44">
        <v>8706652.2400000002</v>
      </c>
      <c r="AB244" s="44">
        <f t="shared" si="39"/>
        <v>-316144.11999999918</v>
      </c>
      <c r="AC244" s="44"/>
      <c r="AD244" s="44">
        <v>10912350.5</v>
      </c>
      <c r="AE244" s="44">
        <v>11401053.050000001</v>
      </c>
      <c r="AF244" s="44">
        <f t="shared" si="40"/>
        <v>488702.55000000075</v>
      </c>
      <c r="AG244" s="44"/>
      <c r="AH244" s="44">
        <v>9554873.0500000007</v>
      </c>
      <c r="AI244" s="44">
        <v>8116119.3600000003</v>
      </c>
      <c r="AJ244" s="44">
        <f t="shared" si="41"/>
        <v>-1438753.6900000004</v>
      </c>
      <c r="AK244" s="44"/>
      <c r="AL244" s="44">
        <v>8040283.3499999996</v>
      </c>
      <c r="AM244" s="44">
        <v>4490979.9400000004</v>
      </c>
      <c r="AN244" s="44">
        <f t="shared" si="42"/>
        <v>-3549303.4099999992</v>
      </c>
      <c r="AO244" s="44"/>
      <c r="AP244" s="44">
        <v>421704.92</v>
      </c>
      <c r="AQ244" s="44">
        <v>424699.69</v>
      </c>
      <c r="AR244" s="44">
        <f t="shared" si="43"/>
        <v>2994.7700000000186</v>
      </c>
      <c r="AS244" s="44"/>
      <c r="AT244" s="44">
        <v>610000</v>
      </c>
      <c r="AU244" s="45">
        <v>0</v>
      </c>
    </row>
    <row r="245" spans="1:47" x14ac:dyDescent="0.25">
      <c r="A245" s="37" t="s">
        <v>227</v>
      </c>
      <c r="B245" s="46">
        <v>61086922.520000003</v>
      </c>
      <c r="C245" s="46">
        <v>54138957.039999999</v>
      </c>
      <c r="D245" s="46">
        <f t="shared" si="33"/>
        <v>-6947965.4800000042</v>
      </c>
      <c r="E245" s="46"/>
      <c r="F245" s="46">
        <v>53391137.649999999</v>
      </c>
      <c r="G245" s="46">
        <v>50355408.049999997</v>
      </c>
      <c r="H245" s="46">
        <f t="shared" si="34"/>
        <v>-3035729.6000000015</v>
      </c>
      <c r="I245" s="46"/>
      <c r="J245" s="46">
        <v>9090850.6600000001</v>
      </c>
      <c r="K245" s="46">
        <v>8900036.9900000002</v>
      </c>
      <c r="L245" s="46">
        <f t="shared" si="35"/>
        <v>-190813.66999999993</v>
      </c>
      <c r="M245" s="46"/>
      <c r="N245" s="46">
        <v>3733284.73</v>
      </c>
      <c r="O245" s="46">
        <v>3412365.92</v>
      </c>
      <c r="P245" s="46">
        <f t="shared" si="36"/>
        <v>-320918.81000000006</v>
      </c>
      <c r="Q245" s="46"/>
      <c r="R245" s="46">
        <v>7967055.0999999996</v>
      </c>
      <c r="S245" s="46">
        <v>7359163.3499999996</v>
      </c>
      <c r="T245" s="46">
        <f t="shared" si="37"/>
        <v>-607891.75</v>
      </c>
      <c r="U245" s="46"/>
      <c r="V245" s="46">
        <v>4761204.6900000004</v>
      </c>
      <c r="W245" s="46">
        <v>4546880.5</v>
      </c>
      <c r="X245" s="46">
        <f t="shared" si="38"/>
        <v>-214324.19000000041</v>
      </c>
      <c r="Y245" s="46"/>
      <c r="Z245" s="46">
        <v>8045866.4699999997</v>
      </c>
      <c r="AA245" s="46">
        <v>8006264.25</v>
      </c>
      <c r="AB245" s="46">
        <f t="shared" si="39"/>
        <v>-39602.219999999739</v>
      </c>
      <c r="AC245" s="46"/>
      <c r="AD245" s="46">
        <v>10669587.449999999</v>
      </c>
      <c r="AE245" s="46">
        <v>10216373.279999999</v>
      </c>
      <c r="AF245" s="46">
        <f t="shared" si="40"/>
        <v>-453214.16999999993</v>
      </c>
      <c r="AG245" s="46"/>
      <c r="AH245" s="46">
        <v>9123288.5500000007</v>
      </c>
      <c r="AI245" s="46">
        <v>7914323.7599999998</v>
      </c>
      <c r="AJ245" s="46">
        <f t="shared" si="41"/>
        <v>-1208964.790000001</v>
      </c>
      <c r="AK245" s="46"/>
      <c r="AL245" s="46">
        <v>4346386.3499999996</v>
      </c>
      <c r="AM245" s="46">
        <v>906514.92</v>
      </c>
      <c r="AN245" s="46">
        <f t="shared" si="42"/>
        <v>-3439871.4299999997</v>
      </c>
      <c r="AO245" s="46"/>
      <c r="AP245" s="46">
        <v>417650</v>
      </c>
      <c r="AQ245" s="46">
        <v>47785.55</v>
      </c>
      <c r="AR245" s="46">
        <f t="shared" si="43"/>
        <v>-369864.45</v>
      </c>
      <c r="AS245" s="46"/>
      <c r="AT245" s="47">
        <v>0</v>
      </c>
      <c r="AU245" s="47">
        <v>0</v>
      </c>
    </row>
    <row r="246" spans="1:47" ht="22.5" x14ac:dyDescent="0.25">
      <c r="A246" s="37" t="s">
        <v>228</v>
      </c>
      <c r="B246" s="46">
        <v>6840410.2699999996</v>
      </c>
      <c r="C246" s="46">
        <v>7157544.5099999998</v>
      </c>
      <c r="D246" s="46">
        <f t="shared" si="33"/>
        <v>317134.24000000022</v>
      </c>
      <c r="E246" s="46"/>
      <c r="F246" s="46">
        <v>2682561.35</v>
      </c>
      <c r="G246" s="46">
        <v>3196165.35</v>
      </c>
      <c r="H246" s="46">
        <f t="shared" si="34"/>
        <v>513604</v>
      </c>
      <c r="I246" s="46"/>
      <c r="J246" s="46">
        <v>118146.16</v>
      </c>
      <c r="K246" s="46">
        <v>471178.37</v>
      </c>
      <c r="L246" s="46">
        <f t="shared" si="35"/>
        <v>353032.20999999996</v>
      </c>
      <c r="M246" s="46"/>
      <c r="N246" s="46">
        <v>162900.92000000001</v>
      </c>
      <c r="O246" s="46">
        <v>236568.75</v>
      </c>
      <c r="P246" s="46">
        <f t="shared" si="36"/>
        <v>73667.829999999987</v>
      </c>
      <c r="Q246" s="46"/>
      <c r="R246" s="46">
        <v>613875.82999999996</v>
      </c>
      <c r="S246" s="46">
        <v>251563.05</v>
      </c>
      <c r="T246" s="46">
        <f t="shared" si="37"/>
        <v>-362312.77999999997</v>
      </c>
      <c r="U246" s="46"/>
      <c r="V246" s="46">
        <v>439601</v>
      </c>
      <c r="W246" s="46">
        <v>173991.82</v>
      </c>
      <c r="X246" s="46">
        <f t="shared" si="38"/>
        <v>-265609.18</v>
      </c>
      <c r="Y246" s="46"/>
      <c r="Z246" s="46">
        <v>673689.89</v>
      </c>
      <c r="AA246" s="46">
        <v>676387.99</v>
      </c>
      <c r="AB246" s="46">
        <f t="shared" si="39"/>
        <v>2698.0999999999767</v>
      </c>
      <c r="AC246" s="46"/>
      <c r="AD246" s="46">
        <v>242763.05</v>
      </c>
      <c r="AE246" s="46">
        <v>1184679.77</v>
      </c>
      <c r="AF246" s="46">
        <f t="shared" si="40"/>
        <v>941916.72</v>
      </c>
      <c r="AG246" s="46"/>
      <c r="AH246" s="46">
        <v>431584.5</v>
      </c>
      <c r="AI246" s="46">
        <v>201795.6</v>
      </c>
      <c r="AJ246" s="46">
        <f t="shared" si="41"/>
        <v>-229788.9</v>
      </c>
      <c r="AK246" s="46"/>
      <c r="AL246" s="46">
        <v>3693897</v>
      </c>
      <c r="AM246" s="46">
        <v>3584465.02</v>
      </c>
      <c r="AN246" s="46">
        <f t="shared" si="42"/>
        <v>-109431.97999999998</v>
      </c>
      <c r="AO246" s="46"/>
      <c r="AP246" s="46">
        <v>4054.92</v>
      </c>
      <c r="AQ246" s="46">
        <v>376914.14</v>
      </c>
      <c r="AR246" s="46">
        <f t="shared" si="43"/>
        <v>372859.22000000003</v>
      </c>
      <c r="AS246" s="46"/>
      <c r="AT246" s="46">
        <v>450000</v>
      </c>
      <c r="AU246" s="47">
        <v>0</v>
      </c>
    </row>
    <row r="247" spans="1:47" ht="22.5" x14ac:dyDescent="0.25">
      <c r="A247" s="37" t="s">
        <v>229</v>
      </c>
      <c r="B247" s="46">
        <v>523949.59</v>
      </c>
      <c r="C247" s="46">
        <v>50654.59</v>
      </c>
      <c r="D247" s="46">
        <f t="shared" si="33"/>
        <v>-473295</v>
      </c>
      <c r="E247" s="46"/>
      <c r="F247" s="46">
        <v>363949.59</v>
      </c>
      <c r="G247" s="46">
        <v>50654.59</v>
      </c>
      <c r="H247" s="46">
        <f t="shared" si="34"/>
        <v>-313295</v>
      </c>
      <c r="I247" s="46"/>
      <c r="J247" s="46">
        <v>35315</v>
      </c>
      <c r="K247" s="46">
        <v>1260</v>
      </c>
      <c r="L247" s="46">
        <f t="shared" si="35"/>
        <v>-34055</v>
      </c>
      <c r="M247" s="46"/>
      <c r="N247" s="46">
        <v>10000</v>
      </c>
      <c r="O247" s="46">
        <v>25000</v>
      </c>
      <c r="P247" s="46">
        <f t="shared" si="36"/>
        <v>15000</v>
      </c>
      <c r="Q247" s="46"/>
      <c r="R247" s="47">
        <v>0</v>
      </c>
      <c r="S247" s="46">
        <v>0</v>
      </c>
      <c r="T247" s="46">
        <f t="shared" si="37"/>
        <v>0</v>
      </c>
      <c r="U247" s="46"/>
      <c r="V247" s="46">
        <v>15394.59</v>
      </c>
      <c r="W247" s="46">
        <v>394.59</v>
      </c>
      <c r="X247" s="46">
        <f t="shared" si="38"/>
        <v>-15000</v>
      </c>
      <c r="Y247" s="46"/>
      <c r="Z247" s="46">
        <v>303240</v>
      </c>
      <c r="AA247" s="46">
        <v>24000</v>
      </c>
      <c r="AB247" s="46">
        <f t="shared" si="39"/>
        <v>-279240</v>
      </c>
      <c r="AC247" s="46"/>
      <c r="AD247" s="47">
        <v>0</v>
      </c>
      <c r="AE247" s="47">
        <v>0</v>
      </c>
      <c r="AF247" s="46">
        <f t="shared" si="40"/>
        <v>0</v>
      </c>
      <c r="AG247" s="46"/>
      <c r="AH247" s="47">
        <v>0</v>
      </c>
      <c r="AI247" s="47">
        <v>0</v>
      </c>
      <c r="AJ247" s="46">
        <f t="shared" si="41"/>
        <v>0</v>
      </c>
      <c r="AK247" s="46"/>
      <c r="AL247" s="47">
        <v>0</v>
      </c>
      <c r="AM247" s="47">
        <v>0</v>
      </c>
      <c r="AN247" s="46">
        <f t="shared" si="42"/>
        <v>0</v>
      </c>
      <c r="AO247" s="46"/>
      <c r="AP247" s="47">
        <v>0</v>
      </c>
      <c r="AQ247" s="47">
        <v>0</v>
      </c>
      <c r="AR247" s="46">
        <f t="shared" si="43"/>
        <v>0</v>
      </c>
      <c r="AS247" s="46"/>
      <c r="AT247" s="46">
        <v>160000</v>
      </c>
      <c r="AU247" s="47">
        <v>0</v>
      </c>
    </row>
    <row r="248" spans="1:47" x14ac:dyDescent="0.25">
      <c r="A248" s="36" t="s">
        <v>230</v>
      </c>
      <c r="B248" s="44">
        <v>5410000.0099999998</v>
      </c>
      <c r="C248" s="44">
        <v>3743255.67</v>
      </c>
      <c r="D248" s="44">
        <f t="shared" si="33"/>
        <v>-1666744.3399999999</v>
      </c>
      <c r="E248" s="44"/>
      <c r="F248" s="45">
        <v>0</v>
      </c>
      <c r="G248" s="45">
        <v>0</v>
      </c>
      <c r="H248" s="44">
        <f t="shared" si="34"/>
        <v>0</v>
      </c>
      <c r="I248" s="44"/>
      <c r="J248" s="45">
        <v>0</v>
      </c>
      <c r="K248" s="45">
        <v>0</v>
      </c>
      <c r="L248" s="44">
        <f t="shared" si="35"/>
        <v>0</v>
      </c>
      <c r="M248" s="44"/>
      <c r="N248" s="45">
        <v>0</v>
      </c>
      <c r="O248" s="45">
        <v>0</v>
      </c>
      <c r="P248" s="44">
        <f t="shared" si="36"/>
        <v>0</v>
      </c>
      <c r="Q248" s="44"/>
      <c r="R248" s="45">
        <v>0</v>
      </c>
      <c r="S248" s="45">
        <v>0</v>
      </c>
      <c r="T248" s="44">
        <f t="shared" si="37"/>
        <v>0</v>
      </c>
      <c r="U248" s="44"/>
      <c r="V248" s="45">
        <v>0</v>
      </c>
      <c r="W248" s="45">
        <v>0</v>
      </c>
      <c r="X248" s="44">
        <f t="shared" si="38"/>
        <v>0</v>
      </c>
      <c r="Y248" s="44"/>
      <c r="Z248" s="45">
        <v>0</v>
      </c>
      <c r="AA248" s="45">
        <v>0</v>
      </c>
      <c r="AB248" s="44">
        <f t="shared" si="39"/>
        <v>0</v>
      </c>
      <c r="AC248" s="44"/>
      <c r="AD248" s="45">
        <v>0</v>
      </c>
      <c r="AE248" s="45">
        <v>0</v>
      </c>
      <c r="AF248" s="44">
        <f t="shared" si="40"/>
        <v>0</v>
      </c>
      <c r="AG248" s="44"/>
      <c r="AH248" s="45">
        <v>0</v>
      </c>
      <c r="AI248" s="45">
        <v>0</v>
      </c>
      <c r="AJ248" s="44">
        <f t="shared" si="41"/>
        <v>0</v>
      </c>
      <c r="AK248" s="44"/>
      <c r="AL248" s="45">
        <v>0</v>
      </c>
      <c r="AM248" s="45">
        <v>0</v>
      </c>
      <c r="AN248" s="44">
        <f t="shared" si="42"/>
        <v>0</v>
      </c>
      <c r="AO248" s="44"/>
      <c r="AP248" s="45">
        <v>0</v>
      </c>
      <c r="AQ248" s="45">
        <v>0</v>
      </c>
      <c r="AR248" s="44">
        <f t="shared" si="43"/>
        <v>0</v>
      </c>
      <c r="AS248" s="44"/>
      <c r="AT248" s="44">
        <v>5410000.0099999998</v>
      </c>
      <c r="AU248" s="44">
        <v>3743255.67</v>
      </c>
    </row>
    <row r="249" spans="1:47" x14ac:dyDescent="0.25">
      <c r="A249" s="37" t="s">
        <v>231</v>
      </c>
      <c r="B249" s="46">
        <v>5410000.0099999998</v>
      </c>
      <c r="C249" s="46">
        <v>3743255.67</v>
      </c>
      <c r="D249" s="46">
        <f t="shared" si="33"/>
        <v>-1666744.3399999999</v>
      </c>
      <c r="E249" s="46"/>
      <c r="F249" s="47">
        <v>0</v>
      </c>
      <c r="G249" s="47">
        <v>0</v>
      </c>
      <c r="H249" s="46">
        <f t="shared" si="34"/>
        <v>0</v>
      </c>
      <c r="I249" s="46"/>
      <c r="J249" s="47">
        <v>0</v>
      </c>
      <c r="K249" s="47">
        <v>0</v>
      </c>
      <c r="L249" s="46">
        <f t="shared" si="35"/>
        <v>0</v>
      </c>
      <c r="M249" s="46"/>
      <c r="N249" s="47">
        <v>0</v>
      </c>
      <c r="O249" s="47">
        <v>0</v>
      </c>
      <c r="P249" s="46">
        <f t="shared" si="36"/>
        <v>0</v>
      </c>
      <c r="Q249" s="46"/>
      <c r="R249" s="47">
        <v>0</v>
      </c>
      <c r="S249" s="47">
        <v>0</v>
      </c>
      <c r="T249" s="46">
        <f t="shared" si="37"/>
        <v>0</v>
      </c>
      <c r="U249" s="46"/>
      <c r="V249" s="47">
        <v>0</v>
      </c>
      <c r="W249" s="47">
        <v>0</v>
      </c>
      <c r="X249" s="46">
        <f t="shared" si="38"/>
        <v>0</v>
      </c>
      <c r="Y249" s="46"/>
      <c r="Z249" s="47">
        <v>0</v>
      </c>
      <c r="AA249" s="47">
        <v>0</v>
      </c>
      <c r="AB249" s="46">
        <f t="shared" si="39"/>
        <v>0</v>
      </c>
      <c r="AC249" s="46"/>
      <c r="AD249" s="47">
        <v>0</v>
      </c>
      <c r="AE249" s="47">
        <v>0</v>
      </c>
      <c r="AF249" s="46">
        <f t="shared" si="40"/>
        <v>0</v>
      </c>
      <c r="AG249" s="46"/>
      <c r="AH249" s="47">
        <v>0</v>
      </c>
      <c r="AI249" s="47">
        <v>0</v>
      </c>
      <c r="AJ249" s="46">
        <f t="shared" si="41"/>
        <v>0</v>
      </c>
      <c r="AK249" s="46"/>
      <c r="AL249" s="47">
        <v>0</v>
      </c>
      <c r="AM249" s="47">
        <v>0</v>
      </c>
      <c r="AN249" s="46">
        <f t="shared" si="42"/>
        <v>0</v>
      </c>
      <c r="AO249" s="46"/>
      <c r="AP249" s="47">
        <v>0</v>
      </c>
      <c r="AQ249" s="47">
        <v>0</v>
      </c>
      <c r="AR249" s="46">
        <f t="shared" si="43"/>
        <v>0</v>
      </c>
      <c r="AS249" s="46"/>
      <c r="AT249" s="46">
        <v>5410000.0099999998</v>
      </c>
      <c r="AU249" s="46">
        <v>3743255.67</v>
      </c>
    </row>
    <row r="250" spans="1:47" x14ac:dyDescent="0.25">
      <c r="A250" s="37" t="s">
        <v>232</v>
      </c>
      <c r="B250" s="47">
        <v>0</v>
      </c>
      <c r="C250" s="47">
        <v>0</v>
      </c>
      <c r="D250" s="47">
        <f t="shared" si="33"/>
        <v>0</v>
      </c>
      <c r="E250" s="47"/>
      <c r="F250" s="47">
        <v>0</v>
      </c>
      <c r="G250" s="47">
        <v>0</v>
      </c>
      <c r="H250" s="47">
        <f t="shared" si="34"/>
        <v>0</v>
      </c>
      <c r="I250" s="47"/>
      <c r="J250" s="47">
        <v>0</v>
      </c>
      <c r="K250" s="47">
        <v>0</v>
      </c>
      <c r="L250" s="47">
        <f t="shared" si="35"/>
        <v>0</v>
      </c>
      <c r="M250" s="47"/>
      <c r="N250" s="47">
        <v>0</v>
      </c>
      <c r="O250" s="47">
        <v>0</v>
      </c>
      <c r="P250" s="47">
        <f t="shared" si="36"/>
        <v>0</v>
      </c>
      <c r="Q250" s="47"/>
      <c r="R250" s="47">
        <v>0</v>
      </c>
      <c r="S250" s="47">
        <v>0</v>
      </c>
      <c r="T250" s="47">
        <f t="shared" si="37"/>
        <v>0</v>
      </c>
      <c r="U250" s="47"/>
      <c r="V250" s="47">
        <v>0</v>
      </c>
      <c r="W250" s="47">
        <v>0</v>
      </c>
      <c r="X250" s="47">
        <f t="shared" si="38"/>
        <v>0</v>
      </c>
      <c r="Y250" s="47"/>
      <c r="Z250" s="47">
        <v>0</v>
      </c>
      <c r="AA250" s="47">
        <v>0</v>
      </c>
      <c r="AB250" s="47">
        <f t="shared" si="39"/>
        <v>0</v>
      </c>
      <c r="AC250" s="47"/>
      <c r="AD250" s="47">
        <v>0</v>
      </c>
      <c r="AE250" s="47">
        <v>0</v>
      </c>
      <c r="AF250" s="47">
        <f t="shared" si="40"/>
        <v>0</v>
      </c>
      <c r="AG250" s="47"/>
      <c r="AH250" s="47">
        <v>0</v>
      </c>
      <c r="AI250" s="47">
        <v>0</v>
      </c>
      <c r="AJ250" s="47">
        <f t="shared" si="41"/>
        <v>0</v>
      </c>
      <c r="AK250" s="47"/>
      <c r="AL250" s="47">
        <v>0</v>
      </c>
      <c r="AM250" s="47">
        <v>0</v>
      </c>
      <c r="AN250" s="47">
        <f t="shared" si="42"/>
        <v>0</v>
      </c>
      <c r="AO250" s="47"/>
      <c r="AP250" s="47">
        <v>0</v>
      </c>
      <c r="AQ250" s="47">
        <v>0</v>
      </c>
      <c r="AR250" s="47">
        <f t="shared" si="43"/>
        <v>0</v>
      </c>
      <c r="AS250" s="47"/>
      <c r="AT250" s="47">
        <v>0</v>
      </c>
      <c r="AU250" s="47">
        <v>0</v>
      </c>
    </row>
    <row r="251" spans="1:47" x14ac:dyDescent="0.25">
      <c r="A251" s="36" t="s">
        <v>233</v>
      </c>
      <c r="B251" s="44">
        <v>98565510.989999995</v>
      </c>
      <c r="C251" s="44">
        <v>79236724.930000007</v>
      </c>
      <c r="D251" s="44">
        <f t="shared" si="33"/>
        <v>-19328786.059999987</v>
      </c>
      <c r="E251" s="44"/>
      <c r="F251" s="44">
        <v>4482006.5599999996</v>
      </c>
      <c r="G251" s="44">
        <v>4117253.1</v>
      </c>
      <c r="H251" s="44">
        <f t="shared" si="34"/>
        <v>-364753.4599999995</v>
      </c>
      <c r="I251" s="44"/>
      <c r="J251" s="44">
        <v>733694.67</v>
      </c>
      <c r="K251" s="44">
        <v>622205.31000000006</v>
      </c>
      <c r="L251" s="44">
        <f t="shared" si="35"/>
        <v>-111489.35999999999</v>
      </c>
      <c r="M251" s="44"/>
      <c r="N251" s="44">
        <v>1203749.83</v>
      </c>
      <c r="O251" s="44">
        <v>1125197.22</v>
      </c>
      <c r="P251" s="44">
        <f t="shared" si="36"/>
        <v>-78552.610000000102</v>
      </c>
      <c r="Q251" s="44"/>
      <c r="R251" s="44">
        <v>690163.52</v>
      </c>
      <c r="S251" s="44">
        <v>712260.74</v>
      </c>
      <c r="T251" s="44">
        <f t="shared" si="37"/>
        <v>22097.219999999972</v>
      </c>
      <c r="U251" s="44"/>
      <c r="V251" s="44">
        <v>340894.43</v>
      </c>
      <c r="W251" s="44">
        <v>330040.23</v>
      </c>
      <c r="X251" s="44">
        <f t="shared" si="38"/>
        <v>-10854.200000000012</v>
      </c>
      <c r="Y251" s="44"/>
      <c r="Z251" s="44">
        <v>550223.80000000005</v>
      </c>
      <c r="AA251" s="44">
        <v>447777.9</v>
      </c>
      <c r="AB251" s="44">
        <f t="shared" si="39"/>
        <v>-102445.90000000002</v>
      </c>
      <c r="AC251" s="44"/>
      <c r="AD251" s="44">
        <v>544738.68000000005</v>
      </c>
      <c r="AE251" s="44">
        <v>477829.8</v>
      </c>
      <c r="AF251" s="44">
        <f t="shared" si="40"/>
        <v>-66908.880000000063</v>
      </c>
      <c r="AG251" s="44"/>
      <c r="AH251" s="44">
        <v>418541.63</v>
      </c>
      <c r="AI251" s="44">
        <v>401941.9</v>
      </c>
      <c r="AJ251" s="44">
        <f t="shared" si="41"/>
        <v>-16599.729999999981</v>
      </c>
      <c r="AK251" s="44"/>
      <c r="AL251" s="44">
        <v>829251.88</v>
      </c>
      <c r="AM251" s="44">
        <v>883156</v>
      </c>
      <c r="AN251" s="44">
        <f t="shared" si="42"/>
        <v>53904.119999999995</v>
      </c>
      <c r="AO251" s="44"/>
      <c r="AP251" s="44">
        <v>133477</v>
      </c>
      <c r="AQ251" s="44">
        <v>135440.38</v>
      </c>
      <c r="AR251" s="44">
        <f t="shared" si="43"/>
        <v>1963.3800000000047</v>
      </c>
      <c r="AS251" s="44"/>
      <c r="AT251" s="44">
        <v>92467270.560000002</v>
      </c>
      <c r="AU251" s="44">
        <v>73977702.709999993</v>
      </c>
    </row>
    <row r="252" spans="1:47" x14ac:dyDescent="0.25">
      <c r="A252" s="37" t="s">
        <v>234</v>
      </c>
      <c r="B252" s="46">
        <v>6936420.6500000004</v>
      </c>
      <c r="C252" s="46">
        <v>6053506.3700000001</v>
      </c>
      <c r="D252" s="46">
        <f t="shared" si="33"/>
        <v>-882914.28000000026</v>
      </c>
      <c r="E252" s="46"/>
      <c r="F252" s="46">
        <v>4481966.5599999996</v>
      </c>
      <c r="G252" s="46">
        <v>4116747.1</v>
      </c>
      <c r="H252" s="46">
        <f t="shared" si="34"/>
        <v>-365219.4599999995</v>
      </c>
      <c r="I252" s="46"/>
      <c r="J252" s="46">
        <v>733654.67</v>
      </c>
      <c r="K252" s="46">
        <v>622135.31000000006</v>
      </c>
      <c r="L252" s="46">
        <f t="shared" si="35"/>
        <v>-111519.35999999999</v>
      </c>
      <c r="M252" s="46"/>
      <c r="N252" s="46">
        <v>1203749.83</v>
      </c>
      <c r="O252" s="46">
        <v>1125197.22</v>
      </c>
      <c r="P252" s="46">
        <f t="shared" si="36"/>
        <v>-78552.610000000102</v>
      </c>
      <c r="Q252" s="46"/>
      <c r="R252" s="46">
        <v>690163.52</v>
      </c>
      <c r="S252" s="46">
        <v>711860.74</v>
      </c>
      <c r="T252" s="46">
        <f t="shared" si="37"/>
        <v>21697.219999999972</v>
      </c>
      <c r="U252" s="46"/>
      <c r="V252" s="46">
        <v>340894.43</v>
      </c>
      <c r="W252" s="46">
        <v>330040.23</v>
      </c>
      <c r="X252" s="46">
        <f t="shared" si="38"/>
        <v>-10854.200000000012</v>
      </c>
      <c r="Y252" s="46"/>
      <c r="Z252" s="46">
        <v>550223.80000000005</v>
      </c>
      <c r="AA252" s="46">
        <v>447777.9</v>
      </c>
      <c r="AB252" s="46">
        <f t="shared" si="39"/>
        <v>-102445.90000000002</v>
      </c>
      <c r="AC252" s="46"/>
      <c r="AD252" s="46">
        <v>544738.68000000005</v>
      </c>
      <c r="AE252" s="46">
        <v>477811.8</v>
      </c>
      <c r="AF252" s="46">
        <f t="shared" si="40"/>
        <v>-66926.880000000063</v>
      </c>
      <c r="AG252" s="46"/>
      <c r="AH252" s="46">
        <v>418541.63</v>
      </c>
      <c r="AI252" s="46">
        <v>401923.9</v>
      </c>
      <c r="AJ252" s="46">
        <f t="shared" si="41"/>
        <v>-16617.729999999981</v>
      </c>
      <c r="AK252" s="46"/>
      <c r="AL252" s="46">
        <v>829251.88</v>
      </c>
      <c r="AM252" s="46">
        <v>883156</v>
      </c>
      <c r="AN252" s="46">
        <f t="shared" si="42"/>
        <v>53904.119999999995</v>
      </c>
      <c r="AO252" s="46"/>
      <c r="AP252" s="46">
        <v>133477</v>
      </c>
      <c r="AQ252" s="46">
        <v>135440.38</v>
      </c>
      <c r="AR252" s="46">
        <f t="shared" si="43"/>
        <v>1963.3800000000047</v>
      </c>
      <c r="AS252" s="46"/>
      <c r="AT252" s="46">
        <v>838220.22</v>
      </c>
      <c r="AU252" s="46">
        <v>794990.15</v>
      </c>
    </row>
    <row r="253" spans="1:47" x14ac:dyDescent="0.25">
      <c r="A253" s="37" t="s">
        <v>235</v>
      </c>
      <c r="B253" s="46">
        <v>4608989.53</v>
      </c>
      <c r="C253" s="46">
        <v>3142230.56</v>
      </c>
      <c r="D253" s="46">
        <f t="shared" si="33"/>
        <v>-1466758.9700000002</v>
      </c>
      <c r="E253" s="46"/>
      <c r="F253" s="46">
        <v>40</v>
      </c>
      <c r="G253" s="46">
        <v>506</v>
      </c>
      <c r="H253" s="46">
        <f t="shared" si="34"/>
        <v>466</v>
      </c>
      <c r="I253" s="46"/>
      <c r="J253" s="46">
        <v>40</v>
      </c>
      <c r="K253" s="46">
        <v>70</v>
      </c>
      <c r="L253" s="46">
        <f t="shared" si="35"/>
        <v>30</v>
      </c>
      <c r="M253" s="46"/>
      <c r="N253" s="47">
        <v>0</v>
      </c>
      <c r="O253" s="47">
        <v>0</v>
      </c>
      <c r="P253" s="46">
        <f t="shared" si="36"/>
        <v>0</v>
      </c>
      <c r="Q253" s="46"/>
      <c r="R253" s="47">
        <v>0</v>
      </c>
      <c r="S253" s="46">
        <v>400</v>
      </c>
      <c r="T253" s="46">
        <f t="shared" si="37"/>
        <v>400</v>
      </c>
      <c r="U253" s="46"/>
      <c r="V253" s="47">
        <v>0</v>
      </c>
      <c r="W253" s="47">
        <v>0</v>
      </c>
      <c r="X253" s="46">
        <f t="shared" si="38"/>
        <v>0</v>
      </c>
      <c r="Y253" s="46"/>
      <c r="Z253" s="47">
        <v>0</v>
      </c>
      <c r="AA253" s="47">
        <v>0</v>
      </c>
      <c r="AB253" s="46">
        <f t="shared" si="39"/>
        <v>0</v>
      </c>
      <c r="AC253" s="46"/>
      <c r="AD253" s="47">
        <v>0</v>
      </c>
      <c r="AE253" s="46">
        <v>18</v>
      </c>
      <c r="AF253" s="46">
        <f t="shared" si="40"/>
        <v>18</v>
      </c>
      <c r="AG253" s="46"/>
      <c r="AH253" s="47">
        <v>0</v>
      </c>
      <c r="AI253" s="46">
        <v>18</v>
      </c>
      <c r="AJ253" s="46">
        <f t="shared" si="41"/>
        <v>18</v>
      </c>
      <c r="AK253" s="46"/>
      <c r="AL253" s="47">
        <v>0</v>
      </c>
      <c r="AM253" s="47">
        <v>0</v>
      </c>
      <c r="AN253" s="46">
        <f t="shared" si="42"/>
        <v>0</v>
      </c>
      <c r="AO253" s="46"/>
      <c r="AP253" s="47">
        <v>0</v>
      </c>
      <c r="AQ253" s="47">
        <v>0</v>
      </c>
      <c r="AR253" s="46">
        <f t="shared" si="43"/>
        <v>0</v>
      </c>
      <c r="AS253" s="46"/>
      <c r="AT253" s="46">
        <v>4608949.53</v>
      </c>
      <c r="AU253" s="46">
        <v>3141724.56</v>
      </c>
    </row>
    <row r="254" spans="1:47" x14ac:dyDescent="0.25">
      <c r="A254" s="37" t="s">
        <v>236</v>
      </c>
      <c r="B254" s="46">
        <v>87020100.810000002</v>
      </c>
      <c r="C254" s="46">
        <v>70040988</v>
      </c>
      <c r="D254" s="46">
        <f t="shared" si="33"/>
        <v>-16979112.810000002</v>
      </c>
      <c r="E254" s="46"/>
      <c r="F254" s="47">
        <v>0</v>
      </c>
      <c r="G254" s="47">
        <v>0</v>
      </c>
      <c r="H254" s="46">
        <f t="shared" si="34"/>
        <v>0</v>
      </c>
      <c r="I254" s="46"/>
      <c r="J254" s="47">
        <v>0</v>
      </c>
      <c r="K254" s="47">
        <v>0</v>
      </c>
      <c r="L254" s="46">
        <f t="shared" si="35"/>
        <v>0</v>
      </c>
      <c r="M254" s="46"/>
      <c r="N254" s="47">
        <v>0</v>
      </c>
      <c r="O254" s="47">
        <v>0</v>
      </c>
      <c r="P254" s="46">
        <f t="shared" si="36"/>
        <v>0</v>
      </c>
      <c r="Q254" s="46"/>
      <c r="R254" s="47">
        <v>0</v>
      </c>
      <c r="S254" s="47">
        <v>0</v>
      </c>
      <c r="T254" s="46">
        <f t="shared" si="37"/>
        <v>0</v>
      </c>
      <c r="U254" s="46"/>
      <c r="V254" s="47">
        <v>0</v>
      </c>
      <c r="W254" s="47">
        <v>0</v>
      </c>
      <c r="X254" s="46">
        <f t="shared" si="38"/>
        <v>0</v>
      </c>
      <c r="Y254" s="46"/>
      <c r="Z254" s="47">
        <v>0</v>
      </c>
      <c r="AA254" s="47">
        <v>0</v>
      </c>
      <c r="AB254" s="46">
        <f t="shared" si="39"/>
        <v>0</v>
      </c>
      <c r="AC254" s="46"/>
      <c r="AD254" s="47">
        <v>0</v>
      </c>
      <c r="AE254" s="47">
        <v>0</v>
      </c>
      <c r="AF254" s="46">
        <f t="shared" si="40"/>
        <v>0</v>
      </c>
      <c r="AG254" s="46"/>
      <c r="AH254" s="47">
        <v>0</v>
      </c>
      <c r="AI254" s="47">
        <v>0</v>
      </c>
      <c r="AJ254" s="46">
        <f t="shared" si="41"/>
        <v>0</v>
      </c>
      <c r="AK254" s="46"/>
      <c r="AL254" s="47">
        <v>0</v>
      </c>
      <c r="AM254" s="47">
        <v>0</v>
      </c>
      <c r="AN254" s="46">
        <f t="shared" si="42"/>
        <v>0</v>
      </c>
      <c r="AO254" s="46"/>
      <c r="AP254" s="47">
        <v>0</v>
      </c>
      <c r="AQ254" s="47">
        <v>0</v>
      </c>
      <c r="AR254" s="46">
        <f t="shared" si="43"/>
        <v>0</v>
      </c>
      <c r="AS254" s="46"/>
      <c r="AT254" s="46">
        <v>87020100.810000002</v>
      </c>
      <c r="AU254" s="46">
        <v>70040988</v>
      </c>
    </row>
    <row r="255" spans="1:47" x14ac:dyDescent="0.25">
      <c r="A255" s="35" t="s">
        <v>237</v>
      </c>
      <c r="B255" s="46">
        <v>6098333.6100000003</v>
      </c>
      <c r="C255" s="46">
        <v>4154373.53</v>
      </c>
      <c r="D255" s="46">
        <f t="shared" si="33"/>
        <v>-1943960.0800000005</v>
      </c>
      <c r="E255" s="46"/>
      <c r="F255" s="46">
        <v>1001453.61</v>
      </c>
      <c r="G255" s="46">
        <v>652175.63</v>
      </c>
      <c r="H255" s="46">
        <f t="shared" si="34"/>
        <v>-349277.98</v>
      </c>
      <c r="I255" s="46"/>
      <c r="J255" s="46">
        <v>25422.61</v>
      </c>
      <c r="K255" s="46">
        <v>27040.49</v>
      </c>
      <c r="L255" s="46">
        <f t="shared" si="35"/>
        <v>1617.880000000001</v>
      </c>
      <c r="M255" s="46"/>
      <c r="N255" s="46">
        <v>164423</v>
      </c>
      <c r="O255" s="46">
        <v>66495</v>
      </c>
      <c r="P255" s="46">
        <f t="shared" si="36"/>
        <v>-97928</v>
      </c>
      <c r="Q255" s="46"/>
      <c r="R255" s="46">
        <v>117300</v>
      </c>
      <c r="S255" s="46">
        <v>27700</v>
      </c>
      <c r="T255" s="46">
        <f t="shared" si="37"/>
        <v>-89600</v>
      </c>
      <c r="U255" s="46"/>
      <c r="V255" s="46">
        <v>35120</v>
      </c>
      <c r="W255" s="46">
        <v>3150</v>
      </c>
      <c r="X255" s="46">
        <f t="shared" si="38"/>
        <v>-31970</v>
      </c>
      <c r="Y255" s="46"/>
      <c r="Z255" s="46">
        <v>608990</v>
      </c>
      <c r="AA255" s="46">
        <v>343392.14</v>
      </c>
      <c r="AB255" s="46">
        <f t="shared" si="39"/>
        <v>-265597.86</v>
      </c>
      <c r="AC255" s="46"/>
      <c r="AD255" s="46">
        <v>12078</v>
      </c>
      <c r="AE255" s="46">
        <v>12298</v>
      </c>
      <c r="AF255" s="46">
        <f t="shared" si="40"/>
        <v>220</v>
      </c>
      <c r="AG255" s="46"/>
      <c r="AH255" s="46">
        <v>38120</v>
      </c>
      <c r="AI255" s="46">
        <v>172100</v>
      </c>
      <c r="AJ255" s="46">
        <f t="shared" si="41"/>
        <v>133980</v>
      </c>
      <c r="AK255" s="46"/>
      <c r="AL255" s="46">
        <v>61210</v>
      </c>
      <c r="AM255" s="46">
        <v>103410</v>
      </c>
      <c r="AN255" s="46">
        <f t="shared" si="42"/>
        <v>42200</v>
      </c>
      <c r="AO255" s="46"/>
      <c r="AP255" s="46">
        <v>23460</v>
      </c>
      <c r="AQ255" s="46">
        <v>1560</v>
      </c>
      <c r="AR255" s="46">
        <f t="shared" si="43"/>
        <v>-21900</v>
      </c>
      <c r="AS255" s="46"/>
      <c r="AT255" s="46">
        <v>4987210</v>
      </c>
      <c r="AU255" s="46">
        <v>3397227.9</v>
      </c>
    </row>
    <row r="256" spans="1:47" x14ac:dyDescent="0.25">
      <c r="A256" s="36" t="s">
        <v>238</v>
      </c>
      <c r="B256" s="44">
        <v>251872122.15000001</v>
      </c>
      <c r="C256" s="44">
        <v>198996050.75</v>
      </c>
      <c r="D256" s="44">
        <f t="shared" si="33"/>
        <v>-52876071.400000006</v>
      </c>
      <c r="E256" s="44"/>
      <c r="F256" s="44">
        <v>8879243.7899999991</v>
      </c>
      <c r="G256" s="44">
        <v>6445422.8799999999</v>
      </c>
      <c r="H256" s="44">
        <f t="shared" si="34"/>
        <v>-2433820.9099999992</v>
      </c>
      <c r="I256" s="44"/>
      <c r="J256" s="44">
        <v>986178.46</v>
      </c>
      <c r="K256" s="44">
        <v>985548.53</v>
      </c>
      <c r="L256" s="44">
        <f t="shared" si="35"/>
        <v>-629.92999999993481</v>
      </c>
      <c r="M256" s="44"/>
      <c r="N256" s="44">
        <v>2289266.2799999998</v>
      </c>
      <c r="O256" s="44">
        <v>1182078.08</v>
      </c>
      <c r="P256" s="44">
        <f t="shared" si="36"/>
        <v>-1107188.1999999997</v>
      </c>
      <c r="Q256" s="44"/>
      <c r="R256" s="44">
        <v>1677484.04</v>
      </c>
      <c r="S256" s="44">
        <v>1301136.06</v>
      </c>
      <c r="T256" s="44">
        <f t="shared" si="37"/>
        <v>-376347.98</v>
      </c>
      <c r="U256" s="44"/>
      <c r="V256" s="44">
        <v>1192863.02</v>
      </c>
      <c r="W256" s="44">
        <v>859654.52</v>
      </c>
      <c r="X256" s="44">
        <f t="shared" si="38"/>
        <v>-333208.5</v>
      </c>
      <c r="Y256" s="44"/>
      <c r="Z256" s="44">
        <v>1435442.04</v>
      </c>
      <c r="AA256" s="44">
        <v>1128857.1100000001</v>
      </c>
      <c r="AB256" s="44">
        <f t="shared" si="39"/>
        <v>-306584.92999999993</v>
      </c>
      <c r="AC256" s="44"/>
      <c r="AD256" s="44">
        <v>865509.08</v>
      </c>
      <c r="AE256" s="44">
        <v>586583.84</v>
      </c>
      <c r="AF256" s="44">
        <f t="shared" si="40"/>
        <v>-278925.24</v>
      </c>
      <c r="AG256" s="44"/>
      <c r="AH256" s="44">
        <v>432500.87</v>
      </c>
      <c r="AI256" s="44">
        <v>401564.74</v>
      </c>
      <c r="AJ256" s="44">
        <f t="shared" si="41"/>
        <v>-30936.130000000005</v>
      </c>
      <c r="AK256" s="44"/>
      <c r="AL256" s="44">
        <v>1231199.49</v>
      </c>
      <c r="AM256" s="44">
        <v>1197633.6399999999</v>
      </c>
      <c r="AN256" s="44">
        <f t="shared" si="42"/>
        <v>-33565.850000000093</v>
      </c>
      <c r="AO256" s="44"/>
      <c r="AP256" s="44">
        <v>2442171.9700000002</v>
      </c>
      <c r="AQ256" s="44">
        <v>2219519.2400000002</v>
      </c>
      <c r="AR256" s="44">
        <f t="shared" si="43"/>
        <v>-222652.72999999998</v>
      </c>
      <c r="AS256" s="44"/>
      <c r="AT256" s="44">
        <v>223599020.56</v>
      </c>
      <c r="AU256" s="44">
        <v>188764593.18000001</v>
      </c>
    </row>
    <row r="257" spans="1:47" x14ac:dyDescent="0.25">
      <c r="A257" s="39" t="s">
        <v>239</v>
      </c>
      <c r="B257" s="44">
        <v>39764498.009999998</v>
      </c>
      <c r="C257" s="44">
        <v>40387682.799999997</v>
      </c>
      <c r="D257" s="44">
        <f t="shared" si="33"/>
        <v>623184.78999999911</v>
      </c>
      <c r="E257" s="44"/>
      <c r="F257" s="44">
        <v>7506592.5899999999</v>
      </c>
      <c r="G257" s="44">
        <v>5288529.55</v>
      </c>
      <c r="H257" s="44">
        <f t="shared" si="34"/>
        <v>-2218063.04</v>
      </c>
      <c r="I257" s="44"/>
      <c r="J257" s="44">
        <v>870522.2</v>
      </c>
      <c r="K257" s="44">
        <v>884392.27</v>
      </c>
      <c r="L257" s="44">
        <f t="shared" si="35"/>
        <v>13870.070000000065</v>
      </c>
      <c r="M257" s="44"/>
      <c r="N257" s="44">
        <v>2233272.44</v>
      </c>
      <c r="O257" s="44">
        <v>933586.73</v>
      </c>
      <c r="P257" s="44">
        <f t="shared" si="36"/>
        <v>-1299685.71</v>
      </c>
      <c r="Q257" s="44"/>
      <c r="R257" s="44">
        <v>1259986.6200000001</v>
      </c>
      <c r="S257" s="44">
        <v>899127.12</v>
      </c>
      <c r="T257" s="44">
        <f t="shared" si="37"/>
        <v>-360859.50000000012</v>
      </c>
      <c r="U257" s="44"/>
      <c r="V257" s="44">
        <v>1001027.49</v>
      </c>
      <c r="W257" s="44">
        <v>675613.06</v>
      </c>
      <c r="X257" s="44">
        <f t="shared" si="38"/>
        <v>-325414.42999999993</v>
      </c>
      <c r="Y257" s="44"/>
      <c r="Z257" s="44">
        <v>1279121.04</v>
      </c>
      <c r="AA257" s="44">
        <v>996257.11</v>
      </c>
      <c r="AB257" s="44">
        <f t="shared" si="39"/>
        <v>-282863.93000000005</v>
      </c>
      <c r="AC257" s="44"/>
      <c r="AD257" s="44">
        <v>437439.27</v>
      </c>
      <c r="AE257" s="44">
        <v>510182.53</v>
      </c>
      <c r="AF257" s="44">
        <f t="shared" si="40"/>
        <v>72743.260000000009</v>
      </c>
      <c r="AG257" s="44"/>
      <c r="AH257" s="44">
        <v>425223.53</v>
      </c>
      <c r="AI257" s="44">
        <v>389370.73</v>
      </c>
      <c r="AJ257" s="44">
        <f t="shared" si="41"/>
        <v>-35852.800000000047</v>
      </c>
      <c r="AK257" s="44"/>
      <c r="AL257" s="44">
        <v>537910.16</v>
      </c>
      <c r="AM257" s="44">
        <v>614306.31000000006</v>
      </c>
      <c r="AN257" s="44">
        <f t="shared" si="42"/>
        <v>76396.150000000023</v>
      </c>
      <c r="AO257" s="44"/>
      <c r="AP257" s="44">
        <v>2436765.13</v>
      </c>
      <c r="AQ257" s="44">
        <v>2215750.2200000002</v>
      </c>
      <c r="AR257" s="44">
        <f t="shared" si="43"/>
        <v>-221014.90999999968</v>
      </c>
      <c r="AS257" s="44"/>
      <c r="AT257" s="44">
        <v>29108243.510000002</v>
      </c>
      <c r="AU257" s="44">
        <v>32195135.969999999</v>
      </c>
    </row>
    <row r="258" spans="1:47" ht="22.5" x14ac:dyDescent="0.25">
      <c r="A258" s="40" t="s">
        <v>240</v>
      </c>
      <c r="B258" s="46">
        <v>31311476.719999999</v>
      </c>
      <c r="C258" s="46">
        <v>33717512.130000003</v>
      </c>
      <c r="D258" s="46">
        <f t="shared" si="33"/>
        <v>2406035.4100000039</v>
      </c>
      <c r="E258" s="46"/>
      <c r="F258" s="46">
        <v>5436516.3499999996</v>
      </c>
      <c r="G258" s="46">
        <v>4484029.63</v>
      </c>
      <c r="H258" s="46">
        <f t="shared" si="34"/>
        <v>-952486.71999999974</v>
      </c>
      <c r="I258" s="46"/>
      <c r="J258" s="46">
        <v>588709.75</v>
      </c>
      <c r="K258" s="46">
        <v>590835.91</v>
      </c>
      <c r="L258" s="46">
        <f t="shared" si="35"/>
        <v>2126.1600000000326</v>
      </c>
      <c r="M258" s="46"/>
      <c r="N258" s="46">
        <v>986129.37</v>
      </c>
      <c r="O258" s="46">
        <v>738305.71</v>
      </c>
      <c r="P258" s="46">
        <f t="shared" si="36"/>
        <v>-247823.66000000003</v>
      </c>
      <c r="Q258" s="46"/>
      <c r="R258" s="46">
        <v>1126899.17</v>
      </c>
      <c r="S258" s="46">
        <v>847218.95</v>
      </c>
      <c r="T258" s="46">
        <f t="shared" si="37"/>
        <v>-279680.21999999997</v>
      </c>
      <c r="U258" s="46"/>
      <c r="V258" s="46">
        <v>915308.84</v>
      </c>
      <c r="W258" s="46">
        <v>605171.03</v>
      </c>
      <c r="X258" s="46">
        <f t="shared" si="38"/>
        <v>-310137.80999999994</v>
      </c>
      <c r="Y258" s="46"/>
      <c r="Z258" s="46">
        <v>1135542.8</v>
      </c>
      <c r="AA258" s="46">
        <v>860270.25</v>
      </c>
      <c r="AB258" s="46">
        <f t="shared" si="39"/>
        <v>-275272.55000000005</v>
      </c>
      <c r="AC258" s="46"/>
      <c r="AD258" s="46">
        <v>386845.89</v>
      </c>
      <c r="AE258" s="46">
        <v>475954.95</v>
      </c>
      <c r="AF258" s="46">
        <f t="shared" si="40"/>
        <v>89109.06</v>
      </c>
      <c r="AG258" s="46"/>
      <c r="AH258" s="46">
        <v>297080.53000000003</v>
      </c>
      <c r="AI258" s="46">
        <v>366272.83</v>
      </c>
      <c r="AJ258" s="46">
        <f t="shared" si="41"/>
        <v>69192.299999999988</v>
      </c>
      <c r="AK258" s="46"/>
      <c r="AL258" s="46">
        <v>534910.16</v>
      </c>
      <c r="AM258" s="46">
        <v>531849.23</v>
      </c>
      <c r="AN258" s="46">
        <f t="shared" si="42"/>
        <v>-3060.9300000000512</v>
      </c>
      <c r="AO258" s="46"/>
      <c r="AP258" s="46">
        <v>2436765.13</v>
      </c>
      <c r="AQ258" s="46">
        <v>2215750.2200000002</v>
      </c>
      <c r="AR258" s="46">
        <f t="shared" si="43"/>
        <v>-221014.90999999968</v>
      </c>
      <c r="AS258" s="46"/>
      <c r="AT258" s="46">
        <v>22740398.34</v>
      </c>
      <c r="AU258" s="46">
        <v>26413996.309999999</v>
      </c>
    </row>
    <row r="259" spans="1:47" x14ac:dyDescent="0.25">
      <c r="A259" s="40" t="s">
        <v>241</v>
      </c>
      <c r="B259" s="46">
        <v>8453021.2899999991</v>
      </c>
      <c r="C259" s="46">
        <v>6670170.6699999999</v>
      </c>
      <c r="D259" s="46">
        <f t="shared" si="33"/>
        <v>-1782850.6199999992</v>
      </c>
      <c r="E259" s="46"/>
      <c r="F259" s="46">
        <v>2070076.24</v>
      </c>
      <c r="G259" s="46">
        <v>804499.92</v>
      </c>
      <c r="H259" s="46">
        <f t="shared" si="34"/>
        <v>-1265576.3199999998</v>
      </c>
      <c r="I259" s="46"/>
      <c r="J259" s="46">
        <v>281812.45</v>
      </c>
      <c r="K259" s="46">
        <v>293556.36</v>
      </c>
      <c r="L259" s="46">
        <f t="shared" si="35"/>
        <v>11743.909999999974</v>
      </c>
      <c r="M259" s="46"/>
      <c r="N259" s="46">
        <v>1247143.07</v>
      </c>
      <c r="O259" s="46">
        <v>195281.02</v>
      </c>
      <c r="P259" s="46">
        <f t="shared" si="36"/>
        <v>-1051862.05</v>
      </c>
      <c r="Q259" s="46"/>
      <c r="R259" s="46">
        <v>133087.45000000001</v>
      </c>
      <c r="S259" s="46">
        <v>51908.17</v>
      </c>
      <c r="T259" s="46">
        <f t="shared" si="37"/>
        <v>-81179.280000000013</v>
      </c>
      <c r="U259" s="46"/>
      <c r="V259" s="46">
        <v>85718.65</v>
      </c>
      <c r="W259" s="46">
        <v>70442.03</v>
      </c>
      <c r="X259" s="46">
        <f t="shared" si="38"/>
        <v>-15276.619999999995</v>
      </c>
      <c r="Y259" s="46"/>
      <c r="Z259" s="46">
        <v>143578.23999999999</v>
      </c>
      <c r="AA259" s="46">
        <v>135986.85999999999</v>
      </c>
      <c r="AB259" s="46">
        <f t="shared" si="39"/>
        <v>-7591.3800000000047</v>
      </c>
      <c r="AC259" s="46"/>
      <c r="AD259" s="46">
        <v>50593.38</v>
      </c>
      <c r="AE259" s="46">
        <v>34227.58</v>
      </c>
      <c r="AF259" s="46">
        <f t="shared" si="40"/>
        <v>-16365.799999999996</v>
      </c>
      <c r="AG259" s="46"/>
      <c r="AH259" s="46">
        <v>128143</v>
      </c>
      <c r="AI259" s="46">
        <v>23097.9</v>
      </c>
      <c r="AJ259" s="46">
        <f t="shared" si="41"/>
        <v>-105045.1</v>
      </c>
      <c r="AK259" s="46"/>
      <c r="AL259" s="46">
        <v>3000</v>
      </c>
      <c r="AM259" s="46">
        <v>82457.08</v>
      </c>
      <c r="AN259" s="46">
        <f t="shared" si="42"/>
        <v>79457.08</v>
      </c>
      <c r="AO259" s="46"/>
      <c r="AP259" s="47">
        <v>0</v>
      </c>
      <c r="AQ259" s="47">
        <v>0</v>
      </c>
      <c r="AR259" s="46">
        <f t="shared" si="43"/>
        <v>0</v>
      </c>
      <c r="AS259" s="46"/>
      <c r="AT259" s="46">
        <v>6367845.1699999999</v>
      </c>
      <c r="AU259" s="46">
        <v>5781139.6600000001</v>
      </c>
    </row>
    <row r="260" spans="1:47" ht="22.5" x14ac:dyDescent="0.25">
      <c r="A260" s="37" t="s">
        <v>242</v>
      </c>
      <c r="B260" s="46">
        <v>212107624.13999999</v>
      </c>
      <c r="C260" s="46">
        <v>158608367.94999999</v>
      </c>
      <c r="D260" s="46">
        <f t="shared" si="33"/>
        <v>-53499256.189999998</v>
      </c>
      <c r="E260" s="46"/>
      <c r="F260" s="46">
        <v>1372651.2</v>
      </c>
      <c r="G260" s="46">
        <v>1156893.33</v>
      </c>
      <c r="H260" s="46">
        <f t="shared" si="34"/>
        <v>-215757.86999999988</v>
      </c>
      <c r="I260" s="46"/>
      <c r="J260" s="46">
        <v>115656.26</v>
      </c>
      <c r="K260" s="46">
        <v>101156.26</v>
      </c>
      <c r="L260" s="46">
        <f t="shared" si="35"/>
        <v>-14500</v>
      </c>
      <c r="M260" s="46"/>
      <c r="N260" s="46">
        <v>55993.84</v>
      </c>
      <c r="O260" s="46">
        <v>248491.35</v>
      </c>
      <c r="P260" s="46">
        <f t="shared" si="36"/>
        <v>192497.51</v>
      </c>
      <c r="Q260" s="46"/>
      <c r="R260" s="46">
        <v>417497.42</v>
      </c>
      <c r="S260" s="46">
        <v>402008.94</v>
      </c>
      <c r="T260" s="46">
        <f t="shared" si="37"/>
        <v>-15488.479999999981</v>
      </c>
      <c r="U260" s="46"/>
      <c r="V260" s="46">
        <v>191835.53</v>
      </c>
      <c r="W260" s="46">
        <v>184041.46</v>
      </c>
      <c r="X260" s="46">
        <f t="shared" si="38"/>
        <v>-7794.070000000007</v>
      </c>
      <c r="Y260" s="46"/>
      <c r="Z260" s="46">
        <v>156321</v>
      </c>
      <c r="AA260" s="46">
        <v>132600</v>
      </c>
      <c r="AB260" s="46">
        <f t="shared" si="39"/>
        <v>-23721</v>
      </c>
      <c r="AC260" s="46"/>
      <c r="AD260" s="46">
        <v>428069.81</v>
      </c>
      <c r="AE260" s="46">
        <v>76401.31</v>
      </c>
      <c r="AF260" s="46">
        <f t="shared" si="40"/>
        <v>-351668.5</v>
      </c>
      <c r="AG260" s="46"/>
      <c r="AH260" s="46">
        <v>7277.34</v>
      </c>
      <c r="AI260" s="46">
        <v>12194.01</v>
      </c>
      <c r="AJ260" s="46">
        <f t="shared" si="41"/>
        <v>4916.67</v>
      </c>
      <c r="AK260" s="46"/>
      <c r="AL260" s="46">
        <v>693289.33</v>
      </c>
      <c r="AM260" s="46">
        <v>583327.32999999996</v>
      </c>
      <c r="AN260" s="46">
        <f t="shared" si="42"/>
        <v>-109962</v>
      </c>
      <c r="AO260" s="46"/>
      <c r="AP260" s="46">
        <v>5406.84</v>
      </c>
      <c r="AQ260" s="46">
        <v>3769.02</v>
      </c>
      <c r="AR260" s="46">
        <f t="shared" si="43"/>
        <v>-1637.8200000000002</v>
      </c>
      <c r="AS260" s="46"/>
      <c r="AT260" s="46">
        <v>194490777.05000001</v>
      </c>
      <c r="AU260" s="46">
        <v>156569457.21000001</v>
      </c>
    </row>
    <row r="261" spans="1:47" x14ac:dyDescent="0.25">
      <c r="A261" s="34" t="s">
        <v>243</v>
      </c>
      <c r="B261" s="44">
        <v>114704243.93000001</v>
      </c>
      <c r="C261" s="44">
        <v>106253716.58</v>
      </c>
      <c r="D261" s="44">
        <f t="shared" si="33"/>
        <v>-8450527.3500000089</v>
      </c>
      <c r="E261" s="44"/>
      <c r="F261" s="44">
        <v>61575082.509999998</v>
      </c>
      <c r="G261" s="44">
        <v>54971923.240000002</v>
      </c>
      <c r="H261" s="44">
        <f t="shared" si="34"/>
        <v>-6603159.2699999958</v>
      </c>
      <c r="I261" s="44"/>
      <c r="J261" s="44">
        <v>6225046.5899999999</v>
      </c>
      <c r="K261" s="44">
        <v>5681109.1699999999</v>
      </c>
      <c r="L261" s="44">
        <f t="shared" si="35"/>
        <v>-543937.41999999993</v>
      </c>
      <c r="M261" s="44"/>
      <c r="N261" s="44">
        <v>21367682.48</v>
      </c>
      <c r="O261" s="44">
        <v>18740405.890000001</v>
      </c>
      <c r="P261" s="44">
        <f t="shared" si="36"/>
        <v>-2627276.59</v>
      </c>
      <c r="Q261" s="44"/>
      <c r="R261" s="44">
        <v>5584943.6600000001</v>
      </c>
      <c r="S261" s="44">
        <v>4595344.2699999996</v>
      </c>
      <c r="T261" s="44">
        <f t="shared" si="37"/>
        <v>-989599.3900000006</v>
      </c>
      <c r="U261" s="44"/>
      <c r="V261" s="44">
        <v>6521621.8899999997</v>
      </c>
      <c r="W261" s="44">
        <v>5960390.3700000001</v>
      </c>
      <c r="X261" s="44">
        <f t="shared" si="38"/>
        <v>-561231.51999999955</v>
      </c>
      <c r="Y261" s="44"/>
      <c r="Z261" s="44">
        <v>7980104.7999999998</v>
      </c>
      <c r="AA261" s="44">
        <v>7026290.6699999999</v>
      </c>
      <c r="AB261" s="44">
        <f t="shared" si="39"/>
        <v>-953814.12999999989</v>
      </c>
      <c r="AC261" s="44"/>
      <c r="AD261" s="44">
        <v>5413278.8200000003</v>
      </c>
      <c r="AE261" s="44">
        <v>5581012.25</v>
      </c>
      <c r="AF261" s="44">
        <f t="shared" si="40"/>
        <v>167733.4299999997</v>
      </c>
      <c r="AG261" s="44"/>
      <c r="AH261" s="44">
        <v>8482404.2699999996</v>
      </c>
      <c r="AI261" s="44">
        <v>7387370.6200000001</v>
      </c>
      <c r="AJ261" s="44">
        <f t="shared" si="41"/>
        <v>-1095033.6499999994</v>
      </c>
      <c r="AK261" s="44"/>
      <c r="AL261" s="44">
        <v>43235484.039999999</v>
      </c>
      <c r="AM261" s="44">
        <v>40214510.799999997</v>
      </c>
      <c r="AN261" s="44">
        <f t="shared" si="42"/>
        <v>-3020973.2400000021</v>
      </c>
      <c r="AO261" s="44"/>
      <c r="AP261" s="44">
        <v>6231747.4400000004</v>
      </c>
      <c r="AQ261" s="44">
        <v>6556136.7999999998</v>
      </c>
      <c r="AR261" s="44">
        <f t="shared" si="43"/>
        <v>324389.3599999994</v>
      </c>
      <c r="AS261" s="44"/>
      <c r="AT261" s="44">
        <v>788852.25</v>
      </c>
      <c r="AU261" s="44">
        <v>3030463.37</v>
      </c>
    </row>
    <row r="262" spans="1:47" ht="22.5" x14ac:dyDescent="0.25">
      <c r="A262" s="35" t="s">
        <v>244</v>
      </c>
      <c r="B262" s="46">
        <v>1733562.1</v>
      </c>
      <c r="C262" s="46">
        <v>2481738.58</v>
      </c>
      <c r="D262" s="46">
        <f t="shared" si="33"/>
        <v>748176.48</v>
      </c>
      <c r="E262" s="46"/>
      <c r="F262" s="46">
        <v>1596210.44</v>
      </c>
      <c r="G262" s="46">
        <v>647742.18000000005</v>
      </c>
      <c r="H262" s="46">
        <f t="shared" si="34"/>
        <v>-948468.25999999989</v>
      </c>
      <c r="I262" s="46"/>
      <c r="J262" s="46">
        <v>116060.27</v>
      </c>
      <c r="K262" s="46">
        <v>111523.87</v>
      </c>
      <c r="L262" s="46">
        <f t="shared" si="35"/>
        <v>-4536.4000000000087</v>
      </c>
      <c r="M262" s="46"/>
      <c r="N262" s="46">
        <v>1141917.6399999999</v>
      </c>
      <c r="O262" s="46">
        <v>121244.03</v>
      </c>
      <c r="P262" s="46">
        <f t="shared" si="36"/>
        <v>-1020673.6099999999</v>
      </c>
      <c r="Q262" s="46"/>
      <c r="R262" s="46">
        <v>57925.919999999998</v>
      </c>
      <c r="S262" s="46">
        <v>78766.11</v>
      </c>
      <c r="T262" s="46">
        <f t="shared" si="37"/>
        <v>20840.190000000002</v>
      </c>
      <c r="U262" s="46"/>
      <c r="V262" s="46">
        <v>49254.6</v>
      </c>
      <c r="W262" s="46">
        <v>101566.21</v>
      </c>
      <c r="X262" s="46">
        <f t="shared" si="38"/>
        <v>52311.610000000008</v>
      </c>
      <c r="Y262" s="46"/>
      <c r="Z262" s="46">
        <v>184122.33</v>
      </c>
      <c r="AA262" s="46">
        <v>200148.55</v>
      </c>
      <c r="AB262" s="46">
        <f t="shared" si="39"/>
        <v>16026.220000000001</v>
      </c>
      <c r="AC262" s="46"/>
      <c r="AD262" s="46">
        <v>99</v>
      </c>
      <c r="AE262" s="47">
        <v>0</v>
      </c>
      <c r="AF262" s="46">
        <f t="shared" si="40"/>
        <v>-99</v>
      </c>
      <c r="AG262" s="46"/>
      <c r="AH262" s="46">
        <v>46830.68</v>
      </c>
      <c r="AI262" s="46">
        <v>34493.410000000003</v>
      </c>
      <c r="AJ262" s="46">
        <f t="shared" si="41"/>
        <v>-12337.269999999997</v>
      </c>
      <c r="AK262" s="46"/>
      <c r="AL262" s="47">
        <v>0</v>
      </c>
      <c r="AM262" s="47">
        <v>0</v>
      </c>
      <c r="AN262" s="46">
        <f t="shared" si="42"/>
        <v>0</v>
      </c>
      <c r="AO262" s="46"/>
      <c r="AP262" s="46">
        <v>9520.07</v>
      </c>
      <c r="AQ262" s="46">
        <v>2130.98</v>
      </c>
      <c r="AR262" s="46">
        <f t="shared" si="43"/>
        <v>-7389.09</v>
      </c>
      <c r="AS262" s="46"/>
      <c r="AT262" s="46">
        <v>117831.59</v>
      </c>
      <c r="AU262" s="46">
        <v>1831865.42</v>
      </c>
    </row>
    <row r="263" spans="1:47" x14ac:dyDescent="0.25">
      <c r="A263" s="35" t="s">
        <v>243</v>
      </c>
      <c r="B263" s="46">
        <v>4775622.63</v>
      </c>
      <c r="C263" s="46">
        <v>2935473.08</v>
      </c>
      <c r="D263" s="46">
        <f t="shared" si="33"/>
        <v>-1840149.5499999998</v>
      </c>
      <c r="E263" s="46"/>
      <c r="F263" s="46">
        <v>2582508.5099999998</v>
      </c>
      <c r="G263" s="46">
        <v>1534955.73</v>
      </c>
      <c r="H263" s="46">
        <f t="shared" si="34"/>
        <v>-1047552.7799999998</v>
      </c>
      <c r="I263" s="46"/>
      <c r="J263" s="46">
        <v>406225.18</v>
      </c>
      <c r="K263" s="46">
        <v>286411.71999999997</v>
      </c>
      <c r="L263" s="46">
        <f t="shared" si="35"/>
        <v>-119813.46000000002</v>
      </c>
      <c r="M263" s="46"/>
      <c r="N263" s="46">
        <v>555313.74</v>
      </c>
      <c r="O263" s="46">
        <v>221308.2</v>
      </c>
      <c r="P263" s="46">
        <f t="shared" si="36"/>
        <v>-334005.53999999998</v>
      </c>
      <c r="Q263" s="46"/>
      <c r="R263" s="46">
        <v>377610.11</v>
      </c>
      <c r="S263" s="46">
        <v>174168.45</v>
      </c>
      <c r="T263" s="46">
        <f t="shared" si="37"/>
        <v>-203441.65999999997</v>
      </c>
      <c r="U263" s="46"/>
      <c r="V263" s="46">
        <v>148593.66</v>
      </c>
      <c r="W263" s="46">
        <v>130463.43</v>
      </c>
      <c r="X263" s="46">
        <f t="shared" si="38"/>
        <v>-18130.23000000001</v>
      </c>
      <c r="Y263" s="46"/>
      <c r="Z263" s="46">
        <v>498847.04</v>
      </c>
      <c r="AA263" s="46">
        <v>218915.29</v>
      </c>
      <c r="AB263" s="46">
        <f t="shared" si="39"/>
        <v>-279931.75</v>
      </c>
      <c r="AC263" s="46"/>
      <c r="AD263" s="46">
        <v>293249</v>
      </c>
      <c r="AE263" s="46">
        <v>182495.77</v>
      </c>
      <c r="AF263" s="46">
        <f t="shared" si="40"/>
        <v>-110753.23000000001</v>
      </c>
      <c r="AG263" s="46"/>
      <c r="AH263" s="46">
        <v>302669.78000000003</v>
      </c>
      <c r="AI263" s="46">
        <v>321192.87</v>
      </c>
      <c r="AJ263" s="46">
        <f t="shared" si="41"/>
        <v>18523.089999999967</v>
      </c>
      <c r="AK263" s="46"/>
      <c r="AL263" s="46">
        <v>1676490.42</v>
      </c>
      <c r="AM263" s="46">
        <v>1275055.97</v>
      </c>
      <c r="AN263" s="46">
        <f t="shared" si="42"/>
        <v>-401434.44999999995</v>
      </c>
      <c r="AO263" s="46"/>
      <c r="AP263" s="46">
        <v>344573.69</v>
      </c>
      <c r="AQ263" s="46">
        <v>109461.38</v>
      </c>
      <c r="AR263" s="46">
        <f t="shared" si="43"/>
        <v>-235112.31</v>
      </c>
      <c r="AS263" s="46"/>
      <c r="AT263" s="46">
        <v>7400</v>
      </c>
      <c r="AU263" s="46">
        <v>1000</v>
      </c>
    </row>
    <row r="264" spans="1:47" x14ac:dyDescent="0.25">
      <c r="A264" s="35" t="s">
        <v>245</v>
      </c>
      <c r="B264" s="46">
        <v>45345649.210000001</v>
      </c>
      <c r="C264" s="46">
        <v>41987640.82</v>
      </c>
      <c r="D264" s="46">
        <f t="shared" si="33"/>
        <v>-3358008.3900000006</v>
      </c>
      <c r="E264" s="46"/>
      <c r="F264" s="46">
        <v>26538803.309999999</v>
      </c>
      <c r="G264" s="46">
        <v>24417291.02</v>
      </c>
      <c r="H264" s="46">
        <f t="shared" si="34"/>
        <v>-2121512.2899999991</v>
      </c>
      <c r="I264" s="46"/>
      <c r="J264" s="46">
        <v>2548684.7599999998</v>
      </c>
      <c r="K264" s="46">
        <v>2324641.9</v>
      </c>
      <c r="L264" s="46">
        <f t="shared" si="35"/>
        <v>-224042.85999999987</v>
      </c>
      <c r="M264" s="46"/>
      <c r="N264" s="46">
        <v>11632774.09</v>
      </c>
      <c r="O264" s="46">
        <v>10712967.92</v>
      </c>
      <c r="P264" s="46">
        <f t="shared" si="36"/>
        <v>-919806.16999999993</v>
      </c>
      <c r="Q264" s="46"/>
      <c r="R264" s="46">
        <v>2972656.92</v>
      </c>
      <c r="S264" s="46">
        <v>2609482.35</v>
      </c>
      <c r="T264" s="46">
        <f t="shared" si="37"/>
        <v>-363174.56999999983</v>
      </c>
      <c r="U264" s="46"/>
      <c r="V264" s="46">
        <v>2389203.9700000002</v>
      </c>
      <c r="W264" s="46">
        <v>2066081.39</v>
      </c>
      <c r="X264" s="46">
        <f t="shared" si="38"/>
        <v>-323122.58000000031</v>
      </c>
      <c r="Y264" s="46"/>
      <c r="Z264" s="46">
        <v>3704319.49</v>
      </c>
      <c r="AA264" s="46">
        <v>3525852.35</v>
      </c>
      <c r="AB264" s="46">
        <f t="shared" si="39"/>
        <v>-178467.14000000013</v>
      </c>
      <c r="AC264" s="46"/>
      <c r="AD264" s="46">
        <v>1813668.1</v>
      </c>
      <c r="AE264" s="46">
        <v>1872489.25</v>
      </c>
      <c r="AF264" s="46">
        <f t="shared" si="40"/>
        <v>58821.149999999907</v>
      </c>
      <c r="AG264" s="46"/>
      <c r="AH264" s="46">
        <v>1477495.98</v>
      </c>
      <c r="AI264" s="46">
        <v>1305775.8600000001</v>
      </c>
      <c r="AJ264" s="46">
        <f t="shared" si="41"/>
        <v>-171720.11999999988</v>
      </c>
      <c r="AK264" s="46"/>
      <c r="AL264" s="46">
        <v>16291368.23</v>
      </c>
      <c r="AM264" s="46">
        <v>15137600.15</v>
      </c>
      <c r="AN264" s="46">
        <f t="shared" si="42"/>
        <v>-1153768.08</v>
      </c>
      <c r="AO264" s="46"/>
      <c r="AP264" s="46">
        <v>1545115.67</v>
      </c>
      <c r="AQ264" s="46">
        <v>2014478.45</v>
      </c>
      <c r="AR264" s="46">
        <f t="shared" si="43"/>
        <v>469362.78</v>
      </c>
      <c r="AS264" s="46"/>
      <c r="AT264" s="47">
        <v>0</v>
      </c>
      <c r="AU264" s="47">
        <v>0</v>
      </c>
    </row>
    <row r="265" spans="1:47" x14ac:dyDescent="0.25">
      <c r="A265" s="35" t="s">
        <v>246</v>
      </c>
      <c r="B265" s="46">
        <v>4612916.07</v>
      </c>
      <c r="C265" s="46">
        <v>3310928.29</v>
      </c>
      <c r="D265" s="46">
        <f t="shared" ref="D265:D307" si="44">C265-B265</f>
        <v>-1301987.7800000003</v>
      </c>
      <c r="E265" s="46"/>
      <c r="F265" s="46">
        <v>2332048.67</v>
      </c>
      <c r="G265" s="46">
        <v>1790135.23</v>
      </c>
      <c r="H265" s="46">
        <f t="shared" ref="H265:H307" si="45">G265-F265</f>
        <v>-541913.43999999994</v>
      </c>
      <c r="I265" s="46"/>
      <c r="J265" s="46">
        <v>184218.53</v>
      </c>
      <c r="K265" s="46">
        <v>158934.73000000001</v>
      </c>
      <c r="L265" s="46">
        <f t="shared" ref="L265:L307" si="46">K265-J265</f>
        <v>-25283.799999999988</v>
      </c>
      <c r="M265" s="46"/>
      <c r="N265" s="46">
        <v>380109.37</v>
      </c>
      <c r="O265" s="46">
        <v>377416.98</v>
      </c>
      <c r="P265" s="46">
        <f t="shared" ref="P265:P307" si="47">O265-N265</f>
        <v>-2692.390000000014</v>
      </c>
      <c r="Q265" s="46"/>
      <c r="R265" s="46">
        <v>193476.12</v>
      </c>
      <c r="S265" s="46">
        <v>153495.45000000001</v>
      </c>
      <c r="T265" s="46">
        <f t="shared" ref="T265:T307" si="48">S265-R265</f>
        <v>-39980.669999999984</v>
      </c>
      <c r="U265" s="46"/>
      <c r="V265" s="46">
        <v>236534.6</v>
      </c>
      <c r="W265" s="46">
        <v>265998.76</v>
      </c>
      <c r="X265" s="46">
        <f t="shared" ref="X265:X307" si="49">W265-V265</f>
        <v>29464.160000000003</v>
      </c>
      <c r="Y265" s="46"/>
      <c r="Z265" s="46">
        <v>855950.6</v>
      </c>
      <c r="AA265" s="46">
        <v>507693.93</v>
      </c>
      <c r="AB265" s="46">
        <f t="shared" ref="AB265:AB307" si="50">AA265-Z265</f>
        <v>-348256.67</v>
      </c>
      <c r="AC265" s="46"/>
      <c r="AD265" s="46">
        <v>244696.85</v>
      </c>
      <c r="AE265" s="46">
        <v>200039.39</v>
      </c>
      <c r="AF265" s="46">
        <f t="shared" ref="AF265:AF307" si="51">AE265-AD265</f>
        <v>-44657.459999999992</v>
      </c>
      <c r="AG265" s="46"/>
      <c r="AH265" s="46">
        <v>237062.6</v>
      </c>
      <c r="AI265" s="46">
        <v>126555.99</v>
      </c>
      <c r="AJ265" s="46">
        <f t="shared" ref="AJ265:AJ307" si="52">AI265-AH265</f>
        <v>-110506.61</v>
      </c>
      <c r="AK265" s="46"/>
      <c r="AL265" s="46">
        <v>1675424.13</v>
      </c>
      <c r="AM265" s="46">
        <v>1287316.0900000001</v>
      </c>
      <c r="AN265" s="46">
        <f t="shared" ref="AN265:AN307" si="53">AM265-AL265</f>
        <v>-388108.0399999998</v>
      </c>
      <c r="AO265" s="46"/>
      <c r="AP265" s="46">
        <v>167511.64000000001</v>
      </c>
      <c r="AQ265" s="46">
        <v>154843.64000000001</v>
      </c>
      <c r="AR265" s="46">
        <f t="shared" ref="AR265:AR307" si="54">AQ265-AP265</f>
        <v>-12668</v>
      </c>
      <c r="AS265" s="46"/>
      <c r="AT265" s="46">
        <v>338166.63</v>
      </c>
      <c r="AU265" s="46">
        <v>48000</v>
      </c>
    </row>
    <row r="266" spans="1:47" x14ac:dyDescent="0.25">
      <c r="A266" s="35" t="s">
        <v>247</v>
      </c>
      <c r="B266" s="46">
        <v>41911740.780000001</v>
      </c>
      <c r="C266" s="46">
        <v>39439190</v>
      </c>
      <c r="D266" s="46">
        <f t="shared" si="44"/>
        <v>-2472550.7800000012</v>
      </c>
      <c r="E266" s="46"/>
      <c r="F266" s="46">
        <v>27727613.420000002</v>
      </c>
      <c r="G266" s="46">
        <v>25885346.719999999</v>
      </c>
      <c r="H266" s="46">
        <f t="shared" si="45"/>
        <v>-1842266.700000003</v>
      </c>
      <c r="I266" s="46"/>
      <c r="J266" s="46">
        <v>2921780.86</v>
      </c>
      <c r="K266" s="46">
        <v>2704978.24</v>
      </c>
      <c r="L266" s="46">
        <f t="shared" si="46"/>
        <v>-216802.61999999965</v>
      </c>
      <c r="M266" s="46"/>
      <c r="N266" s="46">
        <v>7420393.1399999997</v>
      </c>
      <c r="O266" s="46">
        <v>7167976.3300000001</v>
      </c>
      <c r="P266" s="46">
        <f t="shared" si="47"/>
        <v>-252416.80999999959</v>
      </c>
      <c r="Q266" s="46"/>
      <c r="R266" s="46">
        <v>1943227.89</v>
      </c>
      <c r="S266" s="46">
        <v>1523812.67</v>
      </c>
      <c r="T266" s="46">
        <f t="shared" si="48"/>
        <v>-419415.22</v>
      </c>
      <c r="U266" s="46"/>
      <c r="V266" s="46">
        <v>3502551.62</v>
      </c>
      <c r="W266" s="46">
        <v>3282736.29</v>
      </c>
      <c r="X266" s="46">
        <f t="shared" si="49"/>
        <v>-219815.33000000007</v>
      </c>
      <c r="Y266" s="46"/>
      <c r="Z266" s="46">
        <v>2518662.16</v>
      </c>
      <c r="AA266" s="46">
        <v>2344945.98</v>
      </c>
      <c r="AB266" s="46">
        <f t="shared" si="50"/>
        <v>-173716.18000000017</v>
      </c>
      <c r="AC266" s="46"/>
      <c r="AD266" s="46">
        <v>3042479.98</v>
      </c>
      <c r="AE266" s="46">
        <v>3310373.32</v>
      </c>
      <c r="AF266" s="46">
        <f t="shared" si="51"/>
        <v>267893.33999999985</v>
      </c>
      <c r="AG266" s="46"/>
      <c r="AH266" s="46">
        <v>6378517.7699999996</v>
      </c>
      <c r="AI266" s="46">
        <v>5550523.8899999997</v>
      </c>
      <c r="AJ266" s="46">
        <f t="shared" si="52"/>
        <v>-827993.87999999989</v>
      </c>
      <c r="AK266" s="46"/>
      <c r="AL266" s="46">
        <v>10588332.58</v>
      </c>
      <c r="AM266" s="46">
        <v>9999024.5800000001</v>
      </c>
      <c r="AN266" s="46">
        <f t="shared" si="53"/>
        <v>-589308</v>
      </c>
      <c r="AO266" s="46"/>
      <c r="AP266" s="46">
        <v>2228264.2200000002</v>
      </c>
      <c r="AQ266" s="46">
        <v>2538885.98</v>
      </c>
      <c r="AR266" s="46">
        <f t="shared" si="54"/>
        <v>310621.75999999978</v>
      </c>
      <c r="AS266" s="46"/>
      <c r="AT266" s="47">
        <v>0</v>
      </c>
      <c r="AU266" s="47">
        <v>0</v>
      </c>
    </row>
    <row r="267" spans="1:47" x14ac:dyDescent="0.25">
      <c r="A267" s="35" t="s">
        <v>248</v>
      </c>
      <c r="B267" s="46">
        <v>345136.28</v>
      </c>
      <c r="C267" s="46">
        <v>284165.59000000003</v>
      </c>
      <c r="D267" s="46">
        <f t="shared" si="44"/>
        <v>-60970.69</v>
      </c>
      <c r="E267" s="46"/>
      <c r="F267" s="46">
        <v>228829.52</v>
      </c>
      <c r="G267" s="46">
        <v>160327.31</v>
      </c>
      <c r="H267" s="46">
        <f t="shared" si="45"/>
        <v>-68502.209999999992</v>
      </c>
      <c r="I267" s="46"/>
      <c r="J267" s="46">
        <v>4704</v>
      </c>
      <c r="K267" s="46">
        <v>10227.83</v>
      </c>
      <c r="L267" s="46">
        <f t="shared" si="46"/>
        <v>5523.83</v>
      </c>
      <c r="M267" s="46"/>
      <c r="N267" s="46">
        <v>59983.06</v>
      </c>
      <c r="O267" s="46">
        <v>21620.06</v>
      </c>
      <c r="P267" s="46">
        <f t="shared" si="47"/>
        <v>-38363</v>
      </c>
      <c r="Q267" s="46"/>
      <c r="R267" s="46">
        <v>12954.84</v>
      </c>
      <c r="S267" s="46">
        <v>9953.68</v>
      </c>
      <c r="T267" s="46">
        <f t="shared" si="48"/>
        <v>-3001.16</v>
      </c>
      <c r="U267" s="46"/>
      <c r="V267" s="46">
        <v>71294.179999999993</v>
      </c>
      <c r="W267" s="46">
        <v>21482.400000000001</v>
      </c>
      <c r="X267" s="46">
        <f t="shared" si="49"/>
        <v>-49811.779999999992</v>
      </c>
      <c r="Y267" s="46"/>
      <c r="Z267" s="46">
        <v>61987.94</v>
      </c>
      <c r="AA267" s="46">
        <v>70103.740000000005</v>
      </c>
      <c r="AB267" s="46">
        <f t="shared" si="50"/>
        <v>8115.8000000000029</v>
      </c>
      <c r="AC267" s="46"/>
      <c r="AD267" s="46">
        <v>10013.89</v>
      </c>
      <c r="AE267" s="46">
        <v>7046.52</v>
      </c>
      <c r="AF267" s="46">
        <f t="shared" si="51"/>
        <v>-2967.369999999999</v>
      </c>
      <c r="AG267" s="46"/>
      <c r="AH267" s="46">
        <v>7891.61</v>
      </c>
      <c r="AI267" s="46">
        <v>19893.080000000002</v>
      </c>
      <c r="AJ267" s="46">
        <f t="shared" si="52"/>
        <v>12001.470000000001</v>
      </c>
      <c r="AK267" s="46"/>
      <c r="AL267" s="46">
        <v>26395.94</v>
      </c>
      <c r="AM267" s="46">
        <v>44884.19</v>
      </c>
      <c r="AN267" s="46">
        <f t="shared" si="53"/>
        <v>18488.250000000004</v>
      </c>
      <c r="AO267" s="46"/>
      <c r="AP267" s="46">
        <v>46841.08</v>
      </c>
      <c r="AQ267" s="46">
        <v>37874.480000000003</v>
      </c>
      <c r="AR267" s="46">
        <f t="shared" si="54"/>
        <v>-8966.5999999999985</v>
      </c>
      <c r="AS267" s="46"/>
      <c r="AT267" s="46">
        <v>40299.620000000003</v>
      </c>
      <c r="AU267" s="46">
        <v>40234.49</v>
      </c>
    </row>
    <row r="268" spans="1:47" ht="22.5" x14ac:dyDescent="0.25">
      <c r="A268" s="35" t="s">
        <v>249</v>
      </c>
      <c r="B268" s="46">
        <v>558991.92000000004</v>
      </c>
      <c r="C268" s="46">
        <v>477092.8</v>
      </c>
      <c r="D268" s="46">
        <f t="shared" si="44"/>
        <v>-81899.120000000054</v>
      </c>
      <c r="E268" s="46"/>
      <c r="F268" s="46">
        <v>273837.51</v>
      </c>
      <c r="G268" s="46">
        <v>297541.58</v>
      </c>
      <c r="H268" s="46">
        <f t="shared" si="45"/>
        <v>23704.070000000007</v>
      </c>
      <c r="I268" s="46"/>
      <c r="J268" s="46">
        <v>43372.99</v>
      </c>
      <c r="K268" s="46">
        <v>84390.88</v>
      </c>
      <c r="L268" s="46">
        <f t="shared" si="46"/>
        <v>41017.890000000007</v>
      </c>
      <c r="M268" s="46"/>
      <c r="N268" s="46">
        <v>27253.95</v>
      </c>
      <c r="O268" s="46">
        <v>14640</v>
      </c>
      <c r="P268" s="46">
        <f t="shared" si="47"/>
        <v>-12613.95</v>
      </c>
      <c r="Q268" s="46"/>
      <c r="R268" s="46">
        <v>13710.06</v>
      </c>
      <c r="S268" s="46">
        <v>19642.82</v>
      </c>
      <c r="T268" s="46">
        <f t="shared" si="48"/>
        <v>5932.76</v>
      </c>
      <c r="U268" s="46"/>
      <c r="V268" s="46">
        <v>1349.42</v>
      </c>
      <c r="W268" s="46">
        <v>3766.53</v>
      </c>
      <c r="X268" s="46">
        <f t="shared" si="49"/>
        <v>2417.11</v>
      </c>
      <c r="Y268" s="46"/>
      <c r="Z268" s="46">
        <v>156215.24</v>
      </c>
      <c r="AA268" s="46">
        <v>147035.82999999999</v>
      </c>
      <c r="AB268" s="46">
        <f t="shared" si="50"/>
        <v>-9179.4100000000035</v>
      </c>
      <c r="AC268" s="46"/>
      <c r="AD268" s="47">
        <v>0</v>
      </c>
      <c r="AE268" s="47">
        <v>0</v>
      </c>
      <c r="AF268" s="46">
        <f t="shared" si="51"/>
        <v>0</v>
      </c>
      <c r="AG268" s="46"/>
      <c r="AH268" s="46">
        <v>31935.85</v>
      </c>
      <c r="AI268" s="46">
        <v>28065.52</v>
      </c>
      <c r="AJ268" s="46">
        <f t="shared" si="52"/>
        <v>-3870.3299999999981</v>
      </c>
      <c r="AK268" s="46"/>
      <c r="AL268" s="47">
        <v>0</v>
      </c>
      <c r="AM268" s="47">
        <v>0</v>
      </c>
      <c r="AN268" s="46">
        <f t="shared" si="53"/>
        <v>0</v>
      </c>
      <c r="AO268" s="46"/>
      <c r="AP268" s="47">
        <v>0</v>
      </c>
      <c r="AQ268" s="47">
        <v>0</v>
      </c>
      <c r="AR268" s="46">
        <f t="shared" si="54"/>
        <v>0</v>
      </c>
      <c r="AS268" s="46"/>
      <c r="AT268" s="46">
        <v>285154.40999999997</v>
      </c>
      <c r="AU268" s="46">
        <v>179551.22</v>
      </c>
    </row>
    <row r="269" spans="1:47" x14ac:dyDescent="0.25">
      <c r="A269" s="35" t="s">
        <v>250</v>
      </c>
      <c r="B269" s="46">
        <v>15420624.939999999</v>
      </c>
      <c r="C269" s="46">
        <v>15337487.42</v>
      </c>
      <c r="D269" s="46">
        <f t="shared" si="44"/>
        <v>-83137.519999999553</v>
      </c>
      <c r="E269" s="46"/>
      <c r="F269" s="46">
        <v>295231.13</v>
      </c>
      <c r="G269" s="46">
        <v>238583.47</v>
      </c>
      <c r="H269" s="46">
        <f t="shared" si="45"/>
        <v>-56647.66</v>
      </c>
      <c r="I269" s="46"/>
      <c r="J269" s="47">
        <v>0</v>
      </c>
      <c r="K269" s="47">
        <v>0</v>
      </c>
      <c r="L269" s="46">
        <f t="shared" si="46"/>
        <v>0</v>
      </c>
      <c r="M269" s="46"/>
      <c r="N269" s="46">
        <v>149937.49</v>
      </c>
      <c r="O269" s="46">
        <v>103232.37</v>
      </c>
      <c r="P269" s="46">
        <f t="shared" si="47"/>
        <v>-46705.119999999995</v>
      </c>
      <c r="Q269" s="46"/>
      <c r="R269" s="46">
        <v>13381.8</v>
      </c>
      <c r="S269" s="46">
        <v>26022.74</v>
      </c>
      <c r="T269" s="46">
        <f t="shared" si="48"/>
        <v>12640.940000000002</v>
      </c>
      <c r="U269" s="46"/>
      <c r="V269" s="46">
        <v>122839.84</v>
      </c>
      <c r="W269" s="46">
        <v>88295.360000000001</v>
      </c>
      <c r="X269" s="46">
        <f t="shared" si="49"/>
        <v>-34544.479999999996</v>
      </c>
      <c r="Y269" s="46"/>
      <c r="Z269" s="47">
        <v>0</v>
      </c>
      <c r="AA269" s="46">
        <v>11595</v>
      </c>
      <c r="AB269" s="46">
        <f t="shared" si="50"/>
        <v>11595</v>
      </c>
      <c r="AC269" s="46"/>
      <c r="AD269" s="46">
        <v>9072</v>
      </c>
      <c r="AE269" s="46">
        <v>8568</v>
      </c>
      <c r="AF269" s="46">
        <f t="shared" si="51"/>
        <v>-504</v>
      </c>
      <c r="AG269" s="46"/>
      <c r="AH269" s="46">
        <v>0</v>
      </c>
      <c r="AI269" s="46">
        <v>870</v>
      </c>
      <c r="AJ269" s="46">
        <f t="shared" si="52"/>
        <v>870</v>
      </c>
      <c r="AK269" s="46"/>
      <c r="AL269" s="46">
        <v>12977472.74</v>
      </c>
      <c r="AM269" s="46">
        <v>12470629.82</v>
      </c>
      <c r="AN269" s="46">
        <f t="shared" si="53"/>
        <v>-506842.91999999993</v>
      </c>
      <c r="AO269" s="46"/>
      <c r="AP269" s="46">
        <v>1889921.07</v>
      </c>
      <c r="AQ269" s="46">
        <v>1698461.89</v>
      </c>
      <c r="AR269" s="46">
        <f t="shared" si="54"/>
        <v>-191459.18000000017</v>
      </c>
      <c r="AS269" s="46"/>
      <c r="AT269" s="47">
        <v>0</v>
      </c>
      <c r="AU269" s="46">
        <v>929812.24</v>
      </c>
    </row>
    <row r="270" spans="1:47" x14ac:dyDescent="0.25">
      <c r="A270" s="34" t="s">
        <v>251</v>
      </c>
      <c r="B270" s="44">
        <v>814544.33</v>
      </c>
      <c r="C270" s="44">
        <v>360161.05</v>
      </c>
      <c r="D270" s="44">
        <f t="shared" si="44"/>
        <v>-454383.27999999997</v>
      </c>
      <c r="E270" s="44"/>
      <c r="F270" s="44">
        <v>311400</v>
      </c>
      <c r="G270" s="44">
        <v>17871.849999999999</v>
      </c>
      <c r="H270" s="44">
        <f t="shared" si="45"/>
        <v>-293528.15000000002</v>
      </c>
      <c r="I270" s="44"/>
      <c r="J270" s="44">
        <v>100000</v>
      </c>
      <c r="K270" s="45">
        <v>0</v>
      </c>
      <c r="L270" s="44">
        <f t="shared" si="46"/>
        <v>-100000</v>
      </c>
      <c r="M270" s="44"/>
      <c r="N270" s="45">
        <v>0</v>
      </c>
      <c r="O270" s="44">
        <v>870</v>
      </c>
      <c r="P270" s="44">
        <f t="shared" si="47"/>
        <v>870</v>
      </c>
      <c r="Q270" s="44"/>
      <c r="R270" s="44">
        <v>11400</v>
      </c>
      <c r="S270" s="44">
        <v>11400</v>
      </c>
      <c r="T270" s="44">
        <f t="shared" si="48"/>
        <v>0</v>
      </c>
      <c r="U270" s="44"/>
      <c r="V270" s="44">
        <v>200000</v>
      </c>
      <c r="W270" s="45">
        <v>0</v>
      </c>
      <c r="X270" s="44">
        <f t="shared" si="49"/>
        <v>-200000</v>
      </c>
      <c r="Y270" s="44"/>
      <c r="Z270" s="45">
        <v>0</v>
      </c>
      <c r="AA270" s="44">
        <v>5601.85</v>
      </c>
      <c r="AB270" s="44">
        <f t="shared" si="50"/>
        <v>5601.85</v>
      </c>
      <c r="AC270" s="44"/>
      <c r="AD270" s="45">
        <v>0</v>
      </c>
      <c r="AE270" s="45">
        <v>0</v>
      </c>
      <c r="AF270" s="44">
        <f t="shared" si="51"/>
        <v>0</v>
      </c>
      <c r="AG270" s="44"/>
      <c r="AH270" s="45">
        <v>0</v>
      </c>
      <c r="AI270" s="45">
        <v>0</v>
      </c>
      <c r="AJ270" s="44">
        <f t="shared" si="52"/>
        <v>0</v>
      </c>
      <c r="AK270" s="44"/>
      <c r="AL270" s="45">
        <v>0</v>
      </c>
      <c r="AM270" s="45">
        <v>0</v>
      </c>
      <c r="AN270" s="44">
        <f t="shared" si="53"/>
        <v>0</v>
      </c>
      <c r="AO270" s="44"/>
      <c r="AP270" s="45">
        <v>0</v>
      </c>
      <c r="AQ270" s="45">
        <v>0</v>
      </c>
      <c r="AR270" s="44">
        <f t="shared" si="54"/>
        <v>0</v>
      </c>
      <c r="AS270" s="44"/>
      <c r="AT270" s="44">
        <v>153644.32999999999</v>
      </c>
      <c r="AU270" s="44">
        <v>342289.2</v>
      </c>
    </row>
    <row r="271" spans="1:47" ht="22.5" x14ac:dyDescent="0.25">
      <c r="A271" s="35" t="s">
        <v>252</v>
      </c>
      <c r="B271" s="46">
        <v>663544.32999999996</v>
      </c>
      <c r="C271" s="46">
        <v>360161.05</v>
      </c>
      <c r="D271" s="46">
        <f t="shared" si="44"/>
        <v>-303383.27999999997</v>
      </c>
      <c r="E271" s="46"/>
      <c r="F271" s="46">
        <v>211400</v>
      </c>
      <c r="G271" s="46">
        <v>17871.849999999999</v>
      </c>
      <c r="H271" s="46">
        <f t="shared" si="45"/>
        <v>-193528.15</v>
      </c>
      <c r="I271" s="46"/>
      <c r="J271" s="47">
        <v>0</v>
      </c>
      <c r="K271" s="47">
        <v>0</v>
      </c>
      <c r="L271" s="46">
        <f t="shared" si="46"/>
        <v>0</v>
      </c>
      <c r="M271" s="46"/>
      <c r="N271" s="47">
        <v>0</v>
      </c>
      <c r="O271" s="46">
        <v>870</v>
      </c>
      <c r="P271" s="46">
        <f t="shared" si="47"/>
        <v>870</v>
      </c>
      <c r="Q271" s="46"/>
      <c r="R271" s="46">
        <v>11400</v>
      </c>
      <c r="S271" s="46">
        <v>11400</v>
      </c>
      <c r="T271" s="46">
        <f t="shared" si="48"/>
        <v>0</v>
      </c>
      <c r="U271" s="46"/>
      <c r="V271" s="46">
        <v>200000</v>
      </c>
      <c r="W271" s="47">
        <v>0</v>
      </c>
      <c r="X271" s="46">
        <f t="shared" si="49"/>
        <v>-200000</v>
      </c>
      <c r="Y271" s="46"/>
      <c r="Z271" s="47">
        <v>0</v>
      </c>
      <c r="AA271" s="46">
        <v>5601.85</v>
      </c>
      <c r="AB271" s="46">
        <f t="shared" si="50"/>
        <v>5601.85</v>
      </c>
      <c r="AC271" s="46"/>
      <c r="AD271" s="47">
        <v>0</v>
      </c>
      <c r="AE271" s="47">
        <v>0</v>
      </c>
      <c r="AF271" s="46">
        <f t="shared" si="51"/>
        <v>0</v>
      </c>
      <c r="AG271" s="46"/>
      <c r="AH271" s="47">
        <v>0</v>
      </c>
      <c r="AI271" s="47">
        <v>0</v>
      </c>
      <c r="AJ271" s="46">
        <f t="shared" si="52"/>
        <v>0</v>
      </c>
      <c r="AK271" s="46"/>
      <c r="AL271" s="47">
        <v>0</v>
      </c>
      <c r="AM271" s="47">
        <v>0</v>
      </c>
      <c r="AN271" s="46">
        <f t="shared" si="53"/>
        <v>0</v>
      </c>
      <c r="AO271" s="46"/>
      <c r="AP271" s="47">
        <v>0</v>
      </c>
      <c r="AQ271" s="47">
        <v>0</v>
      </c>
      <c r="AR271" s="46">
        <f t="shared" si="54"/>
        <v>0</v>
      </c>
      <c r="AS271" s="46"/>
      <c r="AT271" s="46">
        <v>102644.33</v>
      </c>
      <c r="AU271" s="46">
        <v>342289.2</v>
      </c>
    </row>
    <row r="272" spans="1:47" x14ac:dyDescent="0.25">
      <c r="A272" s="35" t="s">
        <v>253</v>
      </c>
      <c r="B272" s="46">
        <v>151000</v>
      </c>
      <c r="C272" s="47">
        <v>0</v>
      </c>
      <c r="D272" s="47">
        <f t="shared" si="44"/>
        <v>-151000</v>
      </c>
      <c r="E272" s="47"/>
      <c r="F272" s="46">
        <v>100000</v>
      </c>
      <c r="G272" s="47">
        <v>0</v>
      </c>
      <c r="H272" s="47">
        <f t="shared" si="45"/>
        <v>-100000</v>
      </c>
      <c r="I272" s="47"/>
      <c r="J272" s="46">
        <v>100000</v>
      </c>
      <c r="K272" s="47">
        <v>0</v>
      </c>
      <c r="L272" s="47">
        <f t="shared" si="46"/>
        <v>-100000</v>
      </c>
      <c r="M272" s="47"/>
      <c r="N272" s="47">
        <v>0</v>
      </c>
      <c r="O272" s="47">
        <v>0</v>
      </c>
      <c r="P272" s="47">
        <f t="shared" si="47"/>
        <v>0</v>
      </c>
      <c r="Q272" s="47"/>
      <c r="R272" s="47">
        <v>0</v>
      </c>
      <c r="S272" s="47">
        <v>0</v>
      </c>
      <c r="T272" s="47">
        <f t="shared" si="48"/>
        <v>0</v>
      </c>
      <c r="U272" s="47"/>
      <c r="V272" s="47">
        <v>0</v>
      </c>
      <c r="W272" s="47">
        <v>0</v>
      </c>
      <c r="X272" s="47">
        <f t="shared" si="49"/>
        <v>0</v>
      </c>
      <c r="Y272" s="47"/>
      <c r="Z272" s="47">
        <v>0</v>
      </c>
      <c r="AA272" s="47">
        <v>0</v>
      </c>
      <c r="AB272" s="47">
        <f t="shared" si="50"/>
        <v>0</v>
      </c>
      <c r="AC272" s="47"/>
      <c r="AD272" s="47">
        <v>0</v>
      </c>
      <c r="AE272" s="47">
        <v>0</v>
      </c>
      <c r="AF272" s="47">
        <f t="shared" si="51"/>
        <v>0</v>
      </c>
      <c r="AG272" s="47"/>
      <c r="AH272" s="47">
        <v>0</v>
      </c>
      <c r="AI272" s="47">
        <v>0</v>
      </c>
      <c r="AJ272" s="47">
        <f t="shared" si="52"/>
        <v>0</v>
      </c>
      <c r="AK272" s="47"/>
      <c r="AL272" s="47">
        <v>0</v>
      </c>
      <c r="AM272" s="47">
        <v>0</v>
      </c>
      <c r="AN272" s="47">
        <f t="shared" si="53"/>
        <v>0</v>
      </c>
      <c r="AO272" s="47"/>
      <c r="AP272" s="47">
        <v>0</v>
      </c>
      <c r="AQ272" s="47">
        <v>0</v>
      </c>
      <c r="AR272" s="47">
        <f t="shared" si="54"/>
        <v>0</v>
      </c>
      <c r="AS272" s="47"/>
      <c r="AT272" s="46">
        <v>51000</v>
      </c>
      <c r="AU272" s="47">
        <v>0</v>
      </c>
    </row>
    <row r="273" spans="1:47" x14ac:dyDescent="0.25">
      <c r="A273" s="38" t="s">
        <v>172</v>
      </c>
      <c r="B273" s="46">
        <v>15712298.58</v>
      </c>
      <c r="C273" s="46">
        <v>10167014.810000001</v>
      </c>
      <c r="D273" s="46">
        <f t="shared" si="44"/>
        <v>-5545283.7699999996</v>
      </c>
      <c r="E273" s="46"/>
      <c r="F273" s="46">
        <v>7690019.4500000002</v>
      </c>
      <c r="G273" s="46">
        <v>6858552.5199999996</v>
      </c>
      <c r="H273" s="46">
        <f t="shared" si="45"/>
        <v>-831466.93000000063</v>
      </c>
      <c r="I273" s="46"/>
      <c r="J273" s="46">
        <v>776937.91</v>
      </c>
      <c r="K273" s="46">
        <v>428565.27</v>
      </c>
      <c r="L273" s="46">
        <f t="shared" si="46"/>
        <v>-348372.64</v>
      </c>
      <c r="M273" s="46"/>
      <c r="N273" s="46">
        <v>1927277.44</v>
      </c>
      <c r="O273" s="46">
        <v>1759593.37</v>
      </c>
      <c r="P273" s="46">
        <f t="shared" si="47"/>
        <v>-167684.06999999983</v>
      </c>
      <c r="Q273" s="46"/>
      <c r="R273" s="46">
        <v>1324921.47</v>
      </c>
      <c r="S273" s="46">
        <v>951127.16</v>
      </c>
      <c r="T273" s="46">
        <f t="shared" si="48"/>
        <v>-373794.30999999994</v>
      </c>
      <c r="U273" s="46"/>
      <c r="V273" s="46">
        <v>788793.36</v>
      </c>
      <c r="W273" s="46">
        <v>474820.98</v>
      </c>
      <c r="X273" s="46">
        <f t="shared" si="49"/>
        <v>-313972.38</v>
      </c>
      <c r="Y273" s="46"/>
      <c r="Z273" s="46">
        <v>664911.75</v>
      </c>
      <c r="AA273" s="46">
        <v>389958.58</v>
      </c>
      <c r="AB273" s="46">
        <f t="shared" si="50"/>
        <v>-274953.17</v>
      </c>
      <c r="AC273" s="46"/>
      <c r="AD273" s="46">
        <v>661847.52</v>
      </c>
      <c r="AE273" s="46">
        <v>860764.04</v>
      </c>
      <c r="AF273" s="46">
        <f t="shared" si="51"/>
        <v>198916.52000000002</v>
      </c>
      <c r="AG273" s="46"/>
      <c r="AH273" s="46">
        <v>1545330</v>
      </c>
      <c r="AI273" s="46">
        <v>1993723.12</v>
      </c>
      <c r="AJ273" s="46">
        <f t="shared" si="52"/>
        <v>448393.12000000011</v>
      </c>
      <c r="AK273" s="46"/>
      <c r="AL273" s="46">
        <v>122858</v>
      </c>
      <c r="AM273" s="46">
        <v>175657.36</v>
      </c>
      <c r="AN273" s="46">
        <f t="shared" si="53"/>
        <v>52799.359999999986</v>
      </c>
      <c r="AO273" s="46"/>
      <c r="AP273" s="46">
        <v>432722.48</v>
      </c>
      <c r="AQ273" s="46">
        <v>32722.48</v>
      </c>
      <c r="AR273" s="46">
        <f t="shared" si="54"/>
        <v>-400000</v>
      </c>
      <c r="AS273" s="46"/>
      <c r="AT273" s="46">
        <v>6866698.6500000004</v>
      </c>
      <c r="AU273" s="46">
        <v>3100082.45</v>
      </c>
    </row>
    <row r="274" spans="1:47" x14ac:dyDescent="0.25">
      <c r="A274" s="34" t="s">
        <v>173</v>
      </c>
      <c r="B274" s="44">
        <v>2065251696.4099998</v>
      </c>
      <c r="C274" s="44">
        <v>1764221675.2499998</v>
      </c>
      <c r="D274" s="44">
        <f t="shared" si="44"/>
        <v>-301030021.16000009</v>
      </c>
      <c r="E274" s="44"/>
      <c r="F274" s="44">
        <v>1143899717.8</v>
      </c>
      <c r="G274" s="44">
        <v>1003338670.5</v>
      </c>
      <c r="H274" s="44">
        <f t="shared" si="45"/>
        <v>-140561047.29999995</v>
      </c>
      <c r="I274" s="44"/>
      <c r="J274" s="44">
        <v>158190443.46000001</v>
      </c>
      <c r="K274" s="44">
        <v>146952826.75999999</v>
      </c>
      <c r="L274" s="44">
        <f t="shared" si="46"/>
        <v>-11237616.700000018</v>
      </c>
      <c r="M274" s="44"/>
      <c r="N274" s="44">
        <v>242083586.84999999</v>
      </c>
      <c r="O274" s="44">
        <v>197520730.81</v>
      </c>
      <c r="P274" s="44">
        <f t="shared" si="47"/>
        <v>-44562856.039999992</v>
      </c>
      <c r="Q274" s="44"/>
      <c r="R274" s="44">
        <v>138735871.47999999</v>
      </c>
      <c r="S274" s="44">
        <v>122887322.16</v>
      </c>
      <c r="T274" s="44">
        <f t="shared" si="48"/>
        <v>-15848549.319999993</v>
      </c>
      <c r="U274" s="44"/>
      <c r="V274" s="44">
        <v>147999278.65000001</v>
      </c>
      <c r="W274" s="44">
        <v>124756659.84999999</v>
      </c>
      <c r="X274" s="44">
        <f t="shared" si="49"/>
        <v>-23242618.800000012</v>
      </c>
      <c r="Y274" s="44"/>
      <c r="Z274" s="44">
        <v>158520182.75999999</v>
      </c>
      <c r="AA274" s="44">
        <v>142659302.97999999</v>
      </c>
      <c r="AB274" s="44">
        <f t="shared" si="50"/>
        <v>-15860879.780000001</v>
      </c>
      <c r="AC274" s="44"/>
      <c r="AD274" s="44">
        <v>147041873.68000001</v>
      </c>
      <c r="AE274" s="44">
        <v>133227065.54000001</v>
      </c>
      <c r="AF274" s="44">
        <f t="shared" si="51"/>
        <v>-13814808.140000001</v>
      </c>
      <c r="AG274" s="44"/>
      <c r="AH274" s="44">
        <v>151328480.91999999</v>
      </c>
      <c r="AI274" s="44">
        <v>135334762.40000001</v>
      </c>
      <c r="AJ274" s="44">
        <f t="shared" si="52"/>
        <v>-15993718.519999981</v>
      </c>
      <c r="AK274" s="44"/>
      <c r="AL274" s="44">
        <v>391033251.32999998</v>
      </c>
      <c r="AM274" s="44">
        <v>267765150.31</v>
      </c>
      <c r="AN274" s="44">
        <f t="shared" si="53"/>
        <v>-123268101.01999998</v>
      </c>
      <c r="AO274" s="44"/>
      <c r="AP274" s="44">
        <v>133148601.2</v>
      </c>
      <c r="AQ274" s="44">
        <v>95423648.230000004</v>
      </c>
      <c r="AR274" s="44">
        <f t="shared" si="54"/>
        <v>-37724952.969999999</v>
      </c>
      <c r="AS274" s="44"/>
      <c r="AT274" s="44">
        <v>345018228.98000002</v>
      </c>
      <c r="AU274" s="44">
        <v>369636493.24000001</v>
      </c>
    </row>
    <row r="275" spans="1:47" x14ac:dyDescent="0.25">
      <c r="A275" s="35" t="s">
        <v>174</v>
      </c>
      <c r="B275" s="46">
        <v>1452629254.26</v>
      </c>
      <c r="C275" s="46">
        <v>1246585300.1100001</v>
      </c>
      <c r="D275" s="46">
        <f t="shared" si="44"/>
        <v>-206043954.14999986</v>
      </c>
      <c r="E275" s="46"/>
      <c r="F275" s="46">
        <v>794128010.44000006</v>
      </c>
      <c r="G275" s="46">
        <v>700333275.00999999</v>
      </c>
      <c r="H275" s="46">
        <f t="shared" si="45"/>
        <v>-93794735.430000067</v>
      </c>
      <c r="I275" s="46"/>
      <c r="J275" s="46">
        <v>111037874.94</v>
      </c>
      <c r="K275" s="46">
        <v>103663731.84</v>
      </c>
      <c r="L275" s="46">
        <f t="shared" si="46"/>
        <v>-7374143.099999994</v>
      </c>
      <c r="M275" s="46"/>
      <c r="N275" s="46">
        <v>168365732.94999999</v>
      </c>
      <c r="O275" s="46">
        <v>138824162.38</v>
      </c>
      <c r="P275" s="46">
        <f t="shared" si="47"/>
        <v>-29541570.569999993</v>
      </c>
      <c r="Q275" s="46"/>
      <c r="R275" s="46">
        <v>97068275.219999999</v>
      </c>
      <c r="S275" s="46">
        <v>85780496.900000006</v>
      </c>
      <c r="T275" s="46">
        <f t="shared" si="48"/>
        <v>-11287778.319999993</v>
      </c>
      <c r="U275" s="46"/>
      <c r="V275" s="46">
        <v>103382005.08</v>
      </c>
      <c r="W275" s="46">
        <v>87743862.219999999</v>
      </c>
      <c r="X275" s="46">
        <f t="shared" si="49"/>
        <v>-15638142.859999999</v>
      </c>
      <c r="Y275" s="46"/>
      <c r="Z275" s="46">
        <v>110367286.51000001</v>
      </c>
      <c r="AA275" s="46">
        <v>100184793.92</v>
      </c>
      <c r="AB275" s="46">
        <f t="shared" si="50"/>
        <v>-10182492.590000004</v>
      </c>
      <c r="AC275" s="46"/>
      <c r="AD275" s="46">
        <v>102447909.16</v>
      </c>
      <c r="AE275" s="46">
        <v>92487937.209999993</v>
      </c>
      <c r="AF275" s="46">
        <f t="shared" si="51"/>
        <v>-9959971.950000003</v>
      </c>
      <c r="AG275" s="46"/>
      <c r="AH275" s="46">
        <v>101458926.58</v>
      </c>
      <c r="AI275" s="46">
        <v>91648290.540000007</v>
      </c>
      <c r="AJ275" s="46">
        <f t="shared" si="52"/>
        <v>-9810636.0399999917</v>
      </c>
      <c r="AK275" s="46"/>
      <c r="AL275" s="46">
        <v>277409954.47000003</v>
      </c>
      <c r="AM275" s="46">
        <v>193523261.08000001</v>
      </c>
      <c r="AN275" s="46">
        <f t="shared" si="53"/>
        <v>-83886693.390000015</v>
      </c>
      <c r="AO275" s="46"/>
      <c r="AP275" s="46">
        <v>93452594.370000005</v>
      </c>
      <c r="AQ275" s="46">
        <v>68418682.180000007</v>
      </c>
      <c r="AR275" s="46">
        <f t="shared" si="54"/>
        <v>-25033912.189999998</v>
      </c>
      <c r="AS275" s="46"/>
      <c r="AT275" s="46">
        <v>251435138.09</v>
      </c>
      <c r="AU275" s="46">
        <v>264329552.65000001</v>
      </c>
    </row>
    <row r="276" spans="1:47" x14ac:dyDescent="0.25">
      <c r="A276" s="35" t="s">
        <v>175</v>
      </c>
      <c r="B276" s="46">
        <v>464381787.49000001</v>
      </c>
      <c r="C276" s="46">
        <v>389464980.55000001</v>
      </c>
      <c r="D276" s="46">
        <f t="shared" si="44"/>
        <v>-74916806.939999998</v>
      </c>
      <c r="E276" s="46"/>
      <c r="F276" s="46">
        <v>259975663.28999999</v>
      </c>
      <c r="G276" s="46">
        <v>224573411.16</v>
      </c>
      <c r="H276" s="46">
        <f t="shared" si="45"/>
        <v>-35402252.129999995</v>
      </c>
      <c r="I276" s="46"/>
      <c r="J276" s="46">
        <v>35709088.119999997</v>
      </c>
      <c r="K276" s="46">
        <v>32772714.859999999</v>
      </c>
      <c r="L276" s="46">
        <f t="shared" si="46"/>
        <v>-2936373.2599999979</v>
      </c>
      <c r="M276" s="46"/>
      <c r="N276" s="46">
        <v>55718710.380000003</v>
      </c>
      <c r="O276" s="46">
        <v>44308882</v>
      </c>
      <c r="P276" s="46">
        <f t="shared" si="47"/>
        <v>-11409828.380000003</v>
      </c>
      <c r="Q276" s="46"/>
      <c r="R276" s="46">
        <v>31521456.940000001</v>
      </c>
      <c r="S276" s="46">
        <v>27997254.699999999</v>
      </c>
      <c r="T276" s="46">
        <f t="shared" si="48"/>
        <v>-3524202.2400000021</v>
      </c>
      <c r="U276" s="46"/>
      <c r="V276" s="46">
        <v>33910349.539999999</v>
      </c>
      <c r="W276" s="46">
        <v>28243566.010000002</v>
      </c>
      <c r="X276" s="46">
        <f t="shared" si="49"/>
        <v>-5666783.5299999975</v>
      </c>
      <c r="Y276" s="46"/>
      <c r="Z276" s="46">
        <v>36248791.32</v>
      </c>
      <c r="AA276" s="46">
        <v>31645865.559999999</v>
      </c>
      <c r="AB276" s="46">
        <f t="shared" si="50"/>
        <v>-4602925.7600000016</v>
      </c>
      <c r="AC276" s="46"/>
      <c r="AD276" s="46">
        <v>32463467.670000002</v>
      </c>
      <c r="AE276" s="46">
        <v>29762356.77</v>
      </c>
      <c r="AF276" s="46">
        <f t="shared" si="51"/>
        <v>-2701110.9000000022</v>
      </c>
      <c r="AG276" s="46"/>
      <c r="AH276" s="46">
        <v>34403799.32</v>
      </c>
      <c r="AI276" s="46">
        <v>29842771.260000002</v>
      </c>
      <c r="AJ276" s="46">
        <f t="shared" si="52"/>
        <v>-4561028.0599999987</v>
      </c>
      <c r="AK276" s="46"/>
      <c r="AL276" s="46">
        <v>88511824.430000007</v>
      </c>
      <c r="AM276" s="46">
        <v>60295253.259999998</v>
      </c>
      <c r="AN276" s="46">
        <f t="shared" si="53"/>
        <v>-28216571.170000009</v>
      </c>
      <c r="AO276" s="46"/>
      <c r="AP276" s="46">
        <v>30837422.350000001</v>
      </c>
      <c r="AQ276" s="46">
        <v>21373580.170000002</v>
      </c>
      <c r="AR276" s="46">
        <f t="shared" si="54"/>
        <v>-9463842.1799999997</v>
      </c>
      <c r="AS276" s="46"/>
      <c r="AT276" s="46">
        <v>72985869.680000007</v>
      </c>
      <c r="AU276" s="46">
        <v>76997418.230000004</v>
      </c>
    </row>
    <row r="277" spans="1:47" x14ac:dyDescent="0.25">
      <c r="A277" s="35" t="s">
        <v>176</v>
      </c>
      <c r="B277" s="46">
        <v>146908846.66</v>
      </c>
      <c r="C277" s="46">
        <v>127760434.59999999</v>
      </c>
      <c r="D277" s="46">
        <f t="shared" si="44"/>
        <v>-19148412.060000002</v>
      </c>
      <c r="E277" s="46"/>
      <c r="F277" s="46">
        <v>88464236.069999993</v>
      </c>
      <c r="G277" s="46">
        <v>78021024.340000004</v>
      </c>
      <c r="H277" s="46">
        <f t="shared" si="45"/>
        <v>-10443211.729999989</v>
      </c>
      <c r="I277" s="46"/>
      <c r="J277" s="46">
        <v>11443480.4</v>
      </c>
      <c r="K277" s="46">
        <v>10516380.060000001</v>
      </c>
      <c r="L277" s="46">
        <f t="shared" si="46"/>
        <v>-927100.33999999985</v>
      </c>
      <c r="M277" s="46"/>
      <c r="N277" s="46">
        <v>17619197.52</v>
      </c>
      <c r="O277" s="46">
        <v>14288358.029999999</v>
      </c>
      <c r="P277" s="46">
        <f t="shared" si="47"/>
        <v>-3330839.49</v>
      </c>
      <c r="Q277" s="46"/>
      <c r="R277" s="46">
        <v>10146139.32</v>
      </c>
      <c r="S277" s="46">
        <v>9109570.5600000005</v>
      </c>
      <c r="T277" s="46">
        <f t="shared" si="48"/>
        <v>-1036568.7599999998</v>
      </c>
      <c r="U277" s="46"/>
      <c r="V277" s="46">
        <v>10706924.029999999</v>
      </c>
      <c r="W277" s="46">
        <v>8769231.6199999992</v>
      </c>
      <c r="X277" s="46">
        <f t="shared" si="49"/>
        <v>-1937692.4100000001</v>
      </c>
      <c r="Y277" s="46"/>
      <c r="Z277" s="46">
        <v>11904104.93</v>
      </c>
      <c r="AA277" s="46">
        <v>10828583.609999999</v>
      </c>
      <c r="AB277" s="46">
        <f t="shared" si="50"/>
        <v>-1075521.3200000003</v>
      </c>
      <c r="AC277" s="46"/>
      <c r="AD277" s="46">
        <v>12130496.85</v>
      </c>
      <c r="AE277" s="46">
        <v>10976771.560000001</v>
      </c>
      <c r="AF277" s="46">
        <f t="shared" si="51"/>
        <v>-1153725.2899999991</v>
      </c>
      <c r="AG277" s="46"/>
      <c r="AH277" s="46">
        <v>14513893.02</v>
      </c>
      <c r="AI277" s="46">
        <v>13532128.9</v>
      </c>
      <c r="AJ277" s="46">
        <f t="shared" si="52"/>
        <v>-981764.11999999918</v>
      </c>
      <c r="AK277" s="46"/>
      <c r="AL277" s="46">
        <v>25111472.43</v>
      </c>
      <c r="AM277" s="46">
        <v>13946635.970000001</v>
      </c>
      <c r="AN277" s="46">
        <f t="shared" si="53"/>
        <v>-11164836.459999999</v>
      </c>
      <c r="AO277" s="46"/>
      <c r="AP277" s="46">
        <v>8858584.4800000004</v>
      </c>
      <c r="AQ277" s="46">
        <v>5631385.8799999999</v>
      </c>
      <c r="AR277" s="46">
        <f t="shared" si="54"/>
        <v>-3227198.6000000006</v>
      </c>
      <c r="AS277" s="46"/>
      <c r="AT277" s="46">
        <v>20597221.210000001</v>
      </c>
      <c r="AU277" s="46">
        <v>28309522.359999999</v>
      </c>
    </row>
    <row r="278" spans="1:47" x14ac:dyDescent="0.25">
      <c r="A278" s="35" t="s">
        <v>177</v>
      </c>
      <c r="B278" s="46">
        <v>1331808</v>
      </c>
      <c r="C278" s="46">
        <v>410959.99</v>
      </c>
      <c r="D278" s="46">
        <f t="shared" si="44"/>
        <v>-920848.01</v>
      </c>
      <c r="E278" s="46"/>
      <c r="F278" s="46">
        <v>1331808</v>
      </c>
      <c r="G278" s="46">
        <v>410959.99</v>
      </c>
      <c r="H278" s="46">
        <f t="shared" si="45"/>
        <v>-920848.01</v>
      </c>
      <c r="I278" s="46"/>
      <c r="J278" s="47">
        <v>0</v>
      </c>
      <c r="K278" s="47">
        <v>0</v>
      </c>
      <c r="L278" s="46">
        <f t="shared" si="46"/>
        <v>0</v>
      </c>
      <c r="M278" s="46"/>
      <c r="N278" s="46">
        <v>379946</v>
      </c>
      <c r="O278" s="46">
        <v>99328.4</v>
      </c>
      <c r="P278" s="46">
        <f t="shared" si="47"/>
        <v>-280617.59999999998</v>
      </c>
      <c r="Q278" s="46"/>
      <c r="R278" s="47">
        <v>0</v>
      </c>
      <c r="S278" s="47">
        <v>0</v>
      </c>
      <c r="T278" s="46">
        <f t="shared" si="48"/>
        <v>0</v>
      </c>
      <c r="U278" s="46"/>
      <c r="V278" s="47">
        <v>0</v>
      </c>
      <c r="W278" s="47">
        <v>0</v>
      </c>
      <c r="X278" s="46">
        <f t="shared" si="49"/>
        <v>0</v>
      </c>
      <c r="Y278" s="46"/>
      <c r="Z278" s="47">
        <v>0</v>
      </c>
      <c r="AA278" s="46">
        <v>59.89</v>
      </c>
      <c r="AB278" s="46">
        <f t="shared" si="50"/>
        <v>59.89</v>
      </c>
      <c r="AC278" s="46"/>
      <c r="AD278" s="47">
        <v>0</v>
      </c>
      <c r="AE278" s="47">
        <v>0</v>
      </c>
      <c r="AF278" s="46">
        <f t="shared" si="51"/>
        <v>0</v>
      </c>
      <c r="AG278" s="46"/>
      <c r="AH278" s="46">
        <v>951862</v>
      </c>
      <c r="AI278" s="46">
        <v>311571.7</v>
      </c>
      <c r="AJ278" s="46">
        <f t="shared" si="52"/>
        <v>-640290.30000000005</v>
      </c>
      <c r="AK278" s="46"/>
      <c r="AL278" s="47">
        <v>0</v>
      </c>
      <c r="AM278" s="47">
        <v>0</v>
      </c>
      <c r="AN278" s="46">
        <f t="shared" si="53"/>
        <v>0</v>
      </c>
      <c r="AO278" s="46"/>
      <c r="AP278" s="47">
        <v>0</v>
      </c>
      <c r="AQ278" s="47">
        <v>0</v>
      </c>
      <c r="AR278" s="46">
        <f t="shared" si="54"/>
        <v>0</v>
      </c>
      <c r="AS278" s="46"/>
      <c r="AT278" s="47">
        <v>0</v>
      </c>
      <c r="AU278" s="47">
        <v>0</v>
      </c>
    </row>
    <row r="279" spans="1:47" x14ac:dyDescent="0.25">
      <c r="A279" s="34" t="s">
        <v>178</v>
      </c>
      <c r="B279" s="44">
        <v>8932007.8399999999</v>
      </c>
      <c r="C279" s="44">
        <v>6316027.04</v>
      </c>
      <c r="D279" s="44">
        <f t="shared" si="44"/>
        <v>-2615980.7999999998</v>
      </c>
      <c r="E279" s="44"/>
      <c r="F279" s="44">
        <v>5403100.5599999996</v>
      </c>
      <c r="G279" s="44">
        <v>4752140.88</v>
      </c>
      <c r="H279" s="44">
        <f t="shared" si="45"/>
        <v>-650959.6799999997</v>
      </c>
      <c r="I279" s="44"/>
      <c r="J279" s="44">
        <v>616385.66</v>
      </c>
      <c r="K279" s="44">
        <v>649143.78</v>
      </c>
      <c r="L279" s="44">
        <f t="shared" si="46"/>
        <v>32758.119999999995</v>
      </c>
      <c r="M279" s="44"/>
      <c r="N279" s="44">
        <v>765690.73</v>
      </c>
      <c r="O279" s="44">
        <v>1019787.32</v>
      </c>
      <c r="P279" s="44">
        <f t="shared" si="47"/>
        <v>254096.58999999997</v>
      </c>
      <c r="Q279" s="44"/>
      <c r="R279" s="44">
        <v>716072.46</v>
      </c>
      <c r="S279" s="44">
        <v>403859.88</v>
      </c>
      <c r="T279" s="44">
        <f t="shared" si="48"/>
        <v>-312212.57999999996</v>
      </c>
      <c r="U279" s="44"/>
      <c r="V279" s="44">
        <v>449211</v>
      </c>
      <c r="W279" s="44">
        <v>359089.37</v>
      </c>
      <c r="X279" s="44">
        <f t="shared" si="49"/>
        <v>-90121.63</v>
      </c>
      <c r="Y279" s="44"/>
      <c r="Z279" s="44">
        <v>1112739.5</v>
      </c>
      <c r="AA279" s="44">
        <v>937969.36</v>
      </c>
      <c r="AB279" s="44">
        <f t="shared" si="50"/>
        <v>-174770.14</v>
      </c>
      <c r="AC279" s="44"/>
      <c r="AD279" s="44">
        <v>768447.73</v>
      </c>
      <c r="AE279" s="44">
        <v>739043.24</v>
      </c>
      <c r="AF279" s="44">
        <f t="shared" si="51"/>
        <v>-29404.489999999991</v>
      </c>
      <c r="AG279" s="44"/>
      <c r="AH279" s="44">
        <v>974553.48</v>
      </c>
      <c r="AI279" s="44">
        <v>643247.93000000005</v>
      </c>
      <c r="AJ279" s="44">
        <f t="shared" si="52"/>
        <v>-331305.54999999993</v>
      </c>
      <c r="AK279" s="44"/>
      <c r="AL279" s="44">
        <v>1539315.36</v>
      </c>
      <c r="AM279" s="44">
        <v>276226.86</v>
      </c>
      <c r="AN279" s="44">
        <f t="shared" si="53"/>
        <v>-1263088.5</v>
      </c>
      <c r="AO279" s="44"/>
      <c r="AP279" s="44">
        <v>107120</v>
      </c>
      <c r="AQ279" s="45">
        <v>0</v>
      </c>
      <c r="AR279" s="44">
        <f t="shared" si="54"/>
        <v>-107120</v>
      </c>
      <c r="AS279" s="44"/>
      <c r="AT279" s="44">
        <v>1872671.92</v>
      </c>
      <c r="AU279" s="44">
        <v>1287659.3</v>
      </c>
    </row>
    <row r="280" spans="1:47" x14ac:dyDescent="0.25">
      <c r="A280" s="35" t="s">
        <v>179</v>
      </c>
      <c r="B280" s="46">
        <v>4416262.7699999996</v>
      </c>
      <c r="C280" s="46">
        <v>2254184.3199999998</v>
      </c>
      <c r="D280" s="46">
        <f t="shared" si="44"/>
        <v>-2162078.4499999997</v>
      </c>
      <c r="E280" s="46"/>
      <c r="F280" s="46">
        <v>3477827.77</v>
      </c>
      <c r="G280" s="46">
        <v>1870684.32</v>
      </c>
      <c r="H280" s="46">
        <f t="shared" si="45"/>
        <v>-1607143.45</v>
      </c>
      <c r="I280" s="46"/>
      <c r="J280" s="46">
        <v>418200</v>
      </c>
      <c r="K280" s="46">
        <v>164200</v>
      </c>
      <c r="L280" s="46">
        <f t="shared" si="46"/>
        <v>-254000</v>
      </c>
      <c r="M280" s="46"/>
      <c r="N280" s="46">
        <v>627293.32999999996</v>
      </c>
      <c r="O280" s="46">
        <v>371828.13</v>
      </c>
      <c r="P280" s="46">
        <f t="shared" si="47"/>
        <v>-255465.19999999995</v>
      </c>
      <c r="Q280" s="46"/>
      <c r="R280" s="46">
        <v>509740</v>
      </c>
      <c r="S280" s="46">
        <v>202940.48</v>
      </c>
      <c r="T280" s="46">
        <f t="shared" si="48"/>
        <v>-306799.52</v>
      </c>
      <c r="U280" s="46"/>
      <c r="V280" s="46">
        <v>268578</v>
      </c>
      <c r="W280" s="46">
        <v>154500</v>
      </c>
      <c r="X280" s="46">
        <f t="shared" si="49"/>
        <v>-114078</v>
      </c>
      <c r="Y280" s="46"/>
      <c r="Z280" s="46">
        <v>722302.35</v>
      </c>
      <c r="AA280" s="46">
        <v>334181.67</v>
      </c>
      <c r="AB280" s="46">
        <f t="shared" si="50"/>
        <v>-388120.68</v>
      </c>
      <c r="AC280" s="46"/>
      <c r="AD280" s="46">
        <v>359800.05</v>
      </c>
      <c r="AE280" s="46">
        <v>193300</v>
      </c>
      <c r="AF280" s="46">
        <f t="shared" si="51"/>
        <v>-166500.04999999999</v>
      </c>
      <c r="AG280" s="46"/>
      <c r="AH280" s="46">
        <v>571914.04</v>
      </c>
      <c r="AI280" s="46">
        <v>449734.04</v>
      </c>
      <c r="AJ280" s="46">
        <f t="shared" si="52"/>
        <v>-122180.00000000006</v>
      </c>
      <c r="AK280" s="46"/>
      <c r="AL280" s="46">
        <v>141015</v>
      </c>
      <c r="AM280" s="46">
        <v>19500</v>
      </c>
      <c r="AN280" s="46">
        <f t="shared" si="53"/>
        <v>-121515</v>
      </c>
      <c r="AO280" s="46"/>
      <c r="AP280" s="46">
        <v>107120</v>
      </c>
      <c r="AQ280" s="47">
        <v>0</v>
      </c>
      <c r="AR280" s="46">
        <f t="shared" si="54"/>
        <v>-107120</v>
      </c>
      <c r="AS280" s="46"/>
      <c r="AT280" s="46">
        <v>690300</v>
      </c>
      <c r="AU280" s="46">
        <v>364000</v>
      </c>
    </row>
    <row r="281" spans="1:47" x14ac:dyDescent="0.25">
      <c r="A281" s="35" t="s">
        <v>180</v>
      </c>
      <c r="B281" s="46">
        <v>699935.92</v>
      </c>
      <c r="C281" s="46">
        <v>649042.35</v>
      </c>
      <c r="D281" s="46">
        <f t="shared" si="44"/>
        <v>-50893.570000000065</v>
      </c>
      <c r="E281" s="46"/>
      <c r="F281" s="46">
        <v>47114</v>
      </c>
      <c r="G281" s="46">
        <v>56765.64</v>
      </c>
      <c r="H281" s="46">
        <f t="shared" si="45"/>
        <v>9651.64</v>
      </c>
      <c r="I281" s="46"/>
      <c r="J281" s="46">
        <v>33348.78</v>
      </c>
      <c r="K281" s="46">
        <v>32033.97</v>
      </c>
      <c r="L281" s="46">
        <f t="shared" si="46"/>
        <v>-1314.8099999999977</v>
      </c>
      <c r="M281" s="46"/>
      <c r="N281" s="47">
        <v>0</v>
      </c>
      <c r="O281" s="47">
        <v>0</v>
      </c>
      <c r="P281" s="46">
        <f t="shared" si="47"/>
        <v>0</v>
      </c>
      <c r="Q281" s="46"/>
      <c r="R281" s="47">
        <v>0</v>
      </c>
      <c r="S281" s="46">
        <v>2325</v>
      </c>
      <c r="T281" s="46">
        <f t="shared" si="48"/>
        <v>2325</v>
      </c>
      <c r="U281" s="46"/>
      <c r="V281" s="46">
        <v>2325</v>
      </c>
      <c r="W281" s="47">
        <v>0</v>
      </c>
      <c r="X281" s="46">
        <f t="shared" si="49"/>
        <v>-2325</v>
      </c>
      <c r="Y281" s="46"/>
      <c r="Z281" s="46">
        <v>223.55</v>
      </c>
      <c r="AA281" s="46">
        <v>21990</v>
      </c>
      <c r="AB281" s="46">
        <f t="shared" si="50"/>
        <v>21766.45</v>
      </c>
      <c r="AC281" s="46"/>
      <c r="AD281" s="47">
        <v>0</v>
      </c>
      <c r="AE281" s="47">
        <v>0</v>
      </c>
      <c r="AF281" s="46">
        <f t="shared" si="51"/>
        <v>0</v>
      </c>
      <c r="AG281" s="46"/>
      <c r="AH281" s="46">
        <v>11216.67</v>
      </c>
      <c r="AI281" s="46">
        <v>416.67</v>
      </c>
      <c r="AJ281" s="46">
        <f t="shared" si="52"/>
        <v>-10800</v>
      </c>
      <c r="AK281" s="46"/>
      <c r="AL281" s="47">
        <v>0</v>
      </c>
      <c r="AM281" s="47">
        <v>0</v>
      </c>
      <c r="AN281" s="46">
        <f t="shared" si="53"/>
        <v>0</v>
      </c>
      <c r="AO281" s="46"/>
      <c r="AP281" s="47">
        <v>0</v>
      </c>
      <c r="AQ281" s="47">
        <v>0</v>
      </c>
      <c r="AR281" s="46">
        <f t="shared" si="54"/>
        <v>0</v>
      </c>
      <c r="AS281" s="46"/>
      <c r="AT281" s="46">
        <v>652821.92000000004</v>
      </c>
      <c r="AU281" s="46">
        <v>592276.71</v>
      </c>
    </row>
    <row r="282" spans="1:47" ht="22.5" x14ac:dyDescent="0.25">
      <c r="A282" s="35" t="s">
        <v>181</v>
      </c>
      <c r="B282" s="46">
        <v>3815809.15</v>
      </c>
      <c r="C282" s="46">
        <v>3412800.37</v>
      </c>
      <c r="D282" s="46">
        <f t="shared" si="44"/>
        <v>-403008.7799999998</v>
      </c>
      <c r="E282" s="46"/>
      <c r="F282" s="46">
        <v>1878158.79</v>
      </c>
      <c r="G282" s="46">
        <v>2824690.92</v>
      </c>
      <c r="H282" s="46">
        <f t="shared" si="45"/>
        <v>946532.12999999989</v>
      </c>
      <c r="I282" s="46"/>
      <c r="J282" s="46">
        <v>164836.88</v>
      </c>
      <c r="K282" s="46">
        <v>452909.81</v>
      </c>
      <c r="L282" s="46">
        <f t="shared" si="46"/>
        <v>288072.93</v>
      </c>
      <c r="M282" s="46"/>
      <c r="N282" s="46">
        <v>138397.4</v>
      </c>
      <c r="O282" s="46">
        <v>647959.18999999994</v>
      </c>
      <c r="P282" s="46">
        <f t="shared" si="47"/>
        <v>509561.78999999992</v>
      </c>
      <c r="Q282" s="46"/>
      <c r="R282" s="46">
        <v>206332.46</v>
      </c>
      <c r="S282" s="46">
        <v>198594.4</v>
      </c>
      <c r="T282" s="46">
        <f t="shared" si="48"/>
        <v>-7738.0599999999977</v>
      </c>
      <c r="U282" s="46"/>
      <c r="V282" s="46">
        <v>178308</v>
      </c>
      <c r="W282" s="46">
        <v>204589.37</v>
      </c>
      <c r="X282" s="46">
        <f t="shared" si="49"/>
        <v>26281.369999999995</v>
      </c>
      <c r="Y282" s="46"/>
      <c r="Z282" s="46">
        <v>390213.6</v>
      </c>
      <c r="AA282" s="46">
        <v>581797.68999999994</v>
      </c>
      <c r="AB282" s="46">
        <f t="shared" si="50"/>
        <v>191584.08999999997</v>
      </c>
      <c r="AC282" s="46"/>
      <c r="AD282" s="46">
        <v>408647.67999999999</v>
      </c>
      <c r="AE282" s="46">
        <v>545743.24</v>
      </c>
      <c r="AF282" s="46">
        <f t="shared" si="51"/>
        <v>137095.56</v>
      </c>
      <c r="AG282" s="46"/>
      <c r="AH282" s="46">
        <v>391422.77</v>
      </c>
      <c r="AI282" s="46">
        <v>193097.22</v>
      </c>
      <c r="AJ282" s="46">
        <f t="shared" si="52"/>
        <v>-198325.55000000002</v>
      </c>
      <c r="AK282" s="46"/>
      <c r="AL282" s="46">
        <v>1398300.36</v>
      </c>
      <c r="AM282" s="46">
        <v>256726.86</v>
      </c>
      <c r="AN282" s="46">
        <f t="shared" si="53"/>
        <v>-1141573.5</v>
      </c>
      <c r="AO282" s="46"/>
      <c r="AP282" s="47">
        <v>0</v>
      </c>
      <c r="AQ282" s="47">
        <v>0</v>
      </c>
      <c r="AR282" s="46">
        <f t="shared" si="54"/>
        <v>0</v>
      </c>
      <c r="AS282" s="46"/>
      <c r="AT282" s="46">
        <v>529550</v>
      </c>
      <c r="AU282" s="46">
        <v>331382.59000000003</v>
      </c>
    </row>
    <row r="283" spans="1:47" x14ac:dyDescent="0.25">
      <c r="A283" s="33" t="s">
        <v>254</v>
      </c>
      <c r="B283" s="44">
        <v>138246178.53</v>
      </c>
      <c r="C283" s="44">
        <v>203379799.97999999</v>
      </c>
      <c r="D283" s="44">
        <f t="shared" si="44"/>
        <v>65133621.449999988</v>
      </c>
      <c r="E283" s="44"/>
      <c r="F283" s="44">
        <v>31625291.390000001</v>
      </c>
      <c r="G283" s="44">
        <v>72996506.459999993</v>
      </c>
      <c r="H283" s="44">
        <f t="shared" si="45"/>
        <v>41371215.069999993</v>
      </c>
      <c r="I283" s="44"/>
      <c r="J283" s="44">
        <v>5253765.21</v>
      </c>
      <c r="K283" s="44">
        <v>6643849.1799999997</v>
      </c>
      <c r="L283" s="44">
        <f t="shared" si="46"/>
        <v>1390083.9699999997</v>
      </c>
      <c r="M283" s="44"/>
      <c r="N283" s="44">
        <v>9742162.3800000008</v>
      </c>
      <c r="O283" s="44">
        <v>14823117.18</v>
      </c>
      <c r="P283" s="44">
        <f t="shared" si="47"/>
        <v>5080954.7999999989</v>
      </c>
      <c r="Q283" s="44"/>
      <c r="R283" s="44">
        <v>2507523.66</v>
      </c>
      <c r="S283" s="44">
        <v>8054473.0899999999</v>
      </c>
      <c r="T283" s="44">
        <f t="shared" si="48"/>
        <v>5546949.4299999997</v>
      </c>
      <c r="U283" s="44"/>
      <c r="V283" s="44">
        <v>3358020.51</v>
      </c>
      <c r="W283" s="44">
        <v>4533603.01</v>
      </c>
      <c r="X283" s="44">
        <f t="shared" si="49"/>
        <v>1175582.5</v>
      </c>
      <c r="Y283" s="44"/>
      <c r="Z283" s="44">
        <v>5328246.5599999996</v>
      </c>
      <c r="AA283" s="44">
        <v>23262190.489999998</v>
      </c>
      <c r="AB283" s="44">
        <f t="shared" si="50"/>
        <v>17933943.93</v>
      </c>
      <c r="AC283" s="44"/>
      <c r="AD283" s="44">
        <v>3812394.74</v>
      </c>
      <c r="AE283" s="44">
        <v>10848674.09</v>
      </c>
      <c r="AF283" s="44">
        <f t="shared" si="51"/>
        <v>7036279.3499999996</v>
      </c>
      <c r="AG283" s="44"/>
      <c r="AH283" s="44">
        <v>1623178.33</v>
      </c>
      <c r="AI283" s="44">
        <v>4830599.42</v>
      </c>
      <c r="AJ283" s="44">
        <f t="shared" si="52"/>
        <v>3207421.09</v>
      </c>
      <c r="AK283" s="44"/>
      <c r="AL283" s="44">
        <v>62974448.310000002</v>
      </c>
      <c r="AM283" s="44">
        <v>58302515.729999997</v>
      </c>
      <c r="AN283" s="44">
        <f t="shared" si="53"/>
        <v>-4671932.5800000057</v>
      </c>
      <c r="AO283" s="44"/>
      <c r="AP283" s="44">
        <v>4992529.79</v>
      </c>
      <c r="AQ283" s="44">
        <v>16637573.310000001</v>
      </c>
      <c r="AR283" s="44">
        <f t="shared" si="54"/>
        <v>11645043.52</v>
      </c>
      <c r="AS283" s="44"/>
      <c r="AT283" s="44">
        <v>37799245.770000003</v>
      </c>
      <c r="AU283" s="44">
        <v>54647263.810000002</v>
      </c>
    </row>
    <row r="284" spans="1:47" x14ac:dyDescent="0.25">
      <c r="A284" s="38" t="s">
        <v>255</v>
      </c>
      <c r="B284" s="46">
        <v>17001.16</v>
      </c>
      <c r="C284" s="46">
        <v>3160195.62</v>
      </c>
      <c r="D284" s="46">
        <f t="shared" si="44"/>
        <v>3143194.46</v>
      </c>
      <c r="E284" s="46"/>
      <c r="F284" s="46">
        <v>17001.16</v>
      </c>
      <c r="G284" s="46">
        <v>727634.73</v>
      </c>
      <c r="H284" s="46">
        <f t="shared" si="45"/>
        <v>710633.57</v>
      </c>
      <c r="I284" s="46"/>
      <c r="J284" s="47">
        <v>0</v>
      </c>
      <c r="K284" s="47">
        <v>0</v>
      </c>
      <c r="L284" s="46">
        <f t="shared" si="46"/>
        <v>0</v>
      </c>
      <c r="M284" s="46"/>
      <c r="N284" s="47">
        <v>0</v>
      </c>
      <c r="O284" s="47">
        <v>0</v>
      </c>
      <c r="P284" s="46">
        <f t="shared" si="47"/>
        <v>0</v>
      </c>
      <c r="Q284" s="46"/>
      <c r="R284" s="46">
        <v>1824.33</v>
      </c>
      <c r="S284" s="46">
        <v>399718.51</v>
      </c>
      <c r="T284" s="46">
        <f t="shared" si="48"/>
        <v>397894.18</v>
      </c>
      <c r="U284" s="46"/>
      <c r="V284" s="46">
        <v>3176.7</v>
      </c>
      <c r="W284" s="46">
        <v>82379.259999999995</v>
      </c>
      <c r="X284" s="46">
        <f t="shared" si="49"/>
        <v>79202.559999999998</v>
      </c>
      <c r="Y284" s="46"/>
      <c r="Z284" s="46">
        <v>12000</v>
      </c>
      <c r="AA284" s="46">
        <v>222869.8</v>
      </c>
      <c r="AB284" s="46">
        <f t="shared" si="50"/>
        <v>210869.8</v>
      </c>
      <c r="AC284" s="46"/>
      <c r="AD284" s="47">
        <v>0</v>
      </c>
      <c r="AE284" s="46">
        <v>7948.18</v>
      </c>
      <c r="AF284" s="46">
        <f t="shared" si="51"/>
        <v>7948.18</v>
      </c>
      <c r="AG284" s="46"/>
      <c r="AH284" s="46">
        <v>0.13</v>
      </c>
      <c r="AI284" s="46">
        <v>14718.98</v>
      </c>
      <c r="AJ284" s="46">
        <f t="shared" si="52"/>
        <v>14718.85</v>
      </c>
      <c r="AK284" s="46"/>
      <c r="AL284" s="47">
        <v>0</v>
      </c>
      <c r="AM284" s="46">
        <v>2196887.75</v>
      </c>
      <c r="AN284" s="46">
        <f t="shared" si="53"/>
        <v>2196887.75</v>
      </c>
      <c r="AO284" s="46"/>
      <c r="AP284" s="47">
        <v>0</v>
      </c>
      <c r="AQ284" s="46">
        <v>224664.69</v>
      </c>
      <c r="AR284" s="46">
        <f t="shared" si="54"/>
        <v>224664.69</v>
      </c>
      <c r="AS284" s="46"/>
      <c r="AT284" s="47">
        <v>0</v>
      </c>
      <c r="AU284" s="46">
        <v>11008.45</v>
      </c>
    </row>
    <row r="285" spans="1:47" x14ac:dyDescent="0.25">
      <c r="A285" s="38" t="s">
        <v>256</v>
      </c>
      <c r="B285" s="46">
        <v>17960901.82</v>
      </c>
      <c r="C285" s="46">
        <v>20648835.75</v>
      </c>
      <c r="D285" s="46">
        <f t="shared" si="44"/>
        <v>2687933.9299999997</v>
      </c>
      <c r="E285" s="46"/>
      <c r="F285" s="46">
        <v>726511.49</v>
      </c>
      <c r="G285" s="46">
        <v>4617395.04</v>
      </c>
      <c r="H285" s="46">
        <f t="shared" si="45"/>
        <v>3890883.55</v>
      </c>
      <c r="I285" s="46"/>
      <c r="J285" s="46">
        <v>165059.26</v>
      </c>
      <c r="K285" s="46">
        <v>632972.93000000005</v>
      </c>
      <c r="L285" s="46">
        <f t="shared" si="46"/>
        <v>467913.67000000004</v>
      </c>
      <c r="M285" s="46"/>
      <c r="N285" s="46">
        <v>279491.01</v>
      </c>
      <c r="O285" s="46">
        <v>595927.5</v>
      </c>
      <c r="P285" s="46">
        <f t="shared" si="47"/>
        <v>316436.49</v>
      </c>
      <c r="Q285" s="46"/>
      <c r="R285" s="46">
        <v>6539.2</v>
      </c>
      <c r="S285" s="46">
        <v>327211.26</v>
      </c>
      <c r="T285" s="46">
        <f t="shared" si="48"/>
        <v>320672.06</v>
      </c>
      <c r="U285" s="46"/>
      <c r="V285" s="46">
        <v>52705</v>
      </c>
      <c r="W285" s="46">
        <v>545286.67000000004</v>
      </c>
      <c r="X285" s="46">
        <f t="shared" si="49"/>
        <v>492581.67000000004</v>
      </c>
      <c r="Y285" s="46"/>
      <c r="Z285" s="46">
        <v>127585.26</v>
      </c>
      <c r="AA285" s="46">
        <v>1646269.39</v>
      </c>
      <c r="AB285" s="46">
        <f t="shared" si="50"/>
        <v>1518684.13</v>
      </c>
      <c r="AC285" s="46"/>
      <c r="AD285" s="46">
        <v>53445.17</v>
      </c>
      <c r="AE285" s="46">
        <v>634383.31000000006</v>
      </c>
      <c r="AF285" s="46">
        <f t="shared" si="51"/>
        <v>580938.14</v>
      </c>
      <c r="AG285" s="46"/>
      <c r="AH285" s="46">
        <v>41686.589999999997</v>
      </c>
      <c r="AI285" s="46">
        <v>235343.98</v>
      </c>
      <c r="AJ285" s="46">
        <f t="shared" si="52"/>
        <v>193657.39</v>
      </c>
      <c r="AK285" s="46"/>
      <c r="AL285" s="46">
        <v>13148238.619999999</v>
      </c>
      <c r="AM285" s="46">
        <v>6792016.2000000002</v>
      </c>
      <c r="AN285" s="46">
        <f t="shared" si="53"/>
        <v>-6356222.419999999</v>
      </c>
      <c r="AO285" s="46"/>
      <c r="AP285" s="46">
        <v>4005392.33</v>
      </c>
      <c r="AQ285" s="46">
        <v>7902832.1299999999</v>
      </c>
      <c r="AR285" s="46">
        <f t="shared" si="54"/>
        <v>3897439.8</v>
      </c>
      <c r="AS285" s="46"/>
      <c r="AT285" s="46">
        <v>80000</v>
      </c>
      <c r="AU285" s="46">
        <v>1290262.56</v>
      </c>
    </row>
    <row r="286" spans="1:47" x14ac:dyDescent="0.25">
      <c r="A286" s="38" t="s">
        <v>257</v>
      </c>
      <c r="B286" s="46">
        <v>536201.47</v>
      </c>
      <c r="C286" s="46">
        <v>799226.17</v>
      </c>
      <c r="D286" s="46">
        <f t="shared" si="44"/>
        <v>263024.70000000007</v>
      </c>
      <c r="E286" s="46"/>
      <c r="F286" s="46">
        <v>446613.38</v>
      </c>
      <c r="G286" s="46">
        <v>713807.08</v>
      </c>
      <c r="H286" s="46">
        <f t="shared" si="45"/>
        <v>267193.69999999995</v>
      </c>
      <c r="I286" s="46"/>
      <c r="J286" s="47">
        <v>0</v>
      </c>
      <c r="K286" s="46">
        <v>29561</v>
      </c>
      <c r="L286" s="46">
        <f t="shared" si="46"/>
        <v>29561</v>
      </c>
      <c r="M286" s="46"/>
      <c r="N286" s="47">
        <v>0</v>
      </c>
      <c r="O286" s="46">
        <v>1000</v>
      </c>
      <c r="P286" s="46">
        <f t="shared" si="47"/>
        <v>1000</v>
      </c>
      <c r="Q286" s="46"/>
      <c r="R286" s="46">
        <v>32960</v>
      </c>
      <c r="S286" s="46">
        <v>47970</v>
      </c>
      <c r="T286" s="46">
        <f t="shared" si="48"/>
        <v>15010</v>
      </c>
      <c r="U286" s="46"/>
      <c r="V286" s="46">
        <v>1452.78</v>
      </c>
      <c r="W286" s="46">
        <v>86692.479999999996</v>
      </c>
      <c r="X286" s="46">
        <f t="shared" si="49"/>
        <v>85239.7</v>
      </c>
      <c r="Y286" s="46"/>
      <c r="Z286" s="46">
        <v>51672.6</v>
      </c>
      <c r="AA286" s="46">
        <v>176795.6</v>
      </c>
      <c r="AB286" s="46">
        <f t="shared" si="50"/>
        <v>125123</v>
      </c>
      <c r="AC286" s="46"/>
      <c r="AD286" s="46">
        <v>356583</v>
      </c>
      <c r="AE286" s="46">
        <v>367843</v>
      </c>
      <c r="AF286" s="46">
        <f t="shared" si="51"/>
        <v>11260</v>
      </c>
      <c r="AG286" s="46"/>
      <c r="AH286" s="46">
        <v>3945</v>
      </c>
      <c r="AI286" s="46">
        <v>3945</v>
      </c>
      <c r="AJ286" s="46">
        <f t="shared" si="52"/>
        <v>0</v>
      </c>
      <c r="AK286" s="46"/>
      <c r="AL286" s="46">
        <v>64588.09</v>
      </c>
      <c r="AM286" s="46">
        <v>15419.09</v>
      </c>
      <c r="AN286" s="46">
        <f t="shared" si="53"/>
        <v>-49169</v>
      </c>
      <c r="AO286" s="46"/>
      <c r="AP286" s="46">
        <v>25000</v>
      </c>
      <c r="AQ286" s="46">
        <v>64000</v>
      </c>
      <c r="AR286" s="46">
        <f t="shared" si="54"/>
        <v>39000</v>
      </c>
      <c r="AS286" s="46"/>
      <c r="AT286" s="47">
        <v>0</v>
      </c>
      <c r="AU286" s="46">
        <v>6000</v>
      </c>
    </row>
    <row r="287" spans="1:47" x14ac:dyDescent="0.25">
      <c r="A287" s="38" t="s">
        <v>258</v>
      </c>
      <c r="B287" s="46">
        <v>2873746.91</v>
      </c>
      <c r="C287" s="46">
        <v>11983142.67</v>
      </c>
      <c r="D287" s="46">
        <f t="shared" si="44"/>
        <v>9109395.7599999998</v>
      </c>
      <c r="E287" s="46"/>
      <c r="F287" s="46">
        <v>703839.72</v>
      </c>
      <c r="G287" s="46">
        <v>1057885.53</v>
      </c>
      <c r="H287" s="46">
        <f t="shared" si="45"/>
        <v>354045.81000000006</v>
      </c>
      <c r="I287" s="46"/>
      <c r="J287" s="46">
        <v>1258</v>
      </c>
      <c r="K287" s="46">
        <v>1258</v>
      </c>
      <c r="L287" s="46">
        <f t="shared" si="46"/>
        <v>0</v>
      </c>
      <c r="M287" s="46"/>
      <c r="N287" s="46">
        <v>94.08</v>
      </c>
      <c r="O287" s="46">
        <v>441101.46</v>
      </c>
      <c r="P287" s="46">
        <f t="shared" si="47"/>
        <v>441007.38</v>
      </c>
      <c r="Q287" s="46"/>
      <c r="R287" s="46">
        <v>5557</v>
      </c>
      <c r="S287" s="46">
        <v>-129456.69</v>
      </c>
      <c r="T287" s="46">
        <f t="shared" si="48"/>
        <v>-135013.69</v>
      </c>
      <c r="U287" s="46"/>
      <c r="V287" s="46">
        <v>1.32</v>
      </c>
      <c r="W287" s="46">
        <v>169600.92</v>
      </c>
      <c r="X287" s="46">
        <f t="shared" si="49"/>
        <v>169599.6</v>
      </c>
      <c r="Y287" s="46"/>
      <c r="Z287" s="46">
        <v>8332.51</v>
      </c>
      <c r="AA287" s="46">
        <v>-247486.46</v>
      </c>
      <c r="AB287" s="46">
        <f t="shared" si="50"/>
        <v>-255818.97</v>
      </c>
      <c r="AC287" s="46"/>
      <c r="AD287" s="46">
        <v>659537.81000000006</v>
      </c>
      <c r="AE287" s="46">
        <v>778935.83</v>
      </c>
      <c r="AF287" s="46">
        <f t="shared" si="51"/>
        <v>119398.0199999999</v>
      </c>
      <c r="AG287" s="46"/>
      <c r="AH287" s="46">
        <v>29059</v>
      </c>
      <c r="AI287" s="46">
        <v>43932.47</v>
      </c>
      <c r="AJ287" s="46">
        <f t="shared" si="52"/>
        <v>14873.470000000001</v>
      </c>
      <c r="AK287" s="46"/>
      <c r="AL287" s="46">
        <v>2161688.25</v>
      </c>
      <c r="AM287" s="46">
        <v>4097192.02</v>
      </c>
      <c r="AN287" s="46">
        <f t="shared" si="53"/>
        <v>1935503.77</v>
      </c>
      <c r="AO287" s="46"/>
      <c r="AP287" s="46">
        <v>8218.94</v>
      </c>
      <c r="AQ287" s="46">
        <v>5720327.1799999997</v>
      </c>
      <c r="AR287" s="46">
        <f t="shared" si="54"/>
        <v>5712108.2399999993</v>
      </c>
      <c r="AS287" s="46"/>
      <c r="AT287" s="47">
        <v>0</v>
      </c>
      <c r="AU287" s="46">
        <v>1107737.94</v>
      </c>
    </row>
    <row r="288" spans="1:47" x14ac:dyDescent="0.25">
      <c r="A288" s="38" t="s">
        <v>53</v>
      </c>
      <c r="B288" s="46">
        <v>179496.74</v>
      </c>
      <c r="C288" s="46">
        <v>1289750.8600000001</v>
      </c>
      <c r="D288" s="46">
        <f t="shared" si="44"/>
        <v>1110254.1200000001</v>
      </c>
      <c r="E288" s="46"/>
      <c r="F288" s="46">
        <v>77290.39</v>
      </c>
      <c r="G288" s="46">
        <v>114475.39</v>
      </c>
      <c r="H288" s="46">
        <f t="shared" si="45"/>
        <v>37185</v>
      </c>
      <c r="I288" s="46"/>
      <c r="J288" s="47">
        <v>0</v>
      </c>
      <c r="K288" s="47">
        <v>0</v>
      </c>
      <c r="L288" s="46">
        <f t="shared" si="46"/>
        <v>0</v>
      </c>
      <c r="M288" s="46"/>
      <c r="N288" s="46">
        <v>3498.04</v>
      </c>
      <c r="O288" s="46">
        <v>4649.7299999999996</v>
      </c>
      <c r="P288" s="46">
        <f t="shared" si="47"/>
        <v>1151.6899999999996</v>
      </c>
      <c r="Q288" s="46"/>
      <c r="R288" s="47">
        <v>0</v>
      </c>
      <c r="S288" s="46">
        <v>10427.86</v>
      </c>
      <c r="T288" s="46">
        <f t="shared" si="48"/>
        <v>10427.86</v>
      </c>
      <c r="U288" s="46"/>
      <c r="V288" s="46">
        <v>73792.350000000006</v>
      </c>
      <c r="W288" s="46">
        <v>99397.8</v>
      </c>
      <c r="X288" s="46">
        <f t="shared" si="49"/>
        <v>25605.449999999997</v>
      </c>
      <c r="Y288" s="46"/>
      <c r="Z288" s="47">
        <v>0</v>
      </c>
      <c r="AA288" s="47">
        <v>0</v>
      </c>
      <c r="AB288" s="46">
        <f t="shared" si="50"/>
        <v>0</v>
      </c>
      <c r="AC288" s="46"/>
      <c r="AD288" s="47">
        <v>0</v>
      </c>
      <c r="AE288" s="47">
        <v>0</v>
      </c>
      <c r="AF288" s="46">
        <f t="shared" si="51"/>
        <v>0</v>
      </c>
      <c r="AG288" s="46"/>
      <c r="AH288" s="47">
        <v>0</v>
      </c>
      <c r="AI288" s="47">
        <v>0</v>
      </c>
      <c r="AJ288" s="46">
        <f t="shared" si="52"/>
        <v>0</v>
      </c>
      <c r="AK288" s="46"/>
      <c r="AL288" s="47">
        <v>0</v>
      </c>
      <c r="AM288" s="47">
        <v>0</v>
      </c>
      <c r="AN288" s="46">
        <f t="shared" si="53"/>
        <v>0</v>
      </c>
      <c r="AO288" s="46"/>
      <c r="AP288" s="47">
        <v>0</v>
      </c>
      <c r="AQ288" s="46">
        <v>585.04999999999995</v>
      </c>
      <c r="AR288" s="46">
        <f t="shared" si="54"/>
        <v>585.04999999999995</v>
      </c>
      <c r="AS288" s="46"/>
      <c r="AT288" s="46">
        <v>102206.35</v>
      </c>
      <c r="AU288" s="46">
        <v>1174690.42</v>
      </c>
    </row>
    <row r="289" spans="1:47" x14ac:dyDescent="0.25">
      <c r="A289" s="38" t="s">
        <v>259</v>
      </c>
      <c r="B289" s="47">
        <v>0</v>
      </c>
      <c r="C289" s="47">
        <v>0</v>
      </c>
      <c r="D289" s="47">
        <f t="shared" si="44"/>
        <v>0</v>
      </c>
      <c r="E289" s="47"/>
      <c r="F289" s="47">
        <v>0</v>
      </c>
      <c r="G289" s="47">
        <v>0</v>
      </c>
      <c r="H289" s="47">
        <f t="shared" si="45"/>
        <v>0</v>
      </c>
      <c r="I289" s="47"/>
      <c r="J289" s="47">
        <v>0</v>
      </c>
      <c r="K289" s="47">
        <v>0</v>
      </c>
      <c r="L289" s="47">
        <f t="shared" si="46"/>
        <v>0</v>
      </c>
      <c r="M289" s="47"/>
      <c r="N289" s="47">
        <v>0</v>
      </c>
      <c r="O289" s="47">
        <v>0</v>
      </c>
      <c r="P289" s="47">
        <f t="shared" si="47"/>
        <v>0</v>
      </c>
      <c r="Q289" s="47"/>
      <c r="R289" s="47">
        <v>0</v>
      </c>
      <c r="S289" s="47">
        <v>0</v>
      </c>
      <c r="T289" s="47">
        <f t="shared" si="48"/>
        <v>0</v>
      </c>
      <c r="U289" s="47"/>
      <c r="V289" s="47">
        <v>0</v>
      </c>
      <c r="W289" s="47">
        <v>0</v>
      </c>
      <c r="X289" s="47">
        <f t="shared" si="49"/>
        <v>0</v>
      </c>
      <c r="Y289" s="47"/>
      <c r="Z289" s="47">
        <v>0</v>
      </c>
      <c r="AA289" s="47">
        <v>0</v>
      </c>
      <c r="AB289" s="47">
        <f t="shared" si="50"/>
        <v>0</v>
      </c>
      <c r="AC289" s="47"/>
      <c r="AD289" s="47">
        <v>0</v>
      </c>
      <c r="AE289" s="47">
        <v>0</v>
      </c>
      <c r="AF289" s="47">
        <f t="shared" si="51"/>
        <v>0</v>
      </c>
      <c r="AG289" s="47"/>
      <c r="AH289" s="47">
        <v>0</v>
      </c>
      <c r="AI289" s="47">
        <v>0</v>
      </c>
      <c r="AJ289" s="47">
        <f t="shared" si="52"/>
        <v>0</v>
      </c>
      <c r="AK289" s="47"/>
      <c r="AL289" s="47">
        <v>0</v>
      </c>
      <c r="AM289" s="47">
        <v>0</v>
      </c>
      <c r="AN289" s="47">
        <f t="shared" si="53"/>
        <v>0</v>
      </c>
      <c r="AO289" s="47"/>
      <c r="AP289" s="47">
        <v>0</v>
      </c>
      <c r="AQ289" s="47">
        <v>0</v>
      </c>
      <c r="AR289" s="47">
        <f t="shared" si="54"/>
        <v>0</v>
      </c>
      <c r="AS289" s="47"/>
      <c r="AT289" s="47">
        <v>0</v>
      </c>
      <c r="AU289" s="47">
        <v>0</v>
      </c>
    </row>
    <row r="290" spans="1:47" x14ac:dyDescent="0.25">
      <c r="A290" s="34" t="s">
        <v>260</v>
      </c>
      <c r="B290" s="44">
        <v>54769064.009999998</v>
      </c>
      <c r="C290" s="44">
        <v>68768495.840000004</v>
      </c>
      <c r="D290" s="44">
        <f t="shared" si="44"/>
        <v>13999431.830000006</v>
      </c>
      <c r="E290" s="44"/>
      <c r="F290" s="44">
        <v>21608988.510000002</v>
      </c>
      <c r="G290" s="44">
        <v>35080665.43</v>
      </c>
      <c r="H290" s="44">
        <f t="shared" si="45"/>
        <v>13471676.919999998</v>
      </c>
      <c r="I290" s="44"/>
      <c r="J290" s="44">
        <v>4807511.76</v>
      </c>
      <c r="K290" s="44">
        <v>5390100.8300000001</v>
      </c>
      <c r="L290" s="44">
        <f t="shared" si="46"/>
        <v>582589.0700000003</v>
      </c>
      <c r="M290" s="44"/>
      <c r="N290" s="44">
        <v>4414789.4800000004</v>
      </c>
      <c r="O290" s="44">
        <v>8160122.0800000001</v>
      </c>
      <c r="P290" s="44">
        <f t="shared" si="47"/>
        <v>3745332.5999999996</v>
      </c>
      <c r="Q290" s="44"/>
      <c r="R290" s="44">
        <v>2145603.7200000002</v>
      </c>
      <c r="S290" s="44">
        <v>3605796.8</v>
      </c>
      <c r="T290" s="44">
        <f t="shared" si="48"/>
        <v>1460193.0799999996</v>
      </c>
      <c r="U290" s="44"/>
      <c r="V290" s="44">
        <v>3100316.48</v>
      </c>
      <c r="W290" s="44">
        <v>3060763.89</v>
      </c>
      <c r="X290" s="44">
        <f t="shared" si="49"/>
        <v>-39552.589999999851</v>
      </c>
      <c r="Y290" s="44"/>
      <c r="Z290" s="44">
        <v>3438778.13</v>
      </c>
      <c r="AA290" s="44">
        <v>7032731.1399999997</v>
      </c>
      <c r="AB290" s="44">
        <f t="shared" si="50"/>
        <v>3593953.01</v>
      </c>
      <c r="AC290" s="44"/>
      <c r="AD290" s="44">
        <v>2487825.96</v>
      </c>
      <c r="AE290" s="44">
        <v>6245809.5199999996</v>
      </c>
      <c r="AF290" s="44">
        <f t="shared" si="51"/>
        <v>3757983.5599999996</v>
      </c>
      <c r="AG290" s="44"/>
      <c r="AH290" s="44">
        <v>1214162.98</v>
      </c>
      <c r="AI290" s="44">
        <v>1585341.17</v>
      </c>
      <c r="AJ290" s="44">
        <f t="shared" si="52"/>
        <v>371178.18999999994</v>
      </c>
      <c r="AK290" s="44"/>
      <c r="AL290" s="44">
        <v>31415700.210000001</v>
      </c>
      <c r="AM290" s="44">
        <v>30381072.989999998</v>
      </c>
      <c r="AN290" s="44">
        <f t="shared" si="53"/>
        <v>-1034627.2200000025</v>
      </c>
      <c r="AO290" s="44"/>
      <c r="AP290" s="44">
        <v>846497.84</v>
      </c>
      <c r="AQ290" s="44">
        <v>741496.61</v>
      </c>
      <c r="AR290" s="44">
        <f t="shared" si="54"/>
        <v>-105001.22999999998</v>
      </c>
      <c r="AS290" s="44"/>
      <c r="AT290" s="44">
        <v>725386.45</v>
      </c>
      <c r="AU290" s="44">
        <v>2394894.69</v>
      </c>
    </row>
    <row r="291" spans="1:47" x14ac:dyDescent="0.25">
      <c r="A291" s="35" t="s">
        <v>261</v>
      </c>
      <c r="B291" s="46">
        <v>4000</v>
      </c>
      <c r="C291" s="47">
        <v>0</v>
      </c>
      <c r="D291" s="47">
        <f t="shared" si="44"/>
        <v>-4000</v>
      </c>
      <c r="E291" s="47"/>
      <c r="F291" s="46">
        <v>4000</v>
      </c>
      <c r="G291" s="47">
        <v>0</v>
      </c>
      <c r="H291" s="47">
        <f t="shared" si="45"/>
        <v>-4000</v>
      </c>
      <c r="I291" s="47"/>
      <c r="J291" s="47">
        <v>0</v>
      </c>
      <c r="K291" s="47">
        <v>0</v>
      </c>
      <c r="L291" s="47">
        <f t="shared" si="46"/>
        <v>0</v>
      </c>
      <c r="M291" s="47"/>
      <c r="N291" s="47">
        <v>0</v>
      </c>
      <c r="O291" s="47">
        <v>0</v>
      </c>
      <c r="P291" s="47">
        <f t="shared" si="47"/>
        <v>0</v>
      </c>
      <c r="Q291" s="47"/>
      <c r="R291" s="46">
        <v>4000</v>
      </c>
      <c r="S291" s="47">
        <v>0</v>
      </c>
      <c r="T291" s="47">
        <f t="shared" si="48"/>
        <v>-4000</v>
      </c>
      <c r="U291" s="47"/>
      <c r="V291" s="47">
        <v>0</v>
      </c>
      <c r="W291" s="47">
        <v>0</v>
      </c>
      <c r="X291" s="47">
        <f t="shared" si="49"/>
        <v>0</v>
      </c>
      <c r="Y291" s="47"/>
      <c r="Z291" s="47">
        <v>0</v>
      </c>
      <c r="AA291" s="47">
        <v>0</v>
      </c>
      <c r="AB291" s="47">
        <f t="shared" si="50"/>
        <v>0</v>
      </c>
      <c r="AC291" s="47"/>
      <c r="AD291" s="47">
        <v>0</v>
      </c>
      <c r="AE291" s="47">
        <v>0</v>
      </c>
      <c r="AF291" s="47">
        <f t="shared" si="51"/>
        <v>0</v>
      </c>
      <c r="AG291" s="47"/>
      <c r="AH291" s="47">
        <v>0</v>
      </c>
      <c r="AI291" s="47">
        <v>0</v>
      </c>
      <c r="AJ291" s="47">
        <f t="shared" si="52"/>
        <v>0</v>
      </c>
      <c r="AK291" s="47"/>
      <c r="AL291" s="47">
        <v>0</v>
      </c>
      <c r="AM291" s="47">
        <v>0</v>
      </c>
      <c r="AN291" s="47">
        <f t="shared" si="53"/>
        <v>0</v>
      </c>
      <c r="AO291" s="47"/>
      <c r="AP291" s="47">
        <v>0</v>
      </c>
      <c r="AQ291" s="47">
        <v>0</v>
      </c>
      <c r="AR291" s="47">
        <f t="shared" si="54"/>
        <v>0</v>
      </c>
      <c r="AS291" s="47"/>
      <c r="AT291" s="47">
        <v>0</v>
      </c>
      <c r="AU291" s="47">
        <v>0</v>
      </c>
    </row>
    <row r="292" spans="1:47" x14ac:dyDescent="0.25">
      <c r="A292" s="35" t="s">
        <v>262</v>
      </c>
      <c r="B292" s="46">
        <v>16090183.949999999</v>
      </c>
      <c r="C292" s="46">
        <v>15248869.220000001</v>
      </c>
      <c r="D292" s="46">
        <f t="shared" si="44"/>
        <v>-841314.72999999858</v>
      </c>
      <c r="E292" s="46"/>
      <c r="F292" s="46">
        <v>12544785.949999999</v>
      </c>
      <c r="G292" s="46">
        <v>12318479.220000001</v>
      </c>
      <c r="H292" s="46">
        <f t="shared" si="45"/>
        <v>-226306.72999999858</v>
      </c>
      <c r="I292" s="46"/>
      <c r="J292" s="46">
        <v>2072551.92</v>
      </c>
      <c r="K292" s="46">
        <v>1985266.88</v>
      </c>
      <c r="L292" s="46">
        <f t="shared" si="46"/>
        <v>-87285.040000000037</v>
      </c>
      <c r="M292" s="46"/>
      <c r="N292" s="46">
        <v>2077368</v>
      </c>
      <c r="O292" s="46">
        <v>2086090</v>
      </c>
      <c r="P292" s="46">
        <f t="shared" si="47"/>
        <v>8722</v>
      </c>
      <c r="Q292" s="46"/>
      <c r="R292" s="46">
        <v>1172590</v>
      </c>
      <c r="S292" s="46">
        <v>1209280</v>
      </c>
      <c r="T292" s="46">
        <f t="shared" si="48"/>
        <v>36690</v>
      </c>
      <c r="U292" s="46"/>
      <c r="V292" s="46">
        <v>2461569</v>
      </c>
      <c r="W292" s="46">
        <v>2378440</v>
      </c>
      <c r="X292" s="46">
        <f t="shared" si="49"/>
        <v>-83129</v>
      </c>
      <c r="Y292" s="46"/>
      <c r="Z292" s="46">
        <v>2446786.0299999998</v>
      </c>
      <c r="AA292" s="46">
        <v>2395264</v>
      </c>
      <c r="AB292" s="46">
        <f t="shared" si="50"/>
        <v>-51522.029999999795</v>
      </c>
      <c r="AC292" s="46"/>
      <c r="AD292" s="46">
        <v>1665744</v>
      </c>
      <c r="AE292" s="46">
        <v>1639160</v>
      </c>
      <c r="AF292" s="46">
        <f t="shared" si="51"/>
        <v>-26584</v>
      </c>
      <c r="AG292" s="46"/>
      <c r="AH292" s="46">
        <v>648177</v>
      </c>
      <c r="AI292" s="46">
        <v>624978.34</v>
      </c>
      <c r="AJ292" s="46">
        <f t="shared" si="52"/>
        <v>-23198.660000000033</v>
      </c>
      <c r="AK292" s="46"/>
      <c r="AL292" s="46">
        <v>3000000</v>
      </c>
      <c r="AM292" s="46">
        <v>2555171</v>
      </c>
      <c r="AN292" s="46">
        <f t="shared" si="53"/>
        <v>-444829</v>
      </c>
      <c r="AO292" s="46"/>
      <c r="AP292" s="46">
        <v>545398</v>
      </c>
      <c r="AQ292" s="46">
        <v>370663</v>
      </c>
      <c r="AR292" s="46">
        <f t="shared" si="54"/>
        <v>-174735</v>
      </c>
      <c r="AS292" s="46"/>
      <c r="AT292" s="47">
        <v>0</v>
      </c>
      <c r="AU292" s="46">
        <v>4556</v>
      </c>
    </row>
    <row r="293" spans="1:47" x14ac:dyDescent="0.25">
      <c r="A293" s="35" t="s">
        <v>263</v>
      </c>
      <c r="B293" s="46">
        <v>1039778.76</v>
      </c>
      <c r="C293" s="46">
        <v>329775.09000000003</v>
      </c>
      <c r="D293" s="46">
        <f t="shared" si="44"/>
        <v>-710003.66999999993</v>
      </c>
      <c r="E293" s="46"/>
      <c r="F293" s="46">
        <v>239778.76</v>
      </c>
      <c r="G293" s="46">
        <v>97788.67</v>
      </c>
      <c r="H293" s="46">
        <f t="shared" si="45"/>
        <v>-141990.09000000003</v>
      </c>
      <c r="I293" s="46"/>
      <c r="J293" s="46">
        <v>22334.13</v>
      </c>
      <c r="K293" s="46">
        <v>1362.04</v>
      </c>
      <c r="L293" s="46">
        <f t="shared" si="46"/>
        <v>-20972.09</v>
      </c>
      <c r="M293" s="46"/>
      <c r="N293" s="46">
        <v>44178.51</v>
      </c>
      <c r="O293" s="46">
        <v>2714.04</v>
      </c>
      <c r="P293" s="46">
        <f t="shared" si="47"/>
        <v>-41464.47</v>
      </c>
      <c r="Q293" s="46"/>
      <c r="R293" s="46">
        <v>116066.02</v>
      </c>
      <c r="S293" s="46">
        <v>33507</v>
      </c>
      <c r="T293" s="46">
        <f t="shared" si="48"/>
        <v>-82559.02</v>
      </c>
      <c r="U293" s="46"/>
      <c r="V293" s="46">
        <v>1200</v>
      </c>
      <c r="W293" s="47">
        <v>0</v>
      </c>
      <c r="X293" s="46">
        <f t="shared" si="49"/>
        <v>-1200</v>
      </c>
      <c r="Y293" s="46"/>
      <c r="Z293" s="46">
        <v>19900</v>
      </c>
      <c r="AA293" s="46">
        <v>12699.79</v>
      </c>
      <c r="AB293" s="46">
        <f t="shared" si="50"/>
        <v>-7200.2099999999991</v>
      </c>
      <c r="AC293" s="46"/>
      <c r="AD293" s="46">
        <v>13600.1</v>
      </c>
      <c r="AE293" s="46">
        <v>47505.8</v>
      </c>
      <c r="AF293" s="46">
        <f t="shared" si="51"/>
        <v>33905.700000000004</v>
      </c>
      <c r="AG293" s="46"/>
      <c r="AH293" s="46">
        <v>22500</v>
      </c>
      <c r="AI293" s="47">
        <v>0</v>
      </c>
      <c r="AJ293" s="46">
        <f t="shared" si="52"/>
        <v>-22500</v>
      </c>
      <c r="AK293" s="46"/>
      <c r="AL293" s="46">
        <v>800000</v>
      </c>
      <c r="AM293" s="46">
        <v>231986.42</v>
      </c>
      <c r="AN293" s="46">
        <f t="shared" si="53"/>
        <v>-568013.57999999996</v>
      </c>
      <c r="AO293" s="46"/>
      <c r="AP293" s="47">
        <v>0</v>
      </c>
      <c r="AQ293" s="47">
        <v>0</v>
      </c>
      <c r="AR293" s="46">
        <f t="shared" si="54"/>
        <v>0</v>
      </c>
      <c r="AS293" s="46"/>
      <c r="AT293" s="47">
        <v>0</v>
      </c>
      <c r="AU293" s="47">
        <v>0</v>
      </c>
    </row>
    <row r="294" spans="1:47" x14ac:dyDescent="0.25">
      <c r="A294" s="35" t="s">
        <v>264</v>
      </c>
      <c r="B294" s="46">
        <v>32499881.18</v>
      </c>
      <c r="C294" s="46">
        <v>31018719.960000001</v>
      </c>
      <c r="D294" s="46">
        <f t="shared" si="44"/>
        <v>-1481161.2199999988</v>
      </c>
      <c r="E294" s="46"/>
      <c r="F294" s="46">
        <v>5154877.34</v>
      </c>
      <c r="G294" s="46">
        <v>4361346.96</v>
      </c>
      <c r="H294" s="46">
        <f t="shared" si="45"/>
        <v>-793530.37999999989</v>
      </c>
      <c r="I294" s="46"/>
      <c r="J294" s="46">
        <v>388745.4</v>
      </c>
      <c r="K294" s="46">
        <v>325099.09999999998</v>
      </c>
      <c r="L294" s="46">
        <f t="shared" si="46"/>
        <v>-63646.300000000047</v>
      </c>
      <c r="M294" s="46"/>
      <c r="N294" s="46">
        <v>2103530</v>
      </c>
      <c r="O294" s="46">
        <v>1620847.43</v>
      </c>
      <c r="P294" s="46">
        <f t="shared" si="47"/>
        <v>-482682.57000000007</v>
      </c>
      <c r="Q294" s="46"/>
      <c r="R294" s="46">
        <v>542061</v>
      </c>
      <c r="S294" s="46">
        <v>515043.95</v>
      </c>
      <c r="T294" s="46">
        <f t="shared" si="48"/>
        <v>-27017.049999999988</v>
      </c>
      <c r="U294" s="46"/>
      <c r="V294" s="46">
        <v>468462</v>
      </c>
      <c r="W294" s="46">
        <v>444592.7</v>
      </c>
      <c r="X294" s="46">
        <f t="shared" si="49"/>
        <v>-23869.299999999988</v>
      </c>
      <c r="Y294" s="46"/>
      <c r="Z294" s="46">
        <v>588893</v>
      </c>
      <c r="AA294" s="46">
        <v>437308</v>
      </c>
      <c r="AB294" s="46">
        <f t="shared" si="50"/>
        <v>-151585</v>
      </c>
      <c r="AC294" s="46"/>
      <c r="AD294" s="46">
        <v>627413.93999999994</v>
      </c>
      <c r="AE294" s="46">
        <v>633996.78</v>
      </c>
      <c r="AF294" s="46">
        <f t="shared" si="51"/>
        <v>6582.8400000000838</v>
      </c>
      <c r="AG294" s="46"/>
      <c r="AH294" s="46">
        <v>435772</v>
      </c>
      <c r="AI294" s="46">
        <v>384459</v>
      </c>
      <c r="AJ294" s="46">
        <f t="shared" si="52"/>
        <v>-51313</v>
      </c>
      <c r="AK294" s="46"/>
      <c r="AL294" s="46">
        <v>26872213</v>
      </c>
      <c r="AM294" s="46">
        <v>26334706.66</v>
      </c>
      <c r="AN294" s="46">
        <f t="shared" si="53"/>
        <v>-537506.33999999985</v>
      </c>
      <c r="AO294" s="46"/>
      <c r="AP294" s="46">
        <v>300299.84000000003</v>
      </c>
      <c r="AQ294" s="46">
        <v>152469.34</v>
      </c>
      <c r="AR294" s="46">
        <f t="shared" si="54"/>
        <v>-147830.50000000003</v>
      </c>
      <c r="AS294" s="46"/>
      <c r="AT294" s="47">
        <v>0</v>
      </c>
      <c r="AU294" s="47">
        <v>0</v>
      </c>
    </row>
    <row r="295" spans="1:47" x14ac:dyDescent="0.25">
      <c r="A295" s="35" t="s">
        <v>265</v>
      </c>
      <c r="B295" s="46">
        <v>5135220.12</v>
      </c>
      <c r="C295" s="46">
        <v>22171131.57</v>
      </c>
      <c r="D295" s="46">
        <f t="shared" si="44"/>
        <v>17035911.449999999</v>
      </c>
      <c r="E295" s="46"/>
      <c r="F295" s="46">
        <v>3665546.46</v>
      </c>
      <c r="G295" s="46">
        <v>18303050.579999998</v>
      </c>
      <c r="H295" s="46">
        <f t="shared" si="45"/>
        <v>14637504.119999997</v>
      </c>
      <c r="I295" s="46"/>
      <c r="J295" s="46">
        <v>2323880.31</v>
      </c>
      <c r="K295" s="46">
        <v>3078372.81</v>
      </c>
      <c r="L295" s="46">
        <f t="shared" si="46"/>
        <v>754492.5</v>
      </c>
      <c r="M295" s="46"/>
      <c r="N295" s="46">
        <v>189712.97</v>
      </c>
      <c r="O295" s="46">
        <v>4450470.6100000003</v>
      </c>
      <c r="P295" s="46">
        <f t="shared" si="47"/>
        <v>4260757.6400000006</v>
      </c>
      <c r="Q295" s="46"/>
      <c r="R295" s="46">
        <v>310886.7</v>
      </c>
      <c r="S295" s="46">
        <v>1847965.85</v>
      </c>
      <c r="T295" s="46">
        <f t="shared" si="48"/>
        <v>1537079.1500000001</v>
      </c>
      <c r="U295" s="46"/>
      <c r="V295" s="46">
        <v>169085.48</v>
      </c>
      <c r="W295" s="46">
        <v>237731.19</v>
      </c>
      <c r="X295" s="46">
        <f t="shared" si="49"/>
        <v>68645.709999999992</v>
      </c>
      <c r="Y295" s="46"/>
      <c r="Z295" s="46">
        <v>383199.1</v>
      </c>
      <c r="AA295" s="46">
        <v>4187459.35</v>
      </c>
      <c r="AB295" s="46">
        <f t="shared" si="50"/>
        <v>3804260.25</v>
      </c>
      <c r="AC295" s="46"/>
      <c r="AD295" s="46">
        <v>181067.92</v>
      </c>
      <c r="AE295" s="46">
        <v>3925146.94</v>
      </c>
      <c r="AF295" s="46">
        <f t="shared" si="51"/>
        <v>3744079.02</v>
      </c>
      <c r="AG295" s="46"/>
      <c r="AH295" s="46">
        <v>107713.98</v>
      </c>
      <c r="AI295" s="46">
        <v>575903.82999999996</v>
      </c>
      <c r="AJ295" s="46">
        <f t="shared" si="52"/>
        <v>468189.85</v>
      </c>
      <c r="AK295" s="46"/>
      <c r="AL295" s="46">
        <v>743487.21</v>
      </c>
      <c r="AM295" s="46">
        <v>1259208.9099999999</v>
      </c>
      <c r="AN295" s="46">
        <f t="shared" si="53"/>
        <v>515721.69999999995</v>
      </c>
      <c r="AO295" s="46"/>
      <c r="AP295" s="46">
        <v>800</v>
      </c>
      <c r="AQ295" s="46">
        <v>218364.27</v>
      </c>
      <c r="AR295" s="46">
        <f t="shared" si="54"/>
        <v>217564.27</v>
      </c>
      <c r="AS295" s="46"/>
      <c r="AT295" s="46">
        <v>725386.45</v>
      </c>
      <c r="AU295" s="46">
        <v>2390338.69</v>
      </c>
    </row>
    <row r="296" spans="1:47" ht="22.5" x14ac:dyDescent="0.25">
      <c r="A296" s="38" t="s">
        <v>266</v>
      </c>
      <c r="B296" s="46">
        <v>337684.36</v>
      </c>
      <c r="C296" s="46">
        <v>5046510.76</v>
      </c>
      <c r="D296" s="46">
        <f t="shared" si="44"/>
        <v>4708826.3999999994</v>
      </c>
      <c r="E296" s="46"/>
      <c r="F296" s="46">
        <v>288030.15999999997</v>
      </c>
      <c r="G296" s="46">
        <v>799820.24</v>
      </c>
      <c r="H296" s="46">
        <f t="shared" si="45"/>
        <v>511790.08000000002</v>
      </c>
      <c r="I296" s="46"/>
      <c r="J296" s="47">
        <v>0</v>
      </c>
      <c r="K296" s="47">
        <v>0</v>
      </c>
      <c r="L296" s="46">
        <f t="shared" si="46"/>
        <v>0</v>
      </c>
      <c r="M296" s="46"/>
      <c r="N296" s="47">
        <v>0</v>
      </c>
      <c r="O296" s="46">
        <v>12000</v>
      </c>
      <c r="P296" s="46">
        <f t="shared" si="47"/>
        <v>12000</v>
      </c>
      <c r="Q296" s="46"/>
      <c r="R296" s="47">
        <v>0</v>
      </c>
      <c r="S296" s="47">
        <v>0</v>
      </c>
      <c r="T296" s="46">
        <f t="shared" si="48"/>
        <v>0</v>
      </c>
      <c r="U296" s="46"/>
      <c r="V296" s="47">
        <v>0</v>
      </c>
      <c r="W296" s="46">
        <v>18326.27</v>
      </c>
      <c r="X296" s="46">
        <f t="shared" si="49"/>
        <v>18326.27</v>
      </c>
      <c r="Y296" s="46"/>
      <c r="Z296" s="46">
        <v>336330.16</v>
      </c>
      <c r="AA296" s="46">
        <v>773522.64</v>
      </c>
      <c r="AB296" s="46">
        <f t="shared" si="50"/>
        <v>437192.48000000004</v>
      </c>
      <c r="AC296" s="46"/>
      <c r="AD296" s="47">
        <v>0</v>
      </c>
      <c r="AE296" s="46">
        <v>25786.51</v>
      </c>
      <c r="AF296" s="46">
        <f t="shared" si="51"/>
        <v>25786.51</v>
      </c>
      <c r="AG296" s="46"/>
      <c r="AH296" s="46">
        <v>-48300</v>
      </c>
      <c r="AI296" s="46">
        <v>-29815.18</v>
      </c>
      <c r="AJ296" s="46">
        <f t="shared" si="52"/>
        <v>18484.82</v>
      </c>
      <c r="AK296" s="46"/>
      <c r="AL296" s="47">
        <v>0</v>
      </c>
      <c r="AM296" s="47">
        <v>0</v>
      </c>
      <c r="AN296" s="46">
        <f t="shared" si="53"/>
        <v>0</v>
      </c>
      <c r="AO296" s="46"/>
      <c r="AP296" s="46">
        <v>1354.2</v>
      </c>
      <c r="AQ296" s="46">
        <v>1354.2</v>
      </c>
      <c r="AR296" s="46">
        <f t="shared" si="54"/>
        <v>0</v>
      </c>
      <c r="AS296" s="46"/>
      <c r="AT296" s="46">
        <v>48300</v>
      </c>
      <c r="AU296" s="46">
        <v>4245336.32</v>
      </c>
    </row>
    <row r="297" spans="1:47" x14ac:dyDescent="0.25">
      <c r="A297" s="38" t="s">
        <v>254</v>
      </c>
      <c r="B297" s="46">
        <v>11004757.73</v>
      </c>
      <c r="C297" s="46">
        <v>31093766.760000002</v>
      </c>
      <c r="D297" s="46">
        <f t="shared" si="44"/>
        <v>20089009.030000001</v>
      </c>
      <c r="E297" s="46"/>
      <c r="F297" s="46">
        <v>4174559.09</v>
      </c>
      <c r="G297" s="46">
        <v>12871472.220000001</v>
      </c>
      <c r="H297" s="46">
        <f t="shared" si="45"/>
        <v>8696913.1300000008</v>
      </c>
      <c r="I297" s="46"/>
      <c r="J297" s="46">
        <v>211543.51</v>
      </c>
      <c r="K297" s="46">
        <v>341281.45</v>
      </c>
      <c r="L297" s="46">
        <f t="shared" si="46"/>
        <v>129737.94</v>
      </c>
      <c r="M297" s="46"/>
      <c r="N297" s="46">
        <v>2992314.12</v>
      </c>
      <c r="O297" s="46">
        <v>3177539.87</v>
      </c>
      <c r="P297" s="46">
        <f t="shared" si="47"/>
        <v>185225.75</v>
      </c>
      <c r="Q297" s="46"/>
      <c r="R297" s="46">
        <v>52176.12</v>
      </c>
      <c r="S297" s="46">
        <v>964281.01</v>
      </c>
      <c r="T297" s="46">
        <f t="shared" si="48"/>
        <v>912104.89</v>
      </c>
      <c r="U297" s="46"/>
      <c r="V297" s="46">
        <v>120896.58</v>
      </c>
      <c r="W297" s="46">
        <v>449185.11</v>
      </c>
      <c r="X297" s="46">
        <f t="shared" si="49"/>
        <v>328288.52999999997</v>
      </c>
      <c r="Y297" s="46"/>
      <c r="Z297" s="46">
        <v>185806.83</v>
      </c>
      <c r="AA297" s="46">
        <v>4866980.0199999996</v>
      </c>
      <c r="AB297" s="46">
        <f t="shared" si="50"/>
        <v>4681173.1899999995</v>
      </c>
      <c r="AC297" s="46"/>
      <c r="AD297" s="46">
        <v>229197.3</v>
      </c>
      <c r="AE297" s="46">
        <v>1369957.56</v>
      </c>
      <c r="AF297" s="46">
        <f t="shared" si="51"/>
        <v>1140760.26</v>
      </c>
      <c r="AG297" s="46"/>
      <c r="AH297" s="46">
        <v>382624.63</v>
      </c>
      <c r="AI297" s="46">
        <v>1702247.2</v>
      </c>
      <c r="AJ297" s="46">
        <f t="shared" si="52"/>
        <v>1319622.5699999998</v>
      </c>
      <c r="AK297" s="46"/>
      <c r="AL297" s="46">
        <v>2918684.47</v>
      </c>
      <c r="AM297" s="46">
        <v>4487068.83</v>
      </c>
      <c r="AN297" s="46">
        <f t="shared" si="53"/>
        <v>1568384.3599999999</v>
      </c>
      <c r="AO297" s="46"/>
      <c r="AP297" s="46">
        <v>17150.169999999998</v>
      </c>
      <c r="AQ297" s="46">
        <v>288610.65999999997</v>
      </c>
      <c r="AR297" s="46">
        <f t="shared" si="54"/>
        <v>271460.49</v>
      </c>
      <c r="AS297" s="46"/>
      <c r="AT297" s="46">
        <v>3212951.11</v>
      </c>
      <c r="AU297" s="46">
        <v>12867370.32</v>
      </c>
    </row>
    <row r="298" spans="1:47" x14ac:dyDescent="0.25">
      <c r="A298" s="38" t="s">
        <v>267</v>
      </c>
      <c r="B298" s="47">
        <v>0</v>
      </c>
      <c r="C298" s="46">
        <v>348984.71</v>
      </c>
      <c r="D298" s="46">
        <f t="shared" si="44"/>
        <v>348984.71</v>
      </c>
      <c r="E298" s="46"/>
      <c r="F298" s="47">
        <v>0</v>
      </c>
      <c r="G298" s="46">
        <v>348984.71</v>
      </c>
      <c r="H298" s="46">
        <f t="shared" si="45"/>
        <v>348984.71</v>
      </c>
      <c r="I298" s="46"/>
      <c r="J298" s="47">
        <v>0</v>
      </c>
      <c r="K298" s="47">
        <v>0</v>
      </c>
      <c r="L298" s="46">
        <f t="shared" si="46"/>
        <v>0</v>
      </c>
      <c r="M298" s="46"/>
      <c r="N298" s="47">
        <v>0</v>
      </c>
      <c r="O298" s="47">
        <v>0</v>
      </c>
      <c r="P298" s="46">
        <f t="shared" si="47"/>
        <v>0</v>
      </c>
      <c r="Q298" s="46"/>
      <c r="R298" s="47">
        <v>0</v>
      </c>
      <c r="S298" s="47">
        <v>0</v>
      </c>
      <c r="T298" s="46">
        <f t="shared" si="48"/>
        <v>0</v>
      </c>
      <c r="U298" s="46"/>
      <c r="V298" s="47">
        <v>0</v>
      </c>
      <c r="W298" s="47">
        <v>0</v>
      </c>
      <c r="X298" s="46">
        <f t="shared" si="49"/>
        <v>0</v>
      </c>
      <c r="Y298" s="46"/>
      <c r="Z298" s="47">
        <v>0</v>
      </c>
      <c r="AA298" s="47">
        <v>0</v>
      </c>
      <c r="AB298" s="46">
        <f t="shared" si="50"/>
        <v>0</v>
      </c>
      <c r="AC298" s="46"/>
      <c r="AD298" s="47">
        <v>0</v>
      </c>
      <c r="AE298" s="47">
        <v>0</v>
      </c>
      <c r="AF298" s="46">
        <f t="shared" si="51"/>
        <v>0</v>
      </c>
      <c r="AG298" s="46"/>
      <c r="AH298" s="47">
        <v>0</v>
      </c>
      <c r="AI298" s="46">
        <v>348984.71</v>
      </c>
      <c r="AJ298" s="46">
        <f t="shared" si="52"/>
        <v>348984.71</v>
      </c>
      <c r="AK298" s="46"/>
      <c r="AL298" s="47">
        <v>0</v>
      </c>
      <c r="AM298" s="47">
        <v>0</v>
      </c>
      <c r="AN298" s="46">
        <f t="shared" si="53"/>
        <v>0</v>
      </c>
      <c r="AO298" s="46"/>
      <c r="AP298" s="47">
        <v>0</v>
      </c>
      <c r="AQ298" s="47">
        <v>0</v>
      </c>
      <c r="AR298" s="46">
        <f t="shared" si="54"/>
        <v>0</v>
      </c>
      <c r="AS298" s="46"/>
      <c r="AT298" s="47">
        <v>0</v>
      </c>
      <c r="AU298" s="47">
        <v>0</v>
      </c>
    </row>
    <row r="299" spans="1:47" x14ac:dyDescent="0.25">
      <c r="A299" s="38" t="s">
        <v>58</v>
      </c>
      <c r="B299" s="46">
        <v>16936922.469999999</v>
      </c>
      <c r="C299" s="46">
        <v>29648974.210000001</v>
      </c>
      <c r="D299" s="46">
        <f t="shared" si="44"/>
        <v>12712051.740000002</v>
      </c>
      <c r="E299" s="46"/>
      <c r="F299" s="46">
        <v>3582457.49</v>
      </c>
      <c r="G299" s="46">
        <v>16657250.050000001</v>
      </c>
      <c r="H299" s="46">
        <f t="shared" si="45"/>
        <v>13074792.560000001</v>
      </c>
      <c r="I299" s="46"/>
      <c r="J299" s="46">
        <v>68392.679999999993</v>
      </c>
      <c r="K299" s="46">
        <v>248674.97</v>
      </c>
      <c r="L299" s="46">
        <f t="shared" si="46"/>
        <v>180282.29</v>
      </c>
      <c r="M299" s="46"/>
      <c r="N299" s="46">
        <v>2051975.65</v>
      </c>
      <c r="O299" s="46">
        <v>2434110.5</v>
      </c>
      <c r="P299" s="46">
        <f t="shared" si="47"/>
        <v>382134.85000000009</v>
      </c>
      <c r="Q299" s="46"/>
      <c r="R299" s="46">
        <v>262863.28999999998</v>
      </c>
      <c r="S299" s="46">
        <v>2828524.34</v>
      </c>
      <c r="T299" s="46">
        <f t="shared" si="48"/>
        <v>2565661.0499999998</v>
      </c>
      <c r="U299" s="46"/>
      <c r="V299" s="46">
        <v>5679.3</v>
      </c>
      <c r="W299" s="46">
        <v>21970.61</v>
      </c>
      <c r="X299" s="46">
        <f t="shared" si="49"/>
        <v>16291.310000000001</v>
      </c>
      <c r="Y299" s="46"/>
      <c r="Z299" s="46">
        <v>1167741.07</v>
      </c>
      <c r="AA299" s="46">
        <v>8780058.3599999994</v>
      </c>
      <c r="AB299" s="46">
        <f t="shared" si="50"/>
        <v>7612317.2899999991</v>
      </c>
      <c r="AC299" s="46"/>
      <c r="AD299" s="46">
        <v>25805.5</v>
      </c>
      <c r="AE299" s="46">
        <v>1418010.18</v>
      </c>
      <c r="AF299" s="46">
        <f t="shared" si="51"/>
        <v>1392204.68</v>
      </c>
      <c r="AG299" s="46"/>
      <c r="AH299" s="47">
        <v>0</v>
      </c>
      <c r="AI299" s="46">
        <v>925901.09</v>
      </c>
      <c r="AJ299" s="46">
        <f t="shared" si="52"/>
        <v>925901.09</v>
      </c>
      <c r="AK299" s="46"/>
      <c r="AL299" s="46">
        <v>13265548.67</v>
      </c>
      <c r="AM299" s="46">
        <v>10445137.449999999</v>
      </c>
      <c r="AN299" s="46">
        <f t="shared" si="53"/>
        <v>-2820411.2200000007</v>
      </c>
      <c r="AO299" s="46"/>
      <c r="AP299" s="46">
        <v>88916.31</v>
      </c>
      <c r="AQ299" s="46">
        <v>1693702.79</v>
      </c>
      <c r="AR299" s="46">
        <f t="shared" si="54"/>
        <v>1604786.48</v>
      </c>
      <c r="AS299" s="46"/>
      <c r="AT299" s="47">
        <v>0</v>
      </c>
      <c r="AU299" s="46">
        <v>852883.92</v>
      </c>
    </row>
    <row r="300" spans="1:47" x14ac:dyDescent="0.25">
      <c r="A300" s="38" t="s">
        <v>268</v>
      </c>
      <c r="B300" s="46">
        <v>33630401.859999999</v>
      </c>
      <c r="C300" s="46">
        <v>30591916.629999999</v>
      </c>
      <c r="D300" s="46">
        <f t="shared" si="44"/>
        <v>-3038485.2300000004</v>
      </c>
      <c r="E300" s="46"/>
      <c r="F300" s="46">
        <v>0</v>
      </c>
      <c r="G300" s="46">
        <v>7116.04</v>
      </c>
      <c r="H300" s="46">
        <f t="shared" si="45"/>
        <v>7116.04</v>
      </c>
      <c r="I300" s="46"/>
      <c r="J300" s="46">
        <v>0</v>
      </c>
      <c r="K300" s="46">
        <v>0</v>
      </c>
      <c r="L300" s="46">
        <f t="shared" si="46"/>
        <v>0</v>
      </c>
      <c r="M300" s="46"/>
      <c r="N300" s="46">
        <v>0</v>
      </c>
      <c r="O300" s="46">
        <v>-3333.96</v>
      </c>
      <c r="P300" s="46">
        <f t="shared" si="47"/>
        <v>-3333.96</v>
      </c>
      <c r="Q300" s="46"/>
      <c r="R300" s="46">
        <v>0</v>
      </c>
      <c r="S300" s="46">
        <v>0</v>
      </c>
      <c r="T300" s="46">
        <f t="shared" si="48"/>
        <v>0</v>
      </c>
      <c r="U300" s="46"/>
      <c r="V300" s="46">
        <v>0</v>
      </c>
      <c r="W300" s="46">
        <v>0</v>
      </c>
      <c r="X300" s="46">
        <f t="shared" si="49"/>
        <v>0</v>
      </c>
      <c r="Y300" s="46"/>
      <c r="Z300" s="46">
        <v>0</v>
      </c>
      <c r="AA300" s="46">
        <v>10450</v>
      </c>
      <c r="AB300" s="46">
        <f t="shared" si="50"/>
        <v>10450</v>
      </c>
      <c r="AC300" s="46"/>
      <c r="AD300" s="46">
        <v>0</v>
      </c>
      <c r="AE300" s="46">
        <v>0</v>
      </c>
      <c r="AF300" s="46">
        <f t="shared" si="51"/>
        <v>0</v>
      </c>
      <c r="AG300" s="46"/>
      <c r="AH300" s="46">
        <v>0</v>
      </c>
      <c r="AI300" s="46">
        <v>0</v>
      </c>
      <c r="AJ300" s="46">
        <f t="shared" si="52"/>
        <v>0</v>
      </c>
      <c r="AK300" s="46"/>
      <c r="AL300" s="46">
        <v>0</v>
      </c>
      <c r="AM300" s="46">
        <v>-112278.6</v>
      </c>
      <c r="AN300" s="46">
        <f t="shared" si="53"/>
        <v>-112278.6</v>
      </c>
      <c r="AO300" s="46"/>
      <c r="AP300" s="46">
        <v>0</v>
      </c>
      <c r="AQ300" s="46">
        <v>0</v>
      </c>
      <c r="AR300" s="46">
        <f t="shared" si="54"/>
        <v>0</v>
      </c>
      <c r="AS300" s="46"/>
      <c r="AT300" s="46">
        <v>33630401.859999999</v>
      </c>
      <c r="AU300" s="46">
        <v>30697079.190000001</v>
      </c>
    </row>
    <row r="301" spans="1:47" ht="22.5" x14ac:dyDescent="0.25">
      <c r="A301" s="38" t="s">
        <v>269</v>
      </c>
      <c r="B301" s="47">
        <v>0</v>
      </c>
      <c r="C301" s="47">
        <v>0</v>
      </c>
      <c r="D301" s="47">
        <f t="shared" si="44"/>
        <v>0</v>
      </c>
      <c r="E301" s="47"/>
      <c r="F301" s="47">
        <v>0</v>
      </c>
      <c r="G301" s="47">
        <v>0</v>
      </c>
      <c r="H301" s="47">
        <f t="shared" si="45"/>
        <v>0</v>
      </c>
      <c r="I301" s="47"/>
      <c r="J301" s="47">
        <v>0</v>
      </c>
      <c r="K301" s="47">
        <v>0</v>
      </c>
      <c r="L301" s="47">
        <f t="shared" si="46"/>
        <v>0</v>
      </c>
      <c r="M301" s="47"/>
      <c r="N301" s="47">
        <v>0</v>
      </c>
      <c r="O301" s="47">
        <v>0</v>
      </c>
      <c r="P301" s="47">
        <f t="shared" si="47"/>
        <v>0</v>
      </c>
      <c r="Q301" s="47"/>
      <c r="R301" s="47">
        <v>0</v>
      </c>
      <c r="S301" s="47">
        <v>0</v>
      </c>
      <c r="T301" s="47">
        <f t="shared" si="48"/>
        <v>0</v>
      </c>
      <c r="U301" s="47"/>
      <c r="V301" s="47">
        <v>0</v>
      </c>
      <c r="W301" s="47">
        <v>0</v>
      </c>
      <c r="X301" s="47">
        <f t="shared" si="49"/>
        <v>0</v>
      </c>
      <c r="Y301" s="47"/>
      <c r="Z301" s="47">
        <v>0</v>
      </c>
      <c r="AA301" s="47">
        <v>0</v>
      </c>
      <c r="AB301" s="47">
        <f t="shared" si="50"/>
        <v>0</v>
      </c>
      <c r="AC301" s="47"/>
      <c r="AD301" s="47">
        <v>0</v>
      </c>
      <c r="AE301" s="47">
        <v>0</v>
      </c>
      <c r="AF301" s="47">
        <f t="shared" si="51"/>
        <v>0</v>
      </c>
      <c r="AG301" s="47"/>
      <c r="AH301" s="47">
        <v>0</v>
      </c>
      <c r="AI301" s="47">
        <v>0</v>
      </c>
      <c r="AJ301" s="47">
        <f t="shared" si="52"/>
        <v>0</v>
      </c>
      <c r="AK301" s="47"/>
      <c r="AL301" s="47">
        <v>0</v>
      </c>
      <c r="AM301" s="47">
        <v>0</v>
      </c>
      <c r="AN301" s="47">
        <f t="shared" si="53"/>
        <v>0</v>
      </c>
      <c r="AO301" s="47"/>
      <c r="AP301" s="47">
        <v>0</v>
      </c>
      <c r="AQ301" s="47">
        <v>0</v>
      </c>
      <c r="AR301" s="47">
        <f t="shared" si="54"/>
        <v>0</v>
      </c>
      <c r="AS301" s="47"/>
      <c r="AT301" s="47">
        <v>0</v>
      </c>
      <c r="AU301" s="47">
        <v>0</v>
      </c>
    </row>
    <row r="302" spans="1:47" ht="22.5" x14ac:dyDescent="0.25">
      <c r="A302" s="38" t="s">
        <v>270</v>
      </c>
      <c r="B302" s="47">
        <v>0</v>
      </c>
      <c r="C302" s="47">
        <v>0</v>
      </c>
      <c r="D302" s="47">
        <f t="shared" si="44"/>
        <v>0</v>
      </c>
      <c r="E302" s="47"/>
      <c r="F302" s="47">
        <v>0</v>
      </c>
      <c r="G302" s="47">
        <v>0</v>
      </c>
      <c r="H302" s="47">
        <f t="shared" si="45"/>
        <v>0</v>
      </c>
      <c r="I302" s="47"/>
      <c r="J302" s="47">
        <v>0</v>
      </c>
      <c r="K302" s="47">
        <v>0</v>
      </c>
      <c r="L302" s="47">
        <f t="shared" si="46"/>
        <v>0</v>
      </c>
      <c r="M302" s="47"/>
      <c r="N302" s="47">
        <v>0</v>
      </c>
      <c r="O302" s="47">
        <v>0</v>
      </c>
      <c r="P302" s="47">
        <f t="shared" si="47"/>
        <v>0</v>
      </c>
      <c r="Q302" s="47"/>
      <c r="R302" s="47">
        <v>0</v>
      </c>
      <c r="S302" s="47">
        <v>0</v>
      </c>
      <c r="T302" s="47">
        <f t="shared" si="48"/>
        <v>0</v>
      </c>
      <c r="U302" s="47"/>
      <c r="V302" s="47">
        <v>0</v>
      </c>
      <c r="W302" s="47">
        <v>0</v>
      </c>
      <c r="X302" s="47">
        <f t="shared" si="49"/>
        <v>0</v>
      </c>
      <c r="Y302" s="47"/>
      <c r="Z302" s="47">
        <v>0</v>
      </c>
      <c r="AA302" s="47">
        <v>0</v>
      </c>
      <c r="AB302" s="47">
        <f t="shared" si="50"/>
        <v>0</v>
      </c>
      <c r="AC302" s="47"/>
      <c r="AD302" s="47">
        <v>0</v>
      </c>
      <c r="AE302" s="47">
        <v>0</v>
      </c>
      <c r="AF302" s="47">
        <f t="shared" si="51"/>
        <v>0</v>
      </c>
      <c r="AG302" s="47"/>
      <c r="AH302" s="47">
        <v>0</v>
      </c>
      <c r="AI302" s="47">
        <v>0</v>
      </c>
      <c r="AJ302" s="47">
        <f t="shared" si="52"/>
        <v>0</v>
      </c>
      <c r="AK302" s="47"/>
      <c r="AL302" s="47">
        <v>0</v>
      </c>
      <c r="AM302" s="47">
        <v>0</v>
      </c>
      <c r="AN302" s="47">
        <f t="shared" si="53"/>
        <v>0</v>
      </c>
      <c r="AO302" s="47"/>
      <c r="AP302" s="47">
        <v>0</v>
      </c>
      <c r="AQ302" s="47">
        <v>0</v>
      </c>
      <c r="AR302" s="47">
        <f t="shared" si="54"/>
        <v>0</v>
      </c>
      <c r="AS302" s="47"/>
      <c r="AT302" s="47">
        <v>0</v>
      </c>
      <c r="AU302" s="47">
        <v>0</v>
      </c>
    </row>
    <row r="303" spans="1:47" ht="22.5" x14ac:dyDescent="0.25">
      <c r="A303" s="38" t="s">
        <v>271</v>
      </c>
      <c r="B303" s="47">
        <v>0</v>
      </c>
      <c r="C303" s="47">
        <v>0</v>
      </c>
      <c r="D303" s="47">
        <f t="shared" si="44"/>
        <v>0</v>
      </c>
      <c r="E303" s="47"/>
      <c r="F303" s="47">
        <v>0</v>
      </c>
      <c r="G303" s="47">
        <v>0</v>
      </c>
      <c r="H303" s="47">
        <f t="shared" si="45"/>
        <v>0</v>
      </c>
      <c r="I303" s="47"/>
      <c r="J303" s="47">
        <v>0</v>
      </c>
      <c r="K303" s="47">
        <v>0</v>
      </c>
      <c r="L303" s="47">
        <f t="shared" si="46"/>
        <v>0</v>
      </c>
      <c r="M303" s="47"/>
      <c r="N303" s="47">
        <v>0</v>
      </c>
      <c r="O303" s="47">
        <v>0</v>
      </c>
      <c r="P303" s="47">
        <f t="shared" si="47"/>
        <v>0</v>
      </c>
      <c r="Q303" s="47"/>
      <c r="R303" s="47">
        <v>0</v>
      </c>
      <c r="S303" s="47">
        <v>0</v>
      </c>
      <c r="T303" s="47">
        <f t="shared" si="48"/>
        <v>0</v>
      </c>
      <c r="U303" s="47"/>
      <c r="V303" s="47">
        <v>0</v>
      </c>
      <c r="W303" s="47">
        <v>0</v>
      </c>
      <c r="X303" s="47">
        <f t="shared" si="49"/>
        <v>0</v>
      </c>
      <c r="Y303" s="47"/>
      <c r="Z303" s="47">
        <v>0</v>
      </c>
      <c r="AA303" s="47">
        <v>0</v>
      </c>
      <c r="AB303" s="47">
        <f t="shared" si="50"/>
        <v>0</v>
      </c>
      <c r="AC303" s="47"/>
      <c r="AD303" s="47">
        <v>0</v>
      </c>
      <c r="AE303" s="47">
        <v>0</v>
      </c>
      <c r="AF303" s="47">
        <f t="shared" si="51"/>
        <v>0</v>
      </c>
      <c r="AG303" s="47"/>
      <c r="AH303" s="47">
        <v>0</v>
      </c>
      <c r="AI303" s="47">
        <v>0</v>
      </c>
      <c r="AJ303" s="47">
        <f t="shared" si="52"/>
        <v>0</v>
      </c>
      <c r="AK303" s="47"/>
      <c r="AL303" s="47">
        <v>0</v>
      </c>
      <c r="AM303" s="47">
        <v>0</v>
      </c>
      <c r="AN303" s="47">
        <f t="shared" si="53"/>
        <v>0</v>
      </c>
      <c r="AO303" s="47"/>
      <c r="AP303" s="47">
        <v>0</v>
      </c>
      <c r="AQ303" s="47">
        <v>0</v>
      </c>
      <c r="AR303" s="47">
        <f t="shared" si="54"/>
        <v>0</v>
      </c>
      <c r="AS303" s="47"/>
      <c r="AT303" s="47">
        <v>0</v>
      </c>
      <c r="AU303" s="47">
        <v>0</v>
      </c>
    </row>
    <row r="304" spans="1:47" x14ac:dyDescent="0.25">
      <c r="A304" s="38" t="s">
        <v>272</v>
      </c>
      <c r="B304" s="47">
        <v>0</v>
      </c>
      <c r="C304" s="47">
        <v>0</v>
      </c>
      <c r="D304" s="47">
        <f t="shared" si="44"/>
        <v>0</v>
      </c>
      <c r="E304" s="47"/>
      <c r="F304" s="47">
        <v>0</v>
      </c>
      <c r="G304" s="47">
        <v>0</v>
      </c>
      <c r="H304" s="47">
        <f t="shared" si="45"/>
        <v>0</v>
      </c>
      <c r="I304" s="47"/>
      <c r="J304" s="47">
        <v>0</v>
      </c>
      <c r="K304" s="47">
        <v>0</v>
      </c>
      <c r="L304" s="47">
        <f t="shared" si="46"/>
        <v>0</v>
      </c>
      <c r="M304" s="47"/>
      <c r="N304" s="47">
        <v>0</v>
      </c>
      <c r="O304" s="47">
        <v>0</v>
      </c>
      <c r="P304" s="47">
        <f t="shared" si="47"/>
        <v>0</v>
      </c>
      <c r="Q304" s="47"/>
      <c r="R304" s="47">
        <v>0</v>
      </c>
      <c r="S304" s="47">
        <v>0</v>
      </c>
      <c r="T304" s="47">
        <f t="shared" si="48"/>
        <v>0</v>
      </c>
      <c r="U304" s="47"/>
      <c r="V304" s="47">
        <v>0</v>
      </c>
      <c r="W304" s="47">
        <v>0</v>
      </c>
      <c r="X304" s="47">
        <f t="shared" si="49"/>
        <v>0</v>
      </c>
      <c r="Y304" s="47"/>
      <c r="Z304" s="47">
        <v>0</v>
      </c>
      <c r="AA304" s="47">
        <v>0</v>
      </c>
      <c r="AB304" s="47">
        <f t="shared" si="50"/>
        <v>0</v>
      </c>
      <c r="AC304" s="47"/>
      <c r="AD304" s="47">
        <v>0</v>
      </c>
      <c r="AE304" s="47">
        <v>0</v>
      </c>
      <c r="AF304" s="47">
        <f t="shared" si="51"/>
        <v>0</v>
      </c>
      <c r="AG304" s="47"/>
      <c r="AH304" s="47">
        <v>0</v>
      </c>
      <c r="AI304" s="47">
        <v>0</v>
      </c>
      <c r="AJ304" s="47">
        <f t="shared" si="52"/>
        <v>0</v>
      </c>
      <c r="AK304" s="47"/>
      <c r="AL304" s="47">
        <v>0</v>
      </c>
      <c r="AM304" s="47">
        <v>0</v>
      </c>
      <c r="AN304" s="47">
        <f t="shared" si="53"/>
        <v>0</v>
      </c>
      <c r="AO304" s="47"/>
      <c r="AP304" s="47">
        <v>0</v>
      </c>
      <c r="AQ304" s="47">
        <v>0</v>
      </c>
      <c r="AR304" s="47">
        <f t="shared" si="54"/>
        <v>0</v>
      </c>
      <c r="AS304" s="47"/>
      <c r="AT304" s="47">
        <v>0</v>
      </c>
      <c r="AU304" s="47">
        <v>0</v>
      </c>
    </row>
    <row r="305" spans="1:47" x14ac:dyDescent="0.25">
      <c r="A305" s="41" t="s">
        <v>273</v>
      </c>
      <c r="B305" s="46">
        <v>14204842.140000001</v>
      </c>
      <c r="C305" s="46">
        <v>-42576540.710000001</v>
      </c>
      <c r="D305" s="46">
        <f t="shared" si="44"/>
        <v>-56781382.850000001</v>
      </c>
      <c r="E305" s="46"/>
      <c r="F305" s="46">
        <v>272394383.17000002</v>
      </c>
      <c r="G305" s="46">
        <v>220504071.19999999</v>
      </c>
      <c r="H305" s="46">
        <f t="shared" si="45"/>
        <v>-51890311.970000029</v>
      </c>
      <c r="I305" s="46"/>
      <c r="J305" s="46">
        <v>64601839.75</v>
      </c>
      <c r="K305" s="46">
        <v>57490092.539999999</v>
      </c>
      <c r="L305" s="46">
        <f t="shared" si="46"/>
        <v>-7111747.2100000009</v>
      </c>
      <c r="M305" s="46"/>
      <c r="N305" s="46">
        <v>75288009.019999996</v>
      </c>
      <c r="O305" s="46">
        <v>64652975.810000002</v>
      </c>
      <c r="P305" s="46">
        <f t="shared" si="47"/>
        <v>-10635033.209999993</v>
      </c>
      <c r="Q305" s="46"/>
      <c r="R305" s="46">
        <v>25168702.170000002</v>
      </c>
      <c r="S305" s="46">
        <v>13312360.810000001</v>
      </c>
      <c r="T305" s="46">
        <f t="shared" si="48"/>
        <v>-11856341.360000001</v>
      </c>
      <c r="U305" s="46"/>
      <c r="V305" s="46">
        <v>25139012.219999999</v>
      </c>
      <c r="W305" s="46">
        <v>16465871.85</v>
      </c>
      <c r="X305" s="46">
        <f t="shared" si="49"/>
        <v>-8673140.3699999992</v>
      </c>
      <c r="Y305" s="46"/>
      <c r="Z305" s="46">
        <v>44190682.840000004</v>
      </c>
      <c r="AA305" s="46">
        <v>41345783.439999998</v>
      </c>
      <c r="AB305" s="46">
        <f t="shared" si="50"/>
        <v>-2844899.400000006</v>
      </c>
      <c r="AC305" s="46"/>
      <c r="AD305" s="46">
        <v>18868291.629999999</v>
      </c>
      <c r="AE305" s="46">
        <v>14243392.140000001</v>
      </c>
      <c r="AF305" s="46">
        <f t="shared" si="51"/>
        <v>-4624899.4899999984</v>
      </c>
      <c r="AG305" s="46"/>
      <c r="AH305" s="46">
        <v>19137845.539999999</v>
      </c>
      <c r="AI305" s="46">
        <v>12993594.609999999</v>
      </c>
      <c r="AJ305" s="46">
        <f t="shared" si="52"/>
        <v>-6144250.9299999997</v>
      </c>
      <c r="AK305" s="46"/>
      <c r="AL305" s="46">
        <v>-974276.22</v>
      </c>
      <c r="AM305" s="46">
        <v>3039257.55</v>
      </c>
      <c r="AN305" s="46">
        <f t="shared" si="53"/>
        <v>4013533.7699999996</v>
      </c>
      <c r="AO305" s="46"/>
      <c r="AP305" s="46">
        <v>2757844.33</v>
      </c>
      <c r="AQ305" s="46">
        <v>-3923035.38</v>
      </c>
      <c r="AR305" s="46">
        <f t="shared" si="54"/>
        <v>-6680879.71</v>
      </c>
      <c r="AS305" s="46"/>
      <c r="AT305" s="46">
        <v>-243172698.18000001</v>
      </c>
      <c r="AU305" s="46">
        <v>-255157151.83000001</v>
      </c>
    </row>
    <row r="306" spans="1:47" x14ac:dyDescent="0.25">
      <c r="A306" s="41" t="s">
        <v>274</v>
      </c>
      <c r="B306" s="46">
        <v>4853.53</v>
      </c>
      <c r="C306" s="46">
        <v>22530.639999999999</v>
      </c>
      <c r="D306" s="46">
        <f t="shared" si="44"/>
        <v>17677.11</v>
      </c>
      <c r="E306" s="46"/>
      <c r="F306" s="46">
        <v>4835.53</v>
      </c>
      <c r="G306" s="46">
        <v>22487.919999999998</v>
      </c>
      <c r="H306" s="46">
        <f t="shared" si="45"/>
        <v>17652.39</v>
      </c>
      <c r="I306" s="46"/>
      <c r="J306" s="47">
        <v>0</v>
      </c>
      <c r="K306" s="46">
        <v>246.62</v>
      </c>
      <c r="L306" s="46">
        <f t="shared" si="46"/>
        <v>246.62</v>
      </c>
      <c r="M306" s="46"/>
      <c r="N306" s="47">
        <v>0</v>
      </c>
      <c r="O306" s="47">
        <v>0</v>
      </c>
      <c r="P306" s="46">
        <f t="shared" si="47"/>
        <v>0</v>
      </c>
      <c r="Q306" s="46"/>
      <c r="R306" s="47">
        <v>0</v>
      </c>
      <c r="S306" s="46">
        <v>-78.59</v>
      </c>
      <c r="T306" s="46">
        <f t="shared" si="48"/>
        <v>-78.59</v>
      </c>
      <c r="U306" s="46"/>
      <c r="V306" s="46">
        <v>3000</v>
      </c>
      <c r="W306" s="46">
        <v>11360</v>
      </c>
      <c r="X306" s="46">
        <f t="shared" si="49"/>
        <v>8360</v>
      </c>
      <c r="Y306" s="46"/>
      <c r="Z306" s="46">
        <v>1500</v>
      </c>
      <c r="AA306" s="46">
        <v>9903.4</v>
      </c>
      <c r="AB306" s="46">
        <f t="shared" si="50"/>
        <v>8403.4</v>
      </c>
      <c r="AC306" s="46"/>
      <c r="AD306" s="46">
        <v>0.01</v>
      </c>
      <c r="AE306" s="46">
        <v>510.01</v>
      </c>
      <c r="AF306" s="46">
        <f t="shared" si="51"/>
        <v>510</v>
      </c>
      <c r="AG306" s="46"/>
      <c r="AH306" s="46">
        <v>335.52</v>
      </c>
      <c r="AI306" s="46">
        <v>546.48</v>
      </c>
      <c r="AJ306" s="46">
        <f t="shared" si="52"/>
        <v>210.96000000000004</v>
      </c>
      <c r="AK306" s="46"/>
      <c r="AL306" s="47">
        <v>0</v>
      </c>
      <c r="AM306" s="47">
        <v>0</v>
      </c>
      <c r="AN306" s="46">
        <f t="shared" si="53"/>
        <v>0</v>
      </c>
      <c r="AO306" s="46"/>
      <c r="AP306" s="47">
        <v>0</v>
      </c>
      <c r="AQ306" s="47">
        <v>0</v>
      </c>
      <c r="AR306" s="46">
        <f t="shared" si="54"/>
        <v>0</v>
      </c>
      <c r="AS306" s="46"/>
      <c r="AT306" s="47">
        <v>0</v>
      </c>
      <c r="AU306" s="47">
        <v>0</v>
      </c>
    </row>
    <row r="307" spans="1:47" x14ac:dyDescent="0.25">
      <c r="A307" s="42" t="s">
        <v>6</v>
      </c>
      <c r="B307" s="43">
        <v>34056420.340000004</v>
      </c>
      <c r="C307" s="43">
        <v>5637582.3499999996</v>
      </c>
      <c r="D307" s="43">
        <f t="shared" si="44"/>
        <v>-28418837.990000002</v>
      </c>
      <c r="E307" s="43"/>
      <c r="F307" s="43">
        <v>1065558667.62</v>
      </c>
      <c r="G307" s="43">
        <v>886559073.89999998</v>
      </c>
      <c r="H307" s="43">
        <f t="shared" si="45"/>
        <v>-178999593.72000003</v>
      </c>
      <c r="I307" s="43"/>
      <c r="J307" s="43">
        <v>254271575.37</v>
      </c>
      <c r="K307" s="43">
        <v>229248088.55000001</v>
      </c>
      <c r="L307" s="43">
        <f t="shared" si="46"/>
        <v>-25023486.819999993</v>
      </c>
      <c r="M307" s="43"/>
      <c r="N307" s="43">
        <v>300949612.10000002</v>
      </c>
      <c r="O307" s="43">
        <v>254693728.84</v>
      </c>
      <c r="P307" s="43">
        <f t="shared" si="47"/>
        <v>-46255883.26000002</v>
      </c>
      <c r="Q307" s="43"/>
      <c r="R307" s="43">
        <v>96381576.129999995</v>
      </c>
      <c r="S307" s="43">
        <v>53421127.109999999</v>
      </c>
      <c r="T307" s="43">
        <f t="shared" si="48"/>
        <v>-42960449.019999996</v>
      </c>
      <c r="U307" s="43"/>
      <c r="V307" s="43">
        <v>96410220.519999996</v>
      </c>
      <c r="W307" s="43">
        <v>66399486.990000002</v>
      </c>
      <c r="X307" s="43">
        <f t="shared" si="49"/>
        <v>-30010733.529999994</v>
      </c>
      <c r="Y307" s="43"/>
      <c r="Z307" s="43">
        <v>189026631.15000001</v>
      </c>
      <c r="AA307" s="43">
        <v>182789147.13999999</v>
      </c>
      <c r="AB307" s="43">
        <f t="shared" si="50"/>
        <v>-6237484.0100000203</v>
      </c>
      <c r="AC307" s="43"/>
      <c r="AD307" s="43">
        <v>62273521.68</v>
      </c>
      <c r="AE307" s="43">
        <v>51265553.039999999</v>
      </c>
      <c r="AF307" s="43">
        <f t="shared" si="51"/>
        <v>-11007968.640000001</v>
      </c>
      <c r="AG307" s="43"/>
      <c r="AH307" s="43">
        <v>66245530.670000002</v>
      </c>
      <c r="AI307" s="43">
        <v>48741942.229999997</v>
      </c>
      <c r="AJ307" s="43">
        <f t="shared" si="52"/>
        <v>-17503588.440000005</v>
      </c>
      <c r="AK307" s="43"/>
      <c r="AL307" s="43">
        <v>644559.23</v>
      </c>
      <c r="AM307" s="43">
        <v>33848564.369999997</v>
      </c>
      <c r="AN307" s="43">
        <f t="shared" si="53"/>
        <v>33204005.139999997</v>
      </c>
      <c r="AO307" s="43"/>
      <c r="AP307" s="43">
        <v>9539795.3800000008</v>
      </c>
      <c r="AQ307" s="43">
        <v>-21651147.07</v>
      </c>
      <c r="AR307" s="43">
        <f t="shared" si="54"/>
        <v>-31190942.450000003</v>
      </c>
      <c r="AS307" s="43"/>
      <c r="AT307" s="43">
        <v>-974304411.70000005</v>
      </c>
      <c r="AU307" s="43">
        <v>-864800581.23000002</v>
      </c>
    </row>
    <row r="309" spans="1:47" x14ac:dyDescent="0.25">
      <c r="A309" s="32" t="s">
        <v>118</v>
      </c>
      <c r="B309" s="44">
        <f>B119</f>
        <v>11124679567.130001</v>
      </c>
      <c r="C309" s="44">
        <f>C119</f>
        <v>10205543612.209999</v>
      </c>
      <c r="D309" s="44">
        <f>D119</f>
        <v>-919135954.92000198</v>
      </c>
      <c r="E309" s="44">
        <f>C309/B309*100-100</f>
        <v>-8.2621341978762644</v>
      </c>
      <c r="F309" s="44">
        <f>F119</f>
        <v>6614622159.1000004</v>
      </c>
      <c r="G309" s="44">
        <f>G119</f>
        <v>6237588262.8400002</v>
      </c>
      <c r="H309" s="44">
        <f>H119</f>
        <v>-377033896.26000023</v>
      </c>
      <c r="I309" s="44">
        <f t="shared" ref="I309:I318" si="55">G309/F309*100-100</f>
        <v>-5.7000065489953897</v>
      </c>
      <c r="J309" s="44">
        <f>J119</f>
        <v>833590019.97000003</v>
      </c>
      <c r="K309" s="44">
        <f>K119</f>
        <v>793691022.74000001</v>
      </c>
      <c r="L309" s="44">
        <f>L119</f>
        <v>-39898997.230000019</v>
      </c>
      <c r="M309" s="44">
        <f t="shared" ref="M309:M318" si="56">K309/J309*100-100</f>
        <v>-4.7864053400538467</v>
      </c>
      <c r="N309" s="44">
        <f>N119</f>
        <v>1502531379.46</v>
      </c>
      <c r="O309" s="44">
        <f>O119</f>
        <v>1393857788.4899998</v>
      </c>
      <c r="P309" s="44">
        <f>P119</f>
        <v>-108673590.97000027</v>
      </c>
      <c r="Q309" s="44">
        <f t="shared" ref="Q309:Q318" si="57">O309/N309*100-100</f>
        <v>-7.2327002587497873</v>
      </c>
      <c r="R309" s="44">
        <f>R119</f>
        <v>713958766.54999995</v>
      </c>
      <c r="S309" s="44">
        <f>S119</f>
        <v>654604532.85000002</v>
      </c>
      <c r="T309" s="44">
        <f>T119</f>
        <v>-59354233.699999928</v>
      </c>
      <c r="U309" s="44">
        <f t="shared" ref="U309:U318" si="58">S309/R309*100-100</f>
        <v>-8.3133979833054212</v>
      </c>
      <c r="V309" s="44">
        <f>V119</f>
        <v>828869864.01999998</v>
      </c>
      <c r="W309" s="44">
        <f>W119</f>
        <v>724996916.25999999</v>
      </c>
      <c r="X309" s="44">
        <f>X119</f>
        <v>-103872947.75999999</v>
      </c>
      <c r="Y309" s="44">
        <f t="shared" ref="Y309:Y318" si="59">W309/V309*100-100</f>
        <v>-12.53187650667121</v>
      </c>
      <c r="Z309" s="44">
        <f>Z119</f>
        <v>1075261900.5899999</v>
      </c>
      <c r="AA309" s="44">
        <f>AA119</f>
        <v>1045449528.15</v>
      </c>
      <c r="AB309" s="44">
        <f>AB119</f>
        <v>-29812372.439999938</v>
      </c>
      <c r="AC309" s="44">
        <f t="shared" ref="AC309:AC318" si="60">AA309/Z309*100-100</f>
        <v>-2.7725684713316667</v>
      </c>
      <c r="AD309" s="44">
        <f>AD119</f>
        <v>935803773.17999995</v>
      </c>
      <c r="AE309" s="44">
        <f>AE119</f>
        <v>924150119.80999994</v>
      </c>
      <c r="AF309" s="44">
        <f>AF119</f>
        <v>-11653653.370000005</v>
      </c>
      <c r="AG309" s="44">
        <f t="shared" ref="AG309:AG318" si="61">AE309/AD309*100-100</f>
        <v>-1.2453095086803501</v>
      </c>
      <c r="AH309" s="44">
        <f>AH119</f>
        <v>724606455.33000004</v>
      </c>
      <c r="AI309" s="44">
        <f>AI119</f>
        <v>700838354.53999996</v>
      </c>
      <c r="AJ309" s="44">
        <f>AJ119</f>
        <v>-23768100.790000081</v>
      </c>
      <c r="AK309" s="44">
        <f t="shared" ref="AK309:AK318" si="62">AI309/AH309*100-100</f>
        <v>-3.2801392556150546</v>
      </c>
      <c r="AL309" s="44">
        <f>AL119</f>
        <v>2133397292.46</v>
      </c>
      <c r="AM309" s="44">
        <f>AM119</f>
        <v>2041793549.1500001</v>
      </c>
      <c r="AN309" s="44">
        <f>AN119</f>
        <v>-91603743.309999943</v>
      </c>
      <c r="AO309" s="44">
        <f t="shared" ref="AO309:AO318" si="63">AM309/AL309*100-100</f>
        <v>-4.2937967360206244</v>
      </c>
      <c r="AP309" s="44">
        <f>AP119</f>
        <v>652783886.08000004</v>
      </c>
      <c r="AQ309" s="44">
        <f>AQ119</f>
        <v>604899720.66999996</v>
      </c>
      <c r="AR309" s="44">
        <f>AR119</f>
        <v>-47884165.410000086</v>
      </c>
      <c r="AS309" s="44">
        <f t="shared" ref="AS309:AS318" si="64">AQ309/AP309*100-100</f>
        <v>-7.3353779759403892</v>
      </c>
      <c r="AT309" s="44">
        <f>AT119</f>
        <v>1629228668.76</v>
      </c>
      <c r="AU309" s="44">
        <f>AU119</f>
        <v>1283284165.3399999</v>
      </c>
    </row>
    <row r="310" spans="1:47" x14ac:dyDescent="0.25">
      <c r="A310" s="38" t="s">
        <v>379</v>
      </c>
      <c r="B310" s="47">
        <f>B209+B121</f>
        <v>1020496464.4299999</v>
      </c>
      <c r="C310" s="47">
        <f>C209+C121</f>
        <v>984976241.88999999</v>
      </c>
      <c r="D310" s="47">
        <f t="shared" ref="D310:D318" si="65">C310-B310</f>
        <v>-35520222.539999962</v>
      </c>
      <c r="E310" s="44">
        <f t="shared" ref="E310:E318" si="66">C310/B310*100-100</f>
        <v>-3.4806806077314292</v>
      </c>
      <c r="F310" s="47">
        <f>F209+F121</f>
        <v>806106346.92000008</v>
      </c>
      <c r="G310" s="47">
        <f>G209+G121</f>
        <v>763191981.07000005</v>
      </c>
      <c r="H310" s="47">
        <f t="shared" ref="H310:H318" si="67">G310-F310</f>
        <v>-42914365.850000024</v>
      </c>
      <c r="I310" s="44">
        <f t="shared" si="55"/>
        <v>-5.3236605832429831</v>
      </c>
      <c r="J310" s="47">
        <f>J209+J121</f>
        <v>120433064.81</v>
      </c>
      <c r="K310" s="47">
        <f>K209+K121</f>
        <v>115058455.86</v>
      </c>
      <c r="L310" s="47">
        <f t="shared" ref="L310:L318" si="68">K310-J310</f>
        <v>-5374608.950000003</v>
      </c>
      <c r="M310" s="44">
        <f t="shared" si="56"/>
        <v>-4.4627353447155116</v>
      </c>
      <c r="N310" s="47">
        <f>N209+N121</f>
        <v>126402101.68000001</v>
      </c>
      <c r="O310" s="47">
        <f>O209+O121</f>
        <v>133451055.75</v>
      </c>
      <c r="P310" s="47">
        <f t="shared" ref="P310:P318" si="69">O310-N310</f>
        <v>7048954.0699999928</v>
      </c>
      <c r="Q310" s="44">
        <f t="shared" si="57"/>
        <v>5.5766114457852467</v>
      </c>
      <c r="R310" s="47">
        <f>R209+R121</f>
        <v>98849466.670000002</v>
      </c>
      <c r="S310" s="47">
        <f>S209+S121</f>
        <v>98946301.519999996</v>
      </c>
      <c r="T310" s="47">
        <f t="shared" ref="T310:T318" si="70">S310-R310</f>
        <v>96834.84999999404</v>
      </c>
      <c r="U310" s="44">
        <f t="shared" si="58"/>
        <v>9.7961934709545062E-2</v>
      </c>
      <c r="V310" s="47">
        <f>V209+V121</f>
        <v>111266515.84</v>
      </c>
      <c r="W310" s="47">
        <f>W209+W121</f>
        <v>90667528.88000001</v>
      </c>
      <c r="X310" s="47">
        <f t="shared" ref="X310:X318" si="71">W310-V310</f>
        <v>-20598986.959999993</v>
      </c>
      <c r="Y310" s="44">
        <f t="shared" si="59"/>
        <v>-18.513194921660983</v>
      </c>
      <c r="Z310" s="47">
        <f>Z209+Z121</f>
        <v>182455509.72</v>
      </c>
      <c r="AA310" s="47">
        <f>AA209+AA121</f>
        <v>163031740.09</v>
      </c>
      <c r="AB310" s="47">
        <f t="shared" ref="AB310:AB318" si="72">AA310-Z310</f>
        <v>-19423769.629999995</v>
      </c>
      <c r="AC310" s="44">
        <f t="shared" si="60"/>
        <v>-10.645756688744626</v>
      </c>
      <c r="AD310" s="47">
        <f>AD209+AD121</f>
        <v>121740477.48999999</v>
      </c>
      <c r="AE310" s="47">
        <f>AE209+AE121</f>
        <v>123174413.38</v>
      </c>
      <c r="AF310" s="47">
        <f t="shared" ref="AF310:AF318" si="73">AE310-AD310</f>
        <v>1433935.8900000006</v>
      </c>
      <c r="AG310" s="44">
        <f t="shared" si="61"/>
        <v>1.1778628764765386</v>
      </c>
      <c r="AH310" s="47">
        <f>AH209+AH121</f>
        <v>44959210.710000001</v>
      </c>
      <c r="AI310" s="47">
        <f>AI209+AI121</f>
        <v>38862485.590000004</v>
      </c>
      <c r="AJ310" s="47">
        <f t="shared" ref="AJ310:AJ318" si="74">AI310-AH310</f>
        <v>-6096725.1199999973</v>
      </c>
      <c r="AK310" s="44">
        <f t="shared" si="62"/>
        <v>-13.560569733587286</v>
      </c>
      <c r="AL310" s="47">
        <f>AL209+AL121</f>
        <v>182930985.75999999</v>
      </c>
      <c r="AM310" s="47">
        <f>AM209+AM121</f>
        <v>186243020.86000001</v>
      </c>
      <c r="AN310" s="47">
        <f t="shared" ref="AN310:AN318" si="75">AM310-AL310</f>
        <v>3312035.1000000238</v>
      </c>
      <c r="AO310" s="44">
        <f t="shared" si="63"/>
        <v>1.8105380486744309</v>
      </c>
      <c r="AP310" s="47">
        <f>AP209+AP121</f>
        <v>29291631.599999998</v>
      </c>
      <c r="AQ310" s="47">
        <f>AQ209+AQ121</f>
        <v>25173986.219999999</v>
      </c>
      <c r="AR310" s="47">
        <f t="shared" ref="AR310:AR318" si="76">AQ310-AP310</f>
        <v>-4117645.379999999</v>
      </c>
      <c r="AS310" s="44">
        <f t="shared" si="64"/>
        <v>-14.057412151803788</v>
      </c>
      <c r="AT310" s="47">
        <f>AT209+AT121</f>
        <v>2148462.9300000002</v>
      </c>
      <c r="AU310" s="47">
        <f>AU209+AU121</f>
        <v>10348281.75</v>
      </c>
    </row>
    <row r="311" spans="1:47" x14ac:dyDescent="0.25">
      <c r="A311" s="38" t="s">
        <v>380</v>
      </c>
      <c r="B311" s="47">
        <f>B147</f>
        <v>1499409978.23</v>
      </c>
      <c r="C311" s="47">
        <f>C147</f>
        <v>1311043105.1199999</v>
      </c>
      <c r="D311" s="47">
        <f t="shared" si="65"/>
        <v>-188366873.11000013</v>
      </c>
      <c r="E311" s="44">
        <f t="shared" si="66"/>
        <v>-12.562733064665906</v>
      </c>
      <c r="F311" s="47">
        <f>F147</f>
        <v>821914063.59000003</v>
      </c>
      <c r="G311" s="47">
        <f>G147</f>
        <v>811379321.72000003</v>
      </c>
      <c r="H311" s="47">
        <f t="shared" si="67"/>
        <v>-10534741.870000005</v>
      </c>
      <c r="I311" s="44">
        <f t="shared" si="55"/>
        <v>-1.2817327670469325</v>
      </c>
      <c r="J311" s="47">
        <f>J147</f>
        <v>25821915.379999999</v>
      </c>
      <c r="K311" s="47">
        <f>K147</f>
        <v>26655499.219999999</v>
      </c>
      <c r="L311" s="47">
        <f t="shared" si="68"/>
        <v>833583.83999999985</v>
      </c>
      <c r="M311" s="44">
        <f t="shared" si="56"/>
        <v>3.2282029730669848</v>
      </c>
      <c r="N311" s="47">
        <f>N147</f>
        <v>355933664.01999998</v>
      </c>
      <c r="O311" s="47">
        <f>O147</f>
        <v>341761252.69</v>
      </c>
      <c r="P311" s="47">
        <f t="shared" si="69"/>
        <v>-14172411.329999983</v>
      </c>
      <c r="Q311" s="44">
        <f t="shared" si="57"/>
        <v>-3.9817563671649907</v>
      </c>
      <c r="R311" s="47">
        <f>R147</f>
        <v>23640006.170000002</v>
      </c>
      <c r="S311" s="47">
        <f>S147</f>
        <v>19816947.780000001</v>
      </c>
      <c r="T311" s="47">
        <f t="shared" si="70"/>
        <v>-3823058.3900000006</v>
      </c>
      <c r="U311" s="44">
        <f t="shared" si="58"/>
        <v>-16.171985584553681</v>
      </c>
      <c r="V311" s="47">
        <f>V147</f>
        <v>81086563.909999996</v>
      </c>
      <c r="W311" s="47">
        <f>W147</f>
        <v>66767930.18</v>
      </c>
      <c r="X311" s="47">
        <f t="shared" si="71"/>
        <v>-14318633.729999997</v>
      </c>
      <c r="Y311" s="44">
        <f t="shared" si="59"/>
        <v>-17.658454174840372</v>
      </c>
      <c r="Z311" s="47">
        <f>Z147</f>
        <v>146720299.05000001</v>
      </c>
      <c r="AA311" s="47">
        <f>AA147</f>
        <v>159512198.22999999</v>
      </c>
      <c r="AB311" s="47">
        <f t="shared" si="72"/>
        <v>12791899.179999977</v>
      </c>
      <c r="AC311" s="44">
        <f t="shared" si="60"/>
        <v>8.7185612780414914</v>
      </c>
      <c r="AD311" s="47">
        <f>AD147</f>
        <v>72565934.489999995</v>
      </c>
      <c r="AE311" s="47">
        <f>AE147</f>
        <v>76437648.060000002</v>
      </c>
      <c r="AF311" s="47">
        <f t="shared" si="73"/>
        <v>3871713.5700000077</v>
      </c>
      <c r="AG311" s="44">
        <f t="shared" si="61"/>
        <v>5.3354423080344162</v>
      </c>
      <c r="AH311" s="47">
        <f>AH147</f>
        <v>116145680.56999999</v>
      </c>
      <c r="AI311" s="47">
        <f>AI147</f>
        <v>120427845.56</v>
      </c>
      <c r="AJ311" s="47">
        <f t="shared" si="74"/>
        <v>4282164.9900000095</v>
      </c>
      <c r="AK311" s="44">
        <f t="shared" si="62"/>
        <v>3.6868912980532116</v>
      </c>
      <c r="AL311" s="47">
        <f>AL147</f>
        <v>206305217.53999999</v>
      </c>
      <c r="AM311" s="47">
        <f>AM147</f>
        <v>217573397.22999999</v>
      </c>
      <c r="AN311" s="47">
        <f t="shared" si="75"/>
        <v>11268179.689999998</v>
      </c>
      <c r="AO311" s="44">
        <f t="shared" si="63"/>
        <v>5.4618975827963396</v>
      </c>
      <c r="AP311" s="47">
        <f>AP147</f>
        <v>123043106.59999999</v>
      </c>
      <c r="AQ311" s="47">
        <f>AQ147</f>
        <v>100254045.95999999</v>
      </c>
      <c r="AR311" s="47">
        <f t="shared" si="76"/>
        <v>-22789060.640000001</v>
      </c>
      <c r="AS311" s="44">
        <f t="shared" si="64"/>
        <v>-18.521200634249908</v>
      </c>
      <c r="AT311" s="47">
        <f>AT147</f>
        <v>348147590.5</v>
      </c>
      <c r="AU311" s="47">
        <f>AU147</f>
        <v>181836340.21000001</v>
      </c>
    </row>
    <row r="312" spans="1:47" x14ac:dyDescent="0.25">
      <c r="A312" s="38" t="s">
        <v>382</v>
      </c>
      <c r="B312" s="47">
        <f>B274+B190+B175</f>
        <v>6120033413.5200005</v>
      </c>
      <c r="C312" s="47">
        <f>C274+C190+C175</f>
        <v>5645462498.7299995</v>
      </c>
      <c r="D312" s="47">
        <f t="shared" si="65"/>
        <v>-474570914.79000092</v>
      </c>
      <c r="E312" s="44">
        <f t="shared" si="66"/>
        <v>-7.7543843754448716</v>
      </c>
      <c r="F312" s="47">
        <f>F274+F190+F175</f>
        <v>3804988483.5399995</v>
      </c>
      <c r="G312" s="47">
        <f>G274+G190+G175</f>
        <v>3484647365.6900001</v>
      </c>
      <c r="H312" s="47">
        <f t="shared" si="67"/>
        <v>-320341117.84999943</v>
      </c>
      <c r="I312" s="44">
        <f t="shared" si="55"/>
        <v>-8.4189773303063333</v>
      </c>
      <c r="J312" s="47">
        <f>J274+J190+J175</f>
        <v>528289546.25999999</v>
      </c>
      <c r="K312" s="47">
        <f>K274+K190+K175</f>
        <v>491995684.89999998</v>
      </c>
      <c r="L312" s="47">
        <f t="shared" si="68"/>
        <v>-36293861.360000014</v>
      </c>
      <c r="M312" s="44">
        <f t="shared" si="56"/>
        <v>-6.8700699487507535</v>
      </c>
      <c r="N312" s="47">
        <f>N274+N190+N175</f>
        <v>767517742.12</v>
      </c>
      <c r="O312" s="47">
        <f>O274+O190+O175</f>
        <v>682383833.13</v>
      </c>
      <c r="P312" s="47">
        <f t="shared" si="69"/>
        <v>-85133908.99000001</v>
      </c>
      <c r="Q312" s="44">
        <f t="shared" si="57"/>
        <v>-11.092109578450561</v>
      </c>
      <c r="R312" s="47">
        <f>R274+R190+R175</f>
        <v>460284633.64999998</v>
      </c>
      <c r="S312" s="47">
        <f>S274+S190+S175</f>
        <v>409068436.51999998</v>
      </c>
      <c r="T312" s="47">
        <f t="shared" si="70"/>
        <v>-51216197.129999995</v>
      </c>
      <c r="U312" s="44">
        <f t="shared" si="58"/>
        <v>-11.127070813522906</v>
      </c>
      <c r="V312" s="47">
        <f>V274+V190+V175</f>
        <v>473599697.51999998</v>
      </c>
      <c r="W312" s="47">
        <f>W274+W190+W175</f>
        <v>415176050.25999999</v>
      </c>
      <c r="X312" s="47">
        <f t="shared" si="71"/>
        <v>-58423647.25999999</v>
      </c>
      <c r="Y312" s="44">
        <f t="shared" si="59"/>
        <v>-12.336082046913205</v>
      </c>
      <c r="Z312" s="47">
        <f>Z274+Z190+Z175</f>
        <v>547154763.25</v>
      </c>
      <c r="AA312" s="47">
        <f>AA274+AA190+AA175</f>
        <v>508599753.69</v>
      </c>
      <c r="AB312" s="47">
        <f t="shared" si="72"/>
        <v>-38555009.560000002</v>
      </c>
      <c r="AC312" s="44">
        <f t="shared" si="60"/>
        <v>-7.0464541569537431</v>
      </c>
      <c r="AD312" s="47">
        <f>AD274+AD190+AD175</f>
        <v>570078105.09000003</v>
      </c>
      <c r="AE312" s="47">
        <f>AE274+AE190+AE175</f>
        <v>540586765.78999996</v>
      </c>
      <c r="AF312" s="47">
        <f t="shared" si="73"/>
        <v>-29491339.300000072</v>
      </c>
      <c r="AG312" s="44">
        <f t="shared" si="61"/>
        <v>-5.1732103086723811</v>
      </c>
      <c r="AH312" s="47">
        <f>AH274+AH190+AH175</f>
        <v>458063995.64999998</v>
      </c>
      <c r="AI312" s="47">
        <f>AI274+AI190+AI175</f>
        <v>436836841.39999998</v>
      </c>
      <c r="AJ312" s="47">
        <f t="shared" si="74"/>
        <v>-21227154.25</v>
      </c>
      <c r="AK312" s="44">
        <f t="shared" si="62"/>
        <v>-4.6341023201088518</v>
      </c>
      <c r="AL312" s="47">
        <f>AL274+AL190+AL175</f>
        <v>1433366702.72</v>
      </c>
      <c r="AM312" s="47">
        <f>AM274+AM190+AM175</f>
        <v>1363583795.78</v>
      </c>
      <c r="AN312" s="47">
        <f t="shared" si="75"/>
        <v>-69782906.940000057</v>
      </c>
      <c r="AO312" s="44">
        <f t="shared" si="63"/>
        <v>-4.8684615602956285</v>
      </c>
      <c r="AP312" s="47">
        <f>AP274+AP190+AP175</f>
        <v>405453363.02999997</v>
      </c>
      <c r="AQ312" s="47">
        <f>AQ274+AQ190+AQ175</f>
        <v>348977626.26999998</v>
      </c>
      <c r="AR312" s="47">
        <f t="shared" si="76"/>
        <v>-56475736.75999999</v>
      </c>
      <c r="AS312" s="44">
        <f t="shared" si="64"/>
        <v>-13.929033992454833</v>
      </c>
      <c r="AT312" s="47">
        <f>AT274+AT190+AT175</f>
        <v>419793476.13</v>
      </c>
      <c r="AU312" s="47">
        <f>AU274+AU190+AU175</f>
        <v>417812033.55000001</v>
      </c>
    </row>
    <row r="313" spans="1:47" x14ac:dyDescent="0.25">
      <c r="A313" s="48" t="s">
        <v>381</v>
      </c>
      <c r="B313" s="47">
        <f>B175</f>
        <v>3727993996.1400003</v>
      </c>
      <c r="C313" s="47">
        <f>C175</f>
        <v>3616506407.6799998</v>
      </c>
      <c r="D313" s="47">
        <f t="shared" si="65"/>
        <v>-111487588.46000051</v>
      </c>
      <c r="E313" s="44">
        <f t="shared" si="66"/>
        <v>-2.9905517169672322</v>
      </c>
      <c r="F313" s="47">
        <f>F175</f>
        <v>2468637431.8599997</v>
      </c>
      <c r="G313" s="47">
        <f>G175</f>
        <v>2317969445.3099999</v>
      </c>
      <c r="H313" s="47">
        <f t="shared" si="67"/>
        <v>-150667986.54999971</v>
      </c>
      <c r="I313" s="44">
        <f t="shared" si="55"/>
        <v>-6.1032853429788076</v>
      </c>
      <c r="J313" s="47">
        <f>J175</f>
        <v>342820911.75999999</v>
      </c>
      <c r="K313" s="47">
        <f>K175</f>
        <v>321287502.17000002</v>
      </c>
      <c r="L313" s="47">
        <f t="shared" si="68"/>
        <v>-21533409.589999974</v>
      </c>
      <c r="M313" s="44">
        <f t="shared" si="56"/>
        <v>-6.2812415612134345</v>
      </c>
      <c r="N313" s="47">
        <f>N175</f>
        <v>478865727.44999999</v>
      </c>
      <c r="O313" s="47">
        <f>O175</f>
        <v>444791768.93000001</v>
      </c>
      <c r="P313" s="47">
        <f t="shared" si="69"/>
        <v>-34073958.519999981</v>
      </c>
      <c r="Q313" s="44">
        <f t="shared" si="57"/>
        <v>-7.115555899447358</v>
      </c>
      <c r="R313" s="47">
        <f>R175</f>
        <v>301706678.85000002</v>
      </c>
      <c r="S313" s="47">
        <f>S175</f>
        <v>270942572.26999998</v>
      </c>
      <c r="T313" s="47">
        <f t="shared" si="70"/>
        <v>-30764106.580000043</v>
      </c>
      <c r="U313" s="44">
        <f t="shared" si="58"/>
        <v>-10.196693920486624</v>
      </c>
      <c r="V313" s="47">
        <f>V175</f>
        <v>299992627.75999999</v>
      </c>
      <c r="W313" s="47">
        <f>W175</f>
        <v>270607494.75999999</v>
      </c>
      <c r="X313" s="47">
        <f t="shared" si="71"/>
        <v>-29385133</v>
      </c>
      <c r="Y313" s="44">
        <f t="shared" si="59"/>
        <v>-9.7952850439740473</v>
      </c>
      <c r="Z313" s="47">
        <f>Z175</f>
        <v>360315509.05000001</v>
      </c>
      <c r="AA313" s="47">
        <f>AA175</f>
        <v>340679935.55000001</v>
      </c>
      <c r="AB313" s="47">
        <f t="shared" si="72"/>
        <v>-19635573.5</v>
      </c>
      <c r="AC313" s="44">
        <f t="shared" si="60"/>
        <v>-5.4495499102358167</v>
      </c>
      <c r="AD313" s="47">
        <f>AD175</f>
        <v>396901276.41000003</v>
      </c>
      <c r="AE313" s="47">
        <f>AE175</f>
        <v>385646590.37</v>
      </c>
      <c r="AF313" s="47">
        <f t="shared" si="73"/>
        <v>-11254686.040000021</v>
      </c>
      <c r="AG313" s="44">
        <f t="shared" si="61"/>
        <v>-2.8356386610291224</v>
      </c>
      <c r="AH313" s="47">
        <f>AH175</f>
        <v>288034700.57999998</v>
      </c>
      <c r="AI313" s="47">
        <f>AI175</f>
        <v>284013581.25999999</v>
      </c>
      <c r="AJ313" s="47">
        <f t="shared" si="74"/>
        <v>-4021119.3199999928</v>
      </c>
      <c r="AK313" s="44">
        <f t="shared" si="62"/>
        <v>-1.3960537782089659</v>
      </c>
      <c r="AL313" s="47">
        <f>AL175</f>
        <v>1014639588.62</v>
      </c>
      <c r="AM313" s="47">
        <f>AM175</f>
        <v>1065895874.92</v>
      </c>
      <c r="AN313" s="47">
        <f t="shared" si="75"/>
        <v>51256286.299999952</v>
      </c>
      <c r="AO313" s="44">
        <f t="shared" si="63"/>
        <v>5.0516741979004678</v>
      </c>
      <c r="AP313" s="47">
        <f>AP175</f>
        <v>239592542.69999999</v>
      </c>
      <c r="AQ313" s="47">
        <f>AQ175</f>
        <v>227734467.30000001</v>
      </c>
      <c r="AR313" s="47">
        <f t="shared" si="76"/>
        <v>-11858075.399999976</v>
      </c>
      <c r="AS313" s="44">
        <f t="shared" si="64"/>
        <v>-4.9492673129012132</v>
      </c>
      <c r="AT313" s="47">
        <f>AT175</f>
        <v>844941.96</v>
      </c>
      <c r="AU313" s="47">
        <f>AU175</f>
        <v>2522655.6800000002</v>
      </c>
    </row>
    <row r="314" spans="1:47" x14ac:dyDescent="0.25">
      <c r="A314" s="48" t="s">
        <v>383</v>
      </c>
      <c r="B314" s="47">
        <f>B274</f>
        <v>2065251696.4099998</v>
      </c>
      <c r="C314" s="47">
        <f>C274</f>
        <v>1764221675.2499998</v>
      </c>
      <c r="D314" s="47">
        <f t="shared" si="65"/>
        <v>-301030021.16000009</v>
      </c>
      <c r="E314" s="44">
        <f t="shared" si="66"/>
        <v>-14.575948378750951</v>
      </c>
      <c r="F314" s="47">
        <f>F274</f>
        <v>1143899717.8</v>
      </c>
      <c r="G314" s="47">
        <f>G274</f>
        <v>1003338670.5</v>
      </c>
      <c r="H314" s="47">
        <f t="shared" si="67"/>
        <v>-140561047.29999995</v>
      </c>
      <c r="I314" s="44">
        <f t="shared" si="55"/>
        <v>-12.28788198062793</v>
      </c>
      <c r="J314" s="47">
        <f>J274</f>
        <v>158190443.46000001</v>
      </c>
      <c r="K314" s="47">
        <f>K274</f>
        <v>146952826.75999999</v>
      </c>
      <c r="L314" s="47">
        <f t="shared" si="68"/>
        <v>-11237616.700000018</v>
      </c>
      <c r="M314" s="44">
        <f t="shared" si="56"/>
        <v>-7.1038530863222178</v>
      </c>
      <c r="N314" s="47">
        <f>N274</f>
        <v>242083586.84999999</v>
      </c>
      <c r="O314" s="47">
        <f>O274</f>
        <v>197520730.81</v>
      </c>
      <c r="P314" s="47">
        <f t="shared" si="69"/>
        <v>-44562856.039999992</v>
      </c>
      <c r="Q314" s="44">
        <f t="shared" si="57"/>
        <v>-18.408045179705653</v>
      </c>
      <c r="R314" s="47">
        <f>R274</f>
        <v>138735871.47999999</v>
      </c>
      <c r="S314" s="47">
        <f>S274</f>
        <v>122887322.16</v>
      </c>
      <c r="T314" s="47">
        <f t="shared" si="70"/>
        <v>-15848549.319999993</v>
      </c>
      <c r="U314" s="44">
        <f t="shared" si="58"/>
        <v>-11.423541115164809</v>
      </c>
      <c r="V314" s="47">
        <f>V274</f>
        <v>147999278.65000001</v>
      </c>
      <c r="W314" s="47">
        <f>W274</f>
        <v>124756659.84999999</v>
      </c>
      <c r="X314" s="47">
        <f t="shared" si="71"/>
        <v>-23242618.800000012</v>
      </c>
      <c r="Y314" s="44">
        <f t="shared" si="59"/>
        <v>-15.704548705920345</v>
      </c>
      <c r="Z314" s="47">
        <f>Z274</f>
        <v>158520182.75999999</v>
      </c>
      <c r="AA314" s="47">
        <f>AA274</f>
        <v>142659302.97999999</v>
      </c>
      <c r="AB314" s="47">
        <f t="shared" si="72"/>
        <v>-15860879.780000001</v>
      </c>
      <c r="AC314" s="44">
        <f t="shared" si="60"/>
        <v>-10.005590142432169</v>
      </c>
      <c r="AD314" s="47">
        <f>AD274</f>
        <v>147041873.68000001</v>
      </c>
      <c r="AE314" s="47">
        <f>AE274</f>
        <v>133227065.54000001</v>
      </c>
      <c r="AF314" s="47">
        <f t="shared" si="73"/>
        <v>-13814808.140000001</v>
      </c>
      <c r="AG314" s="44">
        <f t="shared" si="61"/>
        <v>-9.3951524108462365</v>
      </c>
      <c r="AH314" s="47">
        <f>AH274</f>
        <v>151328480.91999999</v>
      </c>
      <c r="AI314" s="47">
        <f>AI274</f>
        <v>135334762.40000001</v>
      </c>
      <c r="AJ314" s="47">
        <f t="shared" si="74"/>
        <v>-15993718.519999981</v>
      </c>
      <c r="AK314" s="44">
        <f t="shared" si="62"/>
        <v>-10.568875351663038</v>
      </c>
      <c r="AL314" s="47">
        <f>AL274</f>
        <v>391033251.32999998</v>
      </c>
      <c r="AM314" s="47">
        <f>AM274</f>
        <v>267765150.31</v>
      </c>
      <c r="AN314" s="47">
        <f t="shared" si="75"/>
        <v>-123268101.01999998</v>
      </c>
      <c r="AO314" s="44">
        <f t="shared" si="63"/>
        <v>-31.523687717281064</v>
      </c>
      <c r="AP314" s="47">
        <f>AP274</f>
        <v>133148601.2</v>
      </c>
      <c r="AQ314" s="47">
        <f>AQ274</f>
        <v>95423648.230000004</v>
      </c>
      <c r="AR314" s="47">
        <f t="shared" si="76"/>
        <v>-37724952.969999999</v>
      </c>
      <c r="AS314" s="44">
        <f t="shared" si="64"/>
        <v>-28.332969802164172</v>
      </c>
      <c r="AT314" s="47">
        <f>AT274</f>
        <v>345018228.98000002</v>
      </c>
      <c r="AU314" s="47">
        <f>AU274</f>
        <v>369636493.24000001</v>
      </c>
    </row>
    <row r="315" spans="1:47" x14ac:dyDescent="0.25">
      <c r="A315" s="48" t="s">
        <v>384</v>
      </c>
      <c r="B315" s="47">
        <f>B190</f>
        <v>326787720.97000003</v>
      </c>
      <c r="C315" s="47">
        <f>C190</f>
        <v>264734415.80000001</v>
      </c>
      <c r="D315" s="47">
        <f t="shared" si="65"/>
        <v>-62053305.170000017</v>
      </c>
      <c r="E315" s="44">
        <f t="shared" si="66"/>
        <v>-18.988872955754871</v>
      </c>
      <c r="F315" s="47">
        <f>F190</f>
        <v>192451333.88</v>
      </c>
      <c r="G315" s="47">
        <f>G190</f>
        <v>163339249.88</v>
      </c>
      <c r="H315" s="47">
        <f t="shared" si="67"/>
        <v>-29112084</v>
      </c>
      <c r="I315" s="44">
        <f t="shared" si="55"/>
        <v>-15.126984787828164</v>
      </c>
      <c r="J315" s="47">
        <f>J190</f>
        <v>27278191.039999999</v>
      </c>
      <c r="K315" s="47">
        <f>K190</f>
        <v>23755355.969999999</v>
      </c>
      <c r="L315" s="47">
        <f t="shared" si="68"/>
        <v>-3522835.0700000003</v>
      </c>
      <c r="M315" s="44">
        <f t="shared" si="56"/>
        <v>-12.914474661586652</v>
      </c>
      <c r="N315" s="47">
        <f>N190</f>
        <v>46568427.82</v>
      </c>
      <c r="O315" s="47">
        <f>O190</f>
        <v>40071333.390000001</v>
      </c>
      <c r="P315" s="47">
        <f t="shared" si="69"/>
        <v>-6497094.4299999997</v>
      </c>
      <c r="Q315" s="44">
        <f t="shared" si="57"/>
        <v>-13.951715215967965</v>
      </c>
      <c r="R315" s="47">
        <f>R190</f>
        <v>19842083.32</v>
      </c>
      <c r="S315" s="47">
        <f>S190</f>
        <v>15238542.09</v>
      </c>
      <c r="T315" s="47">
        <f t="shared" si="70"/>
        <v>-4603541.2300000004</v>
      </c>
      <c r="U315" s="44">
        <f t="shared" si="58"/>
        <v>-23.200896578031305</v>
      </c>
      <c r="V315" s="47">
        <f>V190</f>
        <v>25607791.109999999</v>
      </c>
      <c r="W315" s="47">
        <f>W190</f>
        <v>19811895.649999999</v>
      </c>
      <c r="X315" s="47">
        <f t="shared" si="71"/>
        <v>-5795895.4600000009</v>
      </c>
      <c r="Y315" s="44">
        <f t="shared" si="59"/>
        <v>-22.633328408152579</v>
      </c>
      <c r="Z315" s="47">
        <f>Z190</f>
        <v>28319071.440000001</v>
      </c>
      <c r="AA315" s="47">
        <f>AA190</f>
        <v>25260515.16</v>
      </c>
      <c r="AB315" s="47">
        <f t="shared" si="72"/>
        <v>-3058556.2800000012</v>
      </c>
      <c r="AC315" s="44">
        <f t="shared" si="60"/>
        <v>-10.800340987451534</v>
      </c>
      <c r="AD315" s="47">
        <f>AD190</f>
        <v>26134955</v>
      </c>
      <c r="AE315" s="47">
        <f>AE190</f>
        <v>21713109.879999999</v>
      </c>
      <c r="AF315" s="47">
        <f t="shared" si="73"/>
        <v>-4421845.120000001</v>
      </c>
      <c r="AG315" s="44">
        <f t="shared" si="61"/>
        <v>-16.919275812795547</v>
      </c>
      <c r="AH315" s="47">
        <f>AH190</f>
        <v>18700814.149999999</v>
      </c>
      <c r="AI315" s="47">
        <f>AI190</f>
        <v>17488497.739999998</v>
      </c>
      <c r="AJ315" s="47">
        <f t="shared" si="74"/>
        <v>-1212316.4100000001</v>
      </c>
      <c r="AK315" s="44">
        <f t="shared" si="62"/>
        <v>-6.482693214722957</v>
      </c>
      <c r="AL315" s="47">
        <f>AL190</f>
        <v>27693862.77</v>
      </c>
      <c r="AM315" s="47">
        <f>AM190</f>
        <v>29922770.550000001</v>
      </c>
      <c r="AN315" s="47">
        <f t="shared" si="75"/>
        <v>2228907.7800000012</v>
      </c>
      <c r="AO315" s="44">
        <f t="shared" si="63"/>
        <v>8.0483816884314052</v>
      </c>
      <c r="AP315" s="47">
        <f>AP190</f>
        <v>32712219.129999999</v>
      </c>
      <c r="AQ315" s="47">
        <f>AQ190</f>
        <v>25819510.739999998</v>
      </c>
      <c r="AR315" s="47">
        <f t="shared" si="76"/>
        <v>-6892708.3900000006</v>
      </c>
      <c r="AS315" s="44">
        <f t="shared" si="64"/>
        <v>-21.070745346281853</v>
      </c>
      <c r="AT315" s="47">
        <f>AT190</f>
        <v>73930305.189999998</v>
      </c>
      <c r="AU315" s="47">
        <f>AU190</f>
        <v>45652884.630000003</v>
      </c>
    </row>
    <row r="316" spans="1:47" x14ac:dyDescent="0.25">
      <c r="A316" s="38" t="s">
        <v>385</v>
      </c>
      <c r="B316" s="47">
        <f>B273+B189+B174</f>
        <v>210927042.34999999</v>
      </c>
      <c r="C316" s="47">
        <f>C273+C189+C174</f>
        <v>211080392.12</v>
      </c>
      <c r="D316" s="47">
        <f t="shared" si="65"/>
        <v>153349.77000001073</v>
      </c>
      <c r="E316" s="44">
        <f t="shared" si="66"/>
        <v>7.2702754607220754E-2</v>
      </c>
      <c r="F316" s="47">
        <f>F273+F189+F174</f>
        <v>182321868.68000001</v>
      </c>
      <c r="G316" s="47">
        <f>G273+G189+G174</f>
        <v>187765877.61000001</v>
      </c>
      <c r="H316" s="47">
        <f t="shared" si="67"/>
        <v>5444008.9300000072</v>
      </c>
      <c r="I316" s="44">
        <f t="shared" si="55"/>
        <v>2.985933047644977</v>
      </c>
      <c r="J316" s="47">
        <f>J273+J189+J174</f>
        <v>26697054.389999997</v>
      </c>
      <c r="K316" s="47">
        <f>K273+K189+K174</f>
        <v>30434651.130000003</v>
      </c>
      <c r="L316" s="47">
        <f t="shared" si="68"/>
        <v>3737596.7400000058</v>
      </c>
      <c r="M316" s="44">
        <f t="shared" si="56"/>
        <v>14.000034181299071</v>
      </c>
      <c r="N316" s="47">
        <f>N273+N189+N174</f>
        <v>36147422.18</v>
      </c>
      <c r="O316" s="47">
        <f>O273+O189+O174</f>
        <v>33456114.699999999</v>
      </c>
      <c r="P316" s="47">
        <f t="shared" si="69"/>
        <v>-2691307.4800000004</v>
      </c>
      <c r="Q316" s="44">
        <f t="shared" si="57"/>
        <v>-7.4453648910241697</v>
      </c>
      <c r="R316" s="47">
        <f>R273+R189+R174</f>
        <v>14929696.560000001</v>
      </c>
      <c r="S316" s="47">
        <f>S273+S189+S174</f>
        <v>14627130</v>
      </c>
      <c r="T316" s="47">
        <f t="shared" si="70"/>
        <v>-302566.56000000052</v>
      </c>
      <c r="U316" s="44">
        <f t="shared" si="58"/>
        <v>-2.0266089051712157</v>
      </c>
      <c r="V316" s="47">
        <f>V273+V189+V174</f>
        <v>28049897.969999999</v>
      </c>
      <c r="W316" s="47">
        <f>W273+W189+W174</f>
        <v>25415709.66</v>
      </c>
      <c r="X316" s="47">
        <f t="shared" si="71"/>
        <v>-2634188.3099999987</v>
      </c>
      <c r="Y316" s="44">
        <f t="shared" si="59"/>
        <v>-9.3910798278743215</v>
      </c>
      <c r="Z316" s="47">
        <f>Z273+Z189+Z174</f>
        <v>37265617.560000002</v>
      </c>
      <c r="AA316" s="47">
        <f>AA273+AA189+AA174</f>
        <v>38770356.369999997</v>
      </c>
      <c r="AB316" s="47">
        <f t="shared" si="72"/>
        <v>1504738.8099999949</v>
      </c>
      <c r="AC316" s="44">
        <f t="shared" si="60"/>
        <v>4.0378743424210484</v>
      </c>
      <c r="AD316" s="47">
        <f>AD273+AD189+AD174</f>
        <v>21646726.349999998</v>
      </c>
      <c r="AE316" s="47">
        <f>AE273+AE189+AE174</f>
        <v>26625244.239999998</v>
      </c>
      <c r="AF316" s="47">
        <f t="shared" si="73"/>
        <v>4978517.8900000006</v>
      </c>
      <c r="AG316" s="44">
        <f t="shared" si="61"/>
        <v>22.9989413156692</v>
      </c>
      <c r="AH316" s="47">
        <f>AH273+AH189+AH174</f>
        <v>17585453.670000002</v>
      </c>
      <c r="AI316" s="47">
        <f>AI273+AI189+AI174</f>
        <v>18436671.509999998</v>
      </c>
      <c r="AJ316" s="47">
        <f t="shared" si="74"/>
        <v>851217.83999999613</v>
      </c>
      <c r="AK316" s="44">
        <f t="shared" si="62"/>
        <v>4.8404656255876688</v>
      </c>
      <c r="AL316" s="47">
        <f>AL273+AL189+AL174</f>
        <v>19338113.539999999</v>
      </c>
      <c r="AM316" s="47">
        <f>AM273+AM189+AM174</f>
        <v>19172073.039999999</v>
      </c>
      <c r="AN316" s="47">
        <f t="shared" si="75"/>
        <v>-166040.5</v>
      </c>
      <c r="AO316" s="44">
        <f t="shared" si="63"/>
        <v>-0.85861787736716622</v>
      </c>
      <c r="AP316" s="47">
        <f>AP273+AP189+AP174</f>
        <v>657722.48</v>
      </c>
      <c r="AQ316" s="47">
        <f>AQ273+AQ189+AQ174</f>
        <v>84298.76</v>
      </c>
      <c r="AR316" s="47">
        <f t="shared" si="76"/>
        <v>-573423.72</v>
      </c>
      <c r="AS316" s="44">
        <f t="shared" si="64"/>
        <v>-87.183232660680844</v>
      </c>
      <c r="AT316" s="47">
        <f>AR316-AQ316</f>
        <v>-657722.48</v>
      </c>
      <c r="AU316" s="47">
        <f>AU273+AU189+AU174</f>
        <v>4058142.71</v>
      </c>
    </row>
    <row r="317" spans="1:47" x14ac:dyDescent="0.25">
      <c r="A317" s="38" t="s">
        <v>254</v>
      </c>
      <c r="B317" s="47">
        <f>B283</f>
        <v>138246178.53</v>
      </c>
      <c r="C317" s="47">
        <f>C283</f>
        <v>203379799.97999999</v>
      </c>
      <c r="D317" s="47">
        <f t="shared" si="65"/>
        <v>65133621.449999988</v>
      </c>
      <c r="E317" s="44">
        <f t="shared" si="66"/>
        <v>47.114229226861227</v>
      </c>
      <c r="F317" s="47">
        <f>F283</f>
        <v>31625291.390000001</v>
      </c>
      <c r="G317" s="47">
        <f>G283</f>
        <v>72996506.459999993</v>
      </c>
      <c r="H317" s="47">
        <f t="shared" si="67"/>
        <v>41371215.069999993</v>
      </c>
      <c r="I317" s="44">
        <f t="shared" si="55"/>
        <v>130.81686603236068</v>
      </c>
      <c r="J317" s="47">
        <f>J283</f>
        <v>5253765.21</v>
      </c>
      <c r="K317" s="47">
        <f>K283</f>
        <v>6643849.1799999997</v>
      </c>
      <c r="L317" s="47">
        <f t="shared" si="68"/>
        <v>1390083.9699999997</v>
      </c>
      <c r="M317" s="44">
        <f t="shared" si="56"/>
        <v>26.458814096871293</v>
      </c>
      <c r="N317" s="47">
        <f>N283</f>
        <v>9742162.3800000008</v>
      </c>
      <c r="O317" s="47">
        <f>O283</f>
        <v>14823117.18</v>
      </c>
      <c r="P317" s="47">
        <f t="shared" si="69"/>
        <v>5080954.7999999989</v>
      </c>
      <c r="Q317" s="44">
        <f t="shared" si="57"/>
        <v>52.154281583633377</v>
      </c>
      <c r="R317" s="47">
        <f>R283</f>
        <v>2507523.66</v>
      </c>
      <c r="S317" s="47">
        <f>S283</f>
        <v>8054473.0899999999</v>
      </c>
      <c r="T317" s="47">
        <f t="shared" si="70"/>
        <v>5546949.4299999997</v>
      </c>
      <c r="U317" s="44">
        <f t="shared" si="58"/>
        <v>221.2122469065755</v>
      </c>
      <c r="V317" s="47">
        <f>V283</f>
        <v>3358020.51</v>
      </c>
      <c r="W317" s="47">
        <f>W283</f>
        <v>4533603.01</v>
      </c>
      <c r="X317" s="47">
        <f t="shared" si="71"/>
        <v>1175582.5</v>
      </c>
      <c r="Y317" s="44">
        <f t="shared" si="59"/>
        <v>35.008198922525338</v>
      </c>
      <c r="Z317" s="47">
        <f>Z283</f>
        <v>5328246.5599999996</v>
      </c>
      <c r="AA317" s="47">
        <f>AA283</f>
        <v>23262190.489999998</v>
      </c>
      <c r="AB317" s="47">
        <f t="shared" si="72"/>
        <v>17933943.93</v>
      </c>
      <c r="AC317" s="44">
        <f t="shared" si="60"/>
        <v>336.58247095081873</v>
      </c>
      <c r="AD317" s="47">
        <f>AD283</f>
        <v>3812394.74</v>
      </c>
      <c r="AE317" s="47">
        <f>AE283</f>
        <v>10848674.09</v>
      </c>
      <c r="AF317" s="47">
        <f t="shared" si="73"/>
        <v>7036279.3499999996</v>
      </c>
      <c r="AG317" s="44">
        <f t="shared" si="61"/>
        <v>184.56324252509069</v>
      </c>
      <c r="AH317" s="47">
        <f>AH283</f>
        <v>1623178.33</v>
      </c>
      <c r="AI317" s="47">
        <f>AI283</f>
        <v>4830599.42</v>
      </c>
      <c r="AJ317" s="47">
        <f t="shared" si="74"/>
        <v>3207421.09</v>
      </c>
      <c r="AK317" s="44">
        <f t="shared" si="62"/>
        <v>197.60127588691995</v>
      </c>
      <c r="AL317" s="47">
        <f>AL283</f>
        <v>62974448.310000002</v>
      </c>
      <c r="AM317" s="47">
        <f>AM283</f>
        <v>58302515.729999997</v>
      </c>
      <c r="AN317" s="47">
        <f t="shared" si="75"/>
        <v>-4671932.5800000057</v>
      </c>
      <c r="AO317" s="44">
        <f t="shared" si="63"/>
        <v>-7.4187749243975958</v>
      </c>
      <c r="AP317" s="47">
        <f>AP283</f>
        <v>4992529.79</v>
      </c>
      <c r="AQ317" s="47">
        <f>AQ283</f>
        <v>16637573.310000001</v>
      </c>
      <c r="AR317" s="47">
        <f t="shared" si="76"/>
        <v>11645043.52</v>
      </c>
      <c r="AS317" s="44">
        <f t="shared" si="64"/>
        <v>233.24935473244318</v>
      </c>
      <c r="AT317" s="47"/>
      <c r="AU317" s="47"/>
    </row>
    <row r="318" spans="1:47" x14ac:dyDescent="0.25">
      <c r="A318" s="38" t="s">
        <v>386</v>
      </c>
      <c r="B318" s="47">
        <f>B228</f>
        <v>6125660.3499999996</v>
      </c>
      <c r="C318" s="47">
        <f>C228</f>
        <v>21815501</v>
      </c>
      <c r="D318" s="47">
        <f t="shared" si="65"/>
        <v>15689840.65</v>
      </c>
      <c r="E318" s="44">
        <f t="shared" si="66"/>
        <v>256.13304939442168</v>
      </c>
      <c r="F318" s="47">
        <f>F228</f>
        <v>3679109.44</v>
      </c>
      <c r="G318" s="47">
        <f>G228</f>
        <v>14626286.24</v>
      </c>
      <c r="H318" s="47">
        <f t="shared" si="67"/>
        <v>10947176.800000001</v>
      </c>
      <c r="I318" s="44">
        <f t="shared" si="55"/>
        <v>297.5496374470448</v>
      </c>
      <c r="J318" s="47">
        <f>J228</f>
        <v>492173.06</v>
      </c>
      <c r="K318" s="47">
        <f>K228</f>
        <v>2660054.65</v>
      </c>
      <c r="L318" s="47">
        <f t="shared" si="68"/>
        <v>2167881.59</v>
      </c>
      <c r="M318" s="44">
        <f t="shared" si="56"/>
        <v>440.47140450962513</v>
      </c>
      <c r="N318" s="47">
        <f>N228</f>
        <v>873970.45</v>
      </c>
      <c r="O318" s="47">
        <f>O228</f>
        <v>1927680.03</v>
      </c>
      <c r="P318" s="47">
        <f t="shared" si="69"/>
        <v>1053709.58</v>
      </c>
      <c r="Q318" s="44">
        <f t="shared" si="57"/>
        <v>120.56581318052574</v>
      </c>
      <c r="R318" s="47">
        <f>R228</f>
        <v>620555.32999999996</v>
      </c>
      <c r="S318" s="47">
        <f>S228</f>
        <v>2935634.18</v>
      </c>
      <c r="T318" s="47">
        <f t="shared" si="70"/>
        <v>2315078.85</v>
      </c>
      <c r="U318" s="44">
        <f t="shared" si="58"/>
        <v>373.06566200954239</v>
      </c>
      <c r="V318" s="47">
        <f>V228</f>
        <v>332935.43</v>
      </c>
      <c r="W318" s="47">
        <f>W228</f>
        <v>891101.03</v>
      </c>
      <c r="X318" s="47">
        <f t="shared" si="71"/>
        <v>558165.60000000009</v>
      </c>
      <c r="Y318" s="44">
        <f t="shared" si="59"/>
        <v>167.64980524902387</v>
      </c>
      <c r="Z318" s="47">
        <f>Z228</f>
        <v>397172.32</v>
      </c>
      <c r="AA318" s="47">
        <f>AA228</f>
        <v>2334385.7799999998</v>
      </c>
      <c r="AB318" s="47">
        <f t="shared" si="72"/>
        <v>1937213.4599999997</v>
      </c>
      <c r="AC318" s="44">
        <f t="shared" si="60"/>
        <v>487.75137703453254</v>
      </c>
      <c r="AD318" s="47">
        <f>AD228</f>
        <v>742297.01</v>
      </c>
      <c r="AE318" s="47">
        <f>AE228</f>
        <v>2496158.08</v>
      </c>
      <c r="AF318" s="47">
        <f t="shared" si="73"/>
        <v>1753861.07</v>
      </c>
      <c r="AG318" s="44">
        <f t="shared" si="61"/>
        <v>236.27483963595648</v>
      </c>
      <c r="AH318" s="47">
        <f>AH228</f>
        <v>220005.84</v>
      </c>
      <c r="AI318" s="47">
        <f>AI228</f>
        <v>1381272.49</v>
      </c>
      <c r="AJ318" s="47">
        <f t="shared" si="74"/>
        <v>1161266.6499999999</v>
      </c>
      <c r="AK318" s="44">
        <f t="shared" si="62"/>
        <v>527.83446566691146</v>
      </c>
      <c r="AL318" s="47">
        <f>AL228</f>
        <v>1845332.94</v>
      </c>
      <c r="AM318" s="47">
        <f>AM228</f>
        <v>4822855.1100000003</v>
      </c>
      <c r="AN318" s="47">
        <f t="shared" si="75"/>
        <v>2977522.1700000004</v>
      </c>
      <c r="AO318" s="44">
        <f t="shared" si="63"/>
        <v>161.35419822939923</v>
      </c>
      <c r="AP318" s="47">
        <f>AP228</f>
        <v>23158.880000000001</v>
      </c>
      <c r="AQ318" s="47">
        <f>AQ228</f>
        <v>765194.1</v>
      </c>
      <c r="AR318" s="47">
        <f t="shared" si="76"/>
        <v>742035.22</v>
      </c>
      <c r="AS318" s="44">
        <f t="shared" si="64"/>
        <v>3204.1066752796332</v>
      </c>
      <c r="AT318" s="47">
        <f>AT228</f>
        <v>365957.21</v>
      </c>
      <c r="AU318" s="47">
        <f>AU228</f>
        <v>1580722.68</v>
      </c>
    </row>
  </sheetData>
  <customSheetViews>
    <customSheetView guid="{38D37C3F-FD9B-4DF6-A86F-8343B05C36EA}" state="hidden">
      <pane xSplit="1" ySplit="7" topLeftCell="B119" activePane="bottomRight" state="frozen"/>
      <selection pane="bottomRight" activeCell="AB299" activeCellId="2" sqref="AB316 AB312 AB299"/>
      <pageMargins left="0.7" right="0.7" top="0.75" bottom="0.75" header="0.3" footer="0.3"/>
      <pageSetup paperSize="9" orientation="portrait" r:id="rId1"/>
    </customSheetView>
  </customSheetViews>
  <mergeCells count="1">
    <mergeCell ref="A6:A7"/>
  </mergeCells>
  <conditionalFormatting sqref="D119:E306">
    <cfRule type="cellIs" dxfId="133" priority="86" operator="lessThan">
      <formula>0</formula>
    </cfRule>
  </conditionalFormatting>
  <conditionalFormatting sqref="H119:I306">
    <cfRule type="cellIs" dxfId="132" priority="85" operator="lessThan">
      <formula>0</formula>
    </cfRule>
  </conditionalFormatting>
  <conditionalFormatting sqref="L119:M306">
    <cfRule type="cellIs" dxfId="131" priority="84" operator="lessThan">
      <formula>0</formula>
    </cfRule>
  </conditionalFormatting>
  <conditionalFormatting sqref="P119:Q306">
    <cfRule type="cellIs" dxfId="130" priority="83" operator="lessThan">
      <formula>0</formula>
    </cfRule>
  </conditionalFormatting>
  <conditionalFormatting sqref="T119:U306">
    <cfRule type="cellIs" dxfId="129" priority="82" operator="lessThan">
      <formula>0</formula>
    </cfRule>
  </conditionalFormatting>
  <conditionalFormatting sqref="X119:Y306">
    <cfRule type="cellIs" dxfId="128" priority="81" operator="lessThan">
      <formula>0</formula>
    </cfRule>
  </conditionalFormatting>
  <conditionalFormatting sqref="AB119:AC306">
    <cfRule type="cellIs" dxfId="127" priority="80" operator="lessThan">
      <formula>0</formula>
    </cfRule>
  </conditionalFormatting>
  <conditionalFormatting sqref="AF119:AG306">
    <cfRule type="cellIs" dxfId="126" priority="79" operator="lessThan">
      <formula>0</formula>
    </cfRule>
  </conditionalFormatting>
  <conditionalFormatting sqref="AJ119:AK306">
    <cfRule type="cellIs" dxfId="125" priority="78" operator="lessThan">
      <formula>0</formula>
    </cfRule>
  </conditionalFormatting>
  <conditionalFormatting sqref="AN119:AO306">
    <cfRule type="cellIs" dxfId="124" priority="77" operator="lessThan">
      <formula>0</formula>
    </cfRule>
  </conditionalFormatting>
  <conditionalFormatting sqref="AR119:AS306">
    <cfRule type="cellIs" dxfId="123" priority="76" operator="lessThan">
      <formula>0</formula>
    </cfRule>
  </conditionalFormatting>
  <conditionalFormatting sqref="D309 H309 L309 P309 T309 X309 AB309 AF309 AJ309 AN309 AR309">
    <cfRule type="cellIs" dxfId="122" priority="75" operator="lessThan">
      <formula>0</formula>
    </cfRule>
  </conditionalFormatting>
  <conditionalFormatting sqref="D310 H310 L310 P310 T310 X310 AB310 AF310 AJ310 AN310 AR310">
    <cfRule type="cellIs" dxfId="121" priority="64" operator="lessThan">
      <formula>0</formula>
    </cfRule>
  </conditionalFormatting>
  <conditionalFormatting sqref="D311 H311 L311 P311 T311 X311 AB311 AF311 AJ311 AN311 AR311">
    <cfRule type="cellIs" dxfId="120" priority="53" operator="lessThan">
      <formula>0</formula>
    </cfRule>
  </conditionalFormatting>
  <conditionalFormatting sqref="D312 H312 L312 P312 T312 X312 AB312 AF312 AJ312 AN312 AR312">
    <cfRule type="cellIs" dxfId="119" priority="42" operator="lessThan">
      <formula>0</formula>
    </cfRule>
  </conditionalFormatting>
  <conditionalFormatting sqref="D313:D315 H313:H315 L313:L315 P313:P315 T313:T315 X313:X315 AB313:AB315 AF313:AF315 AJ313:AJ315 AN313:AN315 AR313:AR315">
    <cfRule type="cellIs" dxfId="118" priority="31" operator="lessThan">
      <formula>0</formula>
    </cfRule>
  </conditionalFormatting>
  <conditionalFormatting sqref="D316 H316 L316 P316 T316 X316 AB316 AF316 AJ316 AN316 AR316">
    <cfRule type="cellIs" dxfId="117" priority="18" operator="lessThan">
      <formula>0</formula>
    </cfRule>
  </conditionalFormatting>
  <conditionalFormatting sqref="E309:E316 I309:I316 M309:M316 Q309:Q316 U309:U316 Y309:Y316 AC309:AC316 AG309:AG316 AK309:AK316 AO309:AO316 AS309:AS316">
    <cfRule type="cellIs" dxfId="116" priority="6" operator="lessThan">
      <formula>0</formula>
    </cfRule>
  </conditionalFormatting>
  <conditionalFormatting sqref="D317:D318 H317:H318 L317:L318 P317:P318 T317:T318 X317:X318 AB317:AB318 AF317:AF318 AJ317:AJ318 AN317:AN318 AR317:AR318">
    <cfRule type="cellIs" dxfId="115" priority="4" operator="lessThan">
      <formula>0</formula>
    </cfRule>
  </conditionalFormatting>
  <conditionalFormatting sqref="E317:E318 I317:I318 M317:M318 Q317:Q318 U317:U318 Y317:Y318 AC317:AC318 AG317:AG318 AK317:AK318 AO317:AO318 AS317:AS318">
    <cfRule type="cellIs" dxfId="114" priority="3" operator="lessThan">
      <formula>0</formula>
    </cfRule>
  </conditionalFormatting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47">
        <v>178400979.55000001</v>
      </c>
      <c r="C5" s="347">
        <v>115606620.38</v>
      </c>
      <c r="D5" s="347">
        <v>133867802.04000001</v>
      </c>
      <c r="E5" s="347">
        <v>132808962.27</v>
      </c>
      <c r="F5" s="347">
        <v>150110967.33000001</v>
      </c>
    </row>
    <row r="6" spans="1:6" x14ac:dyDescent="0.25">
      <c r="A6" s="212" t="s">
        <v>10</v>
      </c>
      <c r="B6" s="347">
        <v>950668498.84000003</v>
      </c>
      <c r="C6" s="347">
        <v>960120858.63999999</v>
      </c>
      <c r="D6" s="347">
        <v>929788299.86000001</v>
      </c>
      <c r="E6" s="347">
        <v>841962111.64999998</v>
      </c>
      <c r="F6" s="347">
        <v>875510919.02999997</v>
      </c>
    </row>
    <row r="7" spans="1:6" x14ac:dyDescent="0.25">
      <c r="A7" s="282" t="s">
        <v>59</v>
      </c>
      <c r="B7" s="348">
        <v>-5033274.3099999996</v>
      </c>
      <c r="C7" s="348">
        <v>-18093273.809999999</v>
      </c>
      <c r="D7" s="347">
        <v>-19234959.93</v>
      </c>
      <c r="E7" s="347">
        <v>-7036259.3200000003</v>
      </c>
      <c r="F7" s="347">
        <v>-2333693.16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950668.49884000001</v>
      </c>
      <c r="C10" s="213">
        <f t="shared" ref="C10:F10" si="1">C6/1000</f>
        <v>960120.85863999999</v>
      </c>
      <c r="D10" s="213">
        <f t="shared" si="1"/>
        <v>929788.29986000003</v>
      </c>
      <c r="E10" s="213">
        <f t="shared" si="1"/>
        <v>841962.11164999998</v>
      </c>
      <c r="F10" s="213">
        <f t="shared" si="1"/>
        <v>875510.91902999999</v>
      </c>
    </row>
    <row r="11" spans="1:6" x14ac:dyDescent="0.25">
      <c r="A11" s="212" t="s">
        <v>7</v>
      </c>
      <c r="B11" s="213">
        <f>B5/1000</f>
        <v>178400.97955000002</v>
      </c>
      <c r="C11" s="213">
        <f t="shared" ref="C11:F11" si="2">C5/1000</f>
        <v>115606.62037999999</v>
      </c>
      <c r="D11" s="213">
        <f t="shared" si="2"/>
        <v>133867.80204000001</v>
      </c>
      <c r="E11" s="213">
        <f t="shared" si="2"/>
        <v>132808.96226999999</v>
      </c>
      <c r="F11" s="213">
        <f t="shared" si="2"/>
        <v>150110.96733000001</v>
      </c>
    </row>
    <row r="12" spans="1:6" x14ac:dyDescent="0.25">
      <c r="A12" t="s">
        <v>846</v>
      </c>
      <c r="B12" s="283">
        <f>B5/(B6+B7)</f>
        <v>0.18865729080541488</v>
      </c>
      <c r="C12" s="283">
        <f t="shared" ref="C12:F12" si="3">C5/(C6+C7)</f>
        <v>0.12272105641244313</v>
      </c>
      <c r="D12" s="283">
        <f t="shared" si="3"/>
        <v>0.14701807809555809</v>
      </c>
      <c r="E12" s="283">
        <f t="shared" si="3"/>
        <v>0.15906677449185988</v>
      </c>
      <c r="F12" s="283">
        <f t="shared" si="3"/>
        <v>0.17191351638888114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49">
        <v>38025241.719999999</v>
      </c>
      <c r="C5" s="349">
        <v>55701338.590000004</v>
      </c>
      <c r="D5" s="349">
        <v>19377397.949999999</v>
      </c>
      <c r="E5" s="349">
        <v>21659861.649999999</v>
      </c>
      <c r="F5" s="349">
        <v>27332272.199999999</v>
      </c>
    </row>
    <row r="6" spans="1:6" x14ac:dyDescent="0.25">
      <c r="A6" s="212" t="s">
        <v>10</v>
      </c>
      <c r="B6" s="349">
        <v>432210654.95999998</v>
      </c>
      <c r="C6" s="349">
        <v>426434236.68000001</v>
      </c>
      <c r="D6" s="349">
        <v>376439793.66000003</v>
      </c>
      <c r="E6" s="349">
        <v>434007125.06999999</v>
      </c>
      <c r="F6" s="349">
        <v>454012514.32999998</v>
      </c>
    </row>
    <row r="7" spans="1:6" x14ac:dyDescent="0.25">
      <c r="A7" s="282" t="s">
        <v>59</v>
      </c>
      <c r="B7" s="350">
        <v>4083278.22</v>
      </c>
      <c r="C7" s="350">
        <v>6808947.6500000004</v>
      </c>
      <c r="D7" s="349">
        <v>7987645.7699999996</v>
      </c>
      <c r="E7" s="349">
        <v>14582856.33</v>
      </c>
      <c r="F7" s="349">
        <v>31524473.199999999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432210.65495999996</v>
      </c>
      <c r="C10" s="213">
        <f t="shared" ref="C10:F10" si="1">C6/1000</f>
        <v>426434.23668000003</v>
      </c>
      <c r="D10" s="213">
        <f t="shared" si="1"/>
        <v>376439.79366000002</v>
      </c>
      <c r="E10" s="213">
        <f t="shared" si="1"/>
        <v>434007.12507000001</v>
      </c>
      <c r="F10" s="213">
        <f t="shared" si="1"/>
        <v>454012.51432999998</v>
      </c>
    </row>
    <row r="11" spans="1:6" x14ac:dyDescent="0.25">
      <c r="A11" s="212" t="s">
        <v>7</v>
      </c>
      <c r="B11" s="213">
        <f>B5/1000</f>
        <v>38025.241719999998</v>
      </c>
      <c r="C11" s="213">
        <f t="shared" ref="C11:F11" si="2">C5/1000</f>
        <v>55701.338590000007</v>
      </c>
      <c r="D11" s="213">
        <f t="shared" si="2"/>
        <v>19377.397949999999</v>
      </c>
      <c r="E11" s="213">
        <f t="shared" si="2"/>
        <v>21659.861649999999</v>
      </c>
      <c r="F11" s="213">
        <f t="shared" si="2"/>
        <v>27332.272199999999</v>
      </c>
    </row>
    <row r="12" spans="1:6" x14ac:dyDescent="0.25">
      <c r="A12" t="s">
        <v>846</v>
      </c>
      <c r="B12" s="283">
        <f>B5/(B6+B7)</f>
        <v>8.715510078915556E-2</v>
      </c>
      <c r="C12" s="283">
        <f t="shared" ref="C12:F12" si="3">C5/(C6+C7)</f>
        <v>0.1285682974474042</v>
      </c>
      <c r="D12" s="283">
        <f t="shared" si="3"/>
        <v>5.040586587349577E-2</v>
      </c>
      <c r="E12" s="283">
        <f t="shared" si="3"/>
        <v>4.8284318750057578E-2</v>
      </c>
      <c r="F12" s="283">
        <f t="shared" si="3"/>
        <v>5.6292873461697319E-2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51">
        <v>57594798.170000002</v>
      </c>
      <c r="C5" s="351">
        <v>35496391.030000001</v>
      </c>
      <c r="D5" s="351">
        <v>12317671.09</v>
      </c>
      <c r="E5" s="351">
        <v>22295513.640000001</v>
      </c>
      <c r="F5" s="351">
        <v>43297200.82</v>
      </c>
    </row>
    <row r="6" spans="1:6" x14ac:dyDescent="0.25">
      <c r="A6" s="212" t="s">
        <v>10</v>
      </c>
      <c r="B6" s="351">
        <v>550277937.45000005</v>
      </c>
      <c r="C6" s="351">
        <v>440162254.58999997</v>
      </c>
      <c r="D6" s="351">
        <v>410987259.79000002</v>
      </c>
      <c r="E6" s="351">
        <v>432139524.07999998</v>
      </c>
      <c r="F6" s="351">
        <v>450783460.25</v>
      </c>
    </row>
    <row r="7" spans="1:6" x14ac:dyDescent="0.25">
      <c r="A7" s="282" t="s">
        <v>59</v>
      </c>
      <c r="B7" s="352">
        <v>4791005.37</v>
      </c>
      <c r="C7" s="352">
        <v>6136964.7800000003</v>
      </c>
      <c r="D7" s="351">
        <v>6303811.46</v>
      </c>
      <c r="E7" s="351">
        <v>6811523.6900000004</v>
      </c>
      <c r="F7" s="351">
        <v>11073391.789999999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550277.93745000008</v>
      </c>
      <c r="C10" s="213">
        <f t="shared" ref="C10:F10" si="1">C6/1000</f>
        <v>440162.25458999997</v>
      </c>
      <c r="D10" s="213">
        <f t="shared" si="1"/>
        <v>410987.25979000004</v>
      </c>
      <c r="E10" s="213">
        <f t="shared" si="1"/>
        <v>432139.52408</v>
      </c>
      <c r="F10" s="213">
        <f t="shared" si="1"/>
        <v>450783.46025</v>
      </c>
    </row>
    <row r="11" spans="1:6" x14ac:dyDescent="0.25">
      <c r="A11" s="212" t="s">
        <v>7</v>
      </c>
      <c r="B11" s="213">
        <f>B5/1000</f>
        <v>57594.798170000002</v>
      </c>
      <c r="C11" s="213">
        <f t="shared" ref="C11:F11" si="2">C5/1000</f>
        <v>35496.391029999999</v>
      </c>
      <c r="D11" s="213">
        <f t="shared" si="2"/>
        <v>12317.67109</v>
      </c>
      <c r="E11" s="213">
        <f t="shared" si="2"/>
        <v>22295.513640000001</v>
      </c>
      <c r="F11" s="213">
        <f t="shared" si="2"/>
        <v>43297.200819999998</v>
      </c>
    </row>
    <row r="12" spans="1:6" x14ac:dyDescent="0.25">
      <c r="A12" t="s">
        <v>846</v>
      </c>
      <c r="B12" s="283">
        <f>B5/(B6+B7)</f>
        <v>0.10376152172627873</v>
      </c>
      <c r="C12" s="283">
        <f t="shared" ref="C12:F12" si="3">C5/(C6+C7)</f>
        <v>7.9534961051706585E-2</v>
      </c>
      <c r="D12" s="283">
        <f t="shared" si="3"/>
        <v>2.9518175534171579E-2</v>
      </c>
      <c r="E12" s="283">
        <f t="shared" si="3"/>
        <v>5.0792710834767898E-2</v>
      </c>
      <c r="F12" s="283">
        <f t="shared" si="3"/>
        <v>9.3745931512671729E-2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53">
        <v>102164835.26000001</v>
      </c>
      <c r="C5" s="353">
        <v>96194787.019999996</v>
      </c>
      <c r="D5" s="353">
        <v>96295118.659999996</v>
      </c>
      <c r="E5" s="353">
        <v>102763192.41</v>
      </c>
      <c r="F5" s="353">
        <v>113637441.45</v>
      </c>
    </row>
    <row r="6" spans="1:6" x14ac:dyDescent="0.25">
      <c r="A6" s="212" t="s">
        <v>10</v>
      </c>
      <c r="B6" s="353">
        <v>694401341.86000001</v>
      </c>
      <c r="C6" s="353">
        <v>671843844.03999996</v>
      </c>
      <c r="D6" s="353">
        <v>679898461.5</v>
      </c>
      <c r="E6" s="353">
        <v>679355639.62</v>
      </c>
      <c r="F6" s="353">
        <v>755534862.36000001</v>
      </c>
    </row>
    <row r="7" spans="1:6" x14ac:dyDescent="0.25">
      <c r="A7" s="282" t="s">
        <v>59</v>
      </c>
      <c r="B7" s="354">
        <v>4788206.0999999996</v>
      </c>
      <c r="C7" s="354">
        <v>10538818.33</v>
      </c>
      <c r="D7" s="353">
        <v>6368138.7800000003</v>
      </c>
      <c r="E7" s="353">
        <v>19105694.350000001</v>
      </c>
      <c r="F7" s="353">
        <v>9094031.1799999997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694401.34186000004</v>
      </c>
      <c r="C10" s="213">
        <f t="shared" ref="C10:F10" si="1">C6/1000</f>
        <v>671843.84404</v>
      </c>
      <c r="D10" s="213">
        <f t="shared" si="1"/>
        <v>679898.46149999998</v>
      </c>
      <c r="E10" s="213">
        <f t="shared" si="1"/>
        <v>679355.63962000003</v>
      </c>
      <c r="F10" s="213">
        <f t="shared" si="1"/>
        <v>755534.86236000003</v>
      </c>
    </row>
    <row r="11" spans="1:6" x14ac:dyDescent="0.25">
      <c r="A11" s="212" t="s">
        <v>7</v>
      </c>
      <c r="B11" s="213">
        <f>B5/1000</f>
        <v>102164.83526000001</v>
      </c>
      <c r="C11" s="213">
        <f t="shared" ref="C11:F11" si="2">C5/1000</f>
        <v>96194.787019999989</v>
      </c>
      <c r="D11" s="213">
        <f t="shared" si="2"/>
        <v>96295.118659999993</v>
      </c>
      <c r="E11" s="213">
        <f t="shared" si="2"/>
        <v>102763.19241</v>
      </c>
      <c r="F11" s="213">
        <f t="shared" si="2"/>
        <v>113637.44145</v>
      </c>
    </row>
    <row r="12" spans="1:6" x14ac:dyDescent="0.25">
      <c r="A12" t="s">
        <v>846</v>
      </c>
      <c r="B12" s="283">
        <f>B5/(B6+B7)</f>
        <v>0.14611893950371918</v>
      </c>
      <c r="C12" s="283">
        <f t="shared" ref="C12:F12" si="3">C5/(C6+C7)</f>
        <v>0.14096897873387274</v>
      </c>
      <c r="D12" s="283">
        <f t="shared" si="3"/>
        <v>0.14031736153371174</v>
      </c>
      <c r="E12" s="283">
        <f t="shared" si="3"/>
        <v>0.14712796172395398</v>
      </c>
      <c r="F12" s="283">
        <f t="shared" si="3"/>
        <v>0.14861777054211633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55">
        <v>34404619.130000003</v>
      </c>
      <c r="C5" s="355">
        <v>36936495.479999997</v>
      </c>
      <c r="D5" s="355">
        <v>16527049.27</v>
      </c>
      <c r="E5" s="355">
        <v>12306831.75</v>
      </c>
      <c r="F5" s="355">
        <v>-1338023.27</v>
      </c>
    </row>
    <row r="6" spans="1:6" x14ac:dyDescent="0.25">
      <c r="A6" s="212" t="s">
        <v>10</v>
      </c>
      <c r="B6" s="355">
        <v>515141801.95999998</v>
      </c>
      <c r="C6" s="355">
        <v>515714017.48000002</v>
      </c>
      <c r="D6" s="355">
        <v>510439596.69999999</v>
      </c>
      <c r="E6" s="355">
        <v>563751705.70000005</v>
      </c>
      <c r="F6" s="355">
        <v>570520166.11000001</v>
      </c>
    </row>
    <row r="7" spans="1:6" x14ac:dyDescent="0.25">
      <c r="A7" s="282" t="s">
        <v>59</v>
      </c>
      <c r="B7" s="356">
        <v>6328533.7400000002</v>
      </c>
      <c r="C7" s="356">
        <v>9960529.5800000001</v>
      </c>
      <c r="D7" s="355">
        <v>8026178.7300000004</v>
      </c>
      <c r="E7" s="355">
        <v>5608209.0300000003</v>
      </c>
      <c r="F7" s="355">
        <v>1033303.03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515141.80195999995</v>
      </c>
      <c r="C10" s="213">
        <f t="shared" ref="C10:F10" si="1">C6/1000</f>
        <v>515714.01748000004</v>
      </c>
      <c r="D10" s="213">
        <f t="shared" si="1"/>
        <v>510439.59669999999</v>
      </c>
      <c r="E10" s="213">
        <f t="shared" si="1"/>
        <v>563751.70570000005</v>
      </c>
      <c r="F10" s="213">
        <f t="shared" si="1"/>
        <v>570520.16610999999</v>
      </c>
    </row>
    <row r="11" spans="1:6" x14ac:dyDescent="0.25">
      <c r="A11" s="212" t="s">
        <v>7</v>
      </c>
      <c r="B11" s="213">
        <f>B5/1000</f>
        <v>34404.619129999999</v>
      </c>
      <c r="C11" s="213">
        <f t="shared" ref="C11:F11" si="2">C5/1000</f>
        <v>36936.495479999998</v>
      </c>
      <c r="D11" s="213">
        <f t="shared" si="2"/>
        <v>16527.04927</v>
      </c>
      <c r="E11" s="213">
        <f t="shared" si="2"/>
        <v>12306.831749999999</v>
      </c>
      <c r="F11" s="213">
        <f t="shared" si="2"/>
        <v>-1338.0232699999999</v>
      </c>
    </row>
    <row r="12" spans="1:6" x14ac:dyDescent="0.25">
      <c r="A12" t="s">
        <v>846</v>
      </c>
      <c r="B12" s="283">
        <f>B5/(B6+B7)</f>
        <v>6.5976176926376223E-2</v>
      </c>
      <c r="C12" s="283">
        <f t="shared" ref="C12:F12" si="3">C5/(C6+C7)</f>
        <v>7.0264949456995685E-2</v>
      </c>
      <c r="D12" s="283">
        <f t="shared" si="3"/>
        <v>3.1876837494804668E-2</v>
      </c>
      <c r="E12" s="283">
        <f t="shared" si="3"/>
        <v>2.1615205833090841E-2</v>
      </c>
      <c r="F12" s="283">
        <f t="shared" si="3"/>
        <v>-2.3410290414530859E-3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E4" sqref="E4:F4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/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357">
        <v>37174413.259999998</v>
      </c>
      <c r="C5" s="357">
        <v>28321727.309999999</v>
      </c>
      <c r="D5" s="357">
        <v>24081732.050000001</v>
      </c>
      <c r="E5" s="357">
        <v>9848137.6799999997</v>
      </c>
      <c r="F5" s="357">
        <v>38023199.329999998</v>
      </c>
    </row>
    <row r="6" spans="1:6" x14ac:dyDescent="0.25">
      <c r="A6" s="212" t="s">
        <v>10</v>
      </c>
      <c r="B6" s="357">
        <v>354154529.18000001</v>
      </c>
      <c r="C6" s="357">
        <v>372142903.43000001</v>
      </c>
      <c r="D6" s="357">
        <v>401473895.63999999</v>
      </c>
      <c r="E6" s="357">
        <v>407989495.79000002</v>
      </c>
      <c r="F6" s="357">
        <v>453099643.22000003</v>
      </c>
    </row>
    <row r="7" spans="1:6" x14ac:dyDescent="0.25">
      <c r="A7" s="282" t="s">
        <v>59</v>
      </c>
      <c r="B7" s="358">
        <v>-216558.87</v>
      </c>
      <c r="C7" s="358">
        <v>7955722.9900000002</v>
      </c>
      <c r="D7" s="357">
        <v>5423731.2300000004</v>
      </c>
      <c r="E7" s="357">
        <v>5893847.1699999999</v>
      </c>
      <c r="F7" s="357">
        <v>2744617.24</v>
      </c>
    </row>
    <row r="8" spans="1:6" x14ac:dyDescent="0.25">
      <c r="A8" s="211"/>
      <c r="B8" s="210" t="s">
        <v>5</v>
      </c>
      <c r="C8" s="210" t="s">
        <v>5</v>
      </c>
      <c r="D8" s="210" t="s">
        <v>5</v>
      </c>
      <c r="E8" s="210" t="s">
        <v>5</v>
      </c>
      <c r="F8" s="210" t="s">
        <v>5</v>
      </c>
    </row>
    <row r="9" spans="1:6" x14ac:dyDescent="0.25">
      <c r="A9" s="211" t="s">
        <v>3</v>
      </c>
      <c r="B9" s="210" t="str">
        <f>B4</f>
        <v>7 мес. 2018 г.</v>
      </c>
      <c r="C9" s="210" t="str">
        <f t="shared" ref="C9:F9" si="0">C4</f>
        <v>7 мес. 2019 г.</v>
      </c>
      <c r="D9" s="210" t="str">
        <f t="shared" si="0"/>
        <v>7 мес. 2020 г.</v>
      </c>
      <c r="E9" s="210" t="str">
        <f t="shared" si="0"/>
        <v>7 мес. 2021 г.</v>
      </c>
      <c r="F9" s="210" t="str">
        <f t="shared" si="0"/>
        <v>7 мес. 2022 г.</v>
      </c>
    </row>
    <row r="10" spans="1:6" x14ac:dyDescent="0.25">
      <c r="A10" s="212" t="s">
        <v>365</v>
      </c>
      <c r="B10" s="213">
        <f>B6/1000</f>
        <v>354154.52918000001</v>
      </c>
      <c r="C10" s="213">
        <f t="shared" ref="C10:F10" si="1">C6/1000</f>
        <v>372142.90343000001</v>
      </c>
      <c r="D10" s="213">
        <f t="shared" si="1"/>
        <v>401473.89564</v>
      </c>
      <c r="E10" s="213">
        <f t="shared" si="1"/>
        <v>407989.49579000002</v>
      </c>
      <c r="F10" s="213">
        <f t="shared" si="1"/>
        <v>453099.64322000003</v>
      </c>
    </row>
    <row r="11" spans="1:6" x14ac:dyDescent="0.25">
      <c r="A11" s="212" t="s">
        <v>7</v>
      </c>
      <c r="B11" s="213">
        <f>B5/1000</f>
        <v>37174.413260000001</v>
      </c>
      <c r="C11" s="213">
        <f t="shared" ref="C11:F11" si="2">C5/1000</f>
        <v>28321.727309999998</v>
      </c>
      <c r="D11" s="213">
        <f t="shared" si="2"/>
        <v>24081.732050000002</v>
      </c>
      <c r="E11" s="213">
        <f t="shared" si="2"/>
        <v>9848.1376799999998</v>
      </c>
      <c r="F11" s="213">
        <f t="shared" si="2"/>
        <v>38023.199329999996</v>
      </c>
    </row>
    <row r="12" spans="1:6" x14ac:dyDescent="0.25">
      <c r="A12" t="s">
        <v>846</v>
      </c>
      <c r="B12" s="283">
        <f>B5/(B6+B7)</f>
        <v>0.10503087088237645</v>
      </c>
      <c r="C12" s="283">
        <f t="shared" ref="C12:F12" si="3">C5/(C6+C7)</f>
        <v>7.4511522382364928E-2</v>
      </c>
      <c r="D12" s="283">
        <f t="shared" si="3"/>
        <v>5.9183761368295937E-2</v>
      </c>
      <c r="E12" s="283">
        <f t="shared" si="3"/>
        <v>2.3794476988535821E-2</v>
      </c>
      <c r="F12" s="283">
        <f t="shared" si="3"/>
        <v>8.3412697335774624E-2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14" workbookViewId="0">
      <selection activeCell="D45" sqref="D45"/>
    </sheetView>
  </sheetViews>
  <sheetFormatPr defaultRowHeight="15" x14ac:dyDescent="0.25"/>
  <cols>
    <col min="1" max="1" width="34.140625" customWidth="1"/>
    <col min="2" max="5" width="24" customWidth="1"/>
    <col min="6" max="6" width="17.42578125" customWidth="1"/>
  </cols>
  <sheetData>
    <row r="2" spans="1:6" ht="36.75" customHeight="1" x14ac:dyDescent="0.25"/>
    <row r="3" spans="1:6" x14ac:dyDescent="0.25">
      <c r="A3" s="211" t="s">
        <v>793</v>
      </c>
      <c r="B3" s="210" t="s">
        <v>5</v>
      </c>
      <c r="C3" s="210" t="s">
        <v>5</v>
      </c>
      <c r="D3" s="210" t="s">
        <v>5</v>
      </c>
      <c r="E3" s="210" t="s">
        <v>5</v>
      </c>
      <c r="F3" s="210" t="s">
        <v>5</v>
      </c>
    </row>
    <row r="4" spans="1:6" x14ac:dyDescent="0.25">
      <c r="A4" s="211" t="s">
        <v>3</v>
      </c>
      <c r="B4" s="210" t="str">
        <f>'Слайд 8 ЦР'!B4</f>
        <v>7 мес. 2018 г.</v>
      </c>
      <c r="C4" s="210" t="str">
        <f>'Слайд 8 ЦР'!C4</f>
        <v>7 мес. 2019 г.</v>
      </c>
      <c r="D4" s="210" t="str">
        <f>'Слайд 8 ЦР'!D4</f>
        <v>7 мес. 2020 г.</v>
      </c>
      <c r="E4" s="210" t="str">
        <f>'Слайд 8 ЦР'!E4</f>
        <v>7 мес. 2021 г.</v>
      </c>
      <c r="F4" s="210" t="str">
        <f>'Слайд 8 ЦР'!F4</f>
        <v>7 мес. 2022 г.</v>
      </c>
    </row>
    <row r="5" spans="1:6" x14ac:dyDescent="0.25">
      <c r="A5" s="212" t="s">
        <v>7</v>
      </c>
      <c r="B5" s="216">
        <v>-68837805.989999995</v>
      </c>
      <c r="C5" s="216">
        <v>30268994.210000001</v>
      </c>
      <c r="D5" s="216">
        <v>-40439627.390000001</v>
      </c>
      <c r="E5" s="216">
        <v>35203842.479999997</v>
      </c>
      <c r="F5" s="216">
        <v>182848190.55000001</v>
      </c>
    </row>
    <row r="6" spans="1:6" x14ac:dyDescent="0.25">
      <c r="A6" s="212" t="s">
        <v>10</v>
      </c>
      <c r="B6" s="216">
        <v>1293597100.3299999</v>
      </c>
      <c r="C6" s="216">
        <v>1413638668.6499999</v>
      </c>
      <c r="D6" s="216">
        <v>1349671825.0300002</v>
      </c>
      <c r="E6" s="216">
        <v>1460455940.23</v>
      </c>
      <c r="F6" s="216">
        <v>1944103920.6899998</v>
      </c>
    </row>
    <row r="7" spans="1:6" hidden="1" x14ac:dyDescent="0.25">
      <c r="A7" s="211" t="s">
        <v>753</v>
      </c>
      <c r="B7" s="210" t="s">
        <v>5</v>
      </c>
      <c r="C7" s="210" t="s">
        <v>5</v>
      </c>
      <c r="D7" s="210" t="s">
        <v>5</v>
      </c>
      <c r="E7" s="210" t="s">
        <v>5</v>
      </c>
      <c r="F7" s="210" t="s">
        <v>5</v>
      </c>
    </row>
    <row r="8" spans="1:6" hidden="1" x14ac:dyDescent="0.25">
      <c r="A8" s="211" t="s">
        <v>3</v>
      </c>
      <c r="B8" s="210" t="s">
        <v>783</v>
      </c>
      <c r="C8" s="210" t="s">
        <v>784</v>
      </c>
      <c r="D8" s="210" t="s">
        <v>785</v>
      </c>
      <c r="E8" s="210" t="s">
        <v>786</v>
      </c>
      <c r="F8" s="210" t="s">
        <v>787</v>
      </c>
    </row>
    <row r="9" spans="1:6" hidden="1" x14ac:dyDescent="0.25">
      <c r="A9" s="212" t="s">
        <v>7</v>
      </c>
      <c r="B9" s="216"/>
      <c r="C9" s="216"/>
      <c r="D9" s="216"/>
      <c r="E9" s="216"/>
      <c r="F9" s="216"/>
    </row>
    <row r="10" spans="1:6" hidden="1" x14ac:dyDescent="0.25">
      <c r="A10" s="212" t="s">
        <v>10</v>
      </c>
      <c r="B10" s="216"/>
      <c r="C10" s="216"/>
      <c r="D10" s="216"/>
      <c r="E10" s="216"/>
      <c r="F10" s="217"/>
    </row>
    <row r="11" spans="1:6" x14ac:dyDescent="0.25">
      <c r="A11" s="282" t="s">
        <v>59</v>
      </c>
      <c r="B11" s="359">
        <v>-10618481.300000001</v>
      </c>
      <c r="C11" s="359">
        <v>-18144005.02</v>
      </c>
      <c r="D11" s="216">
        <v>-18356267.690000001</v>
      </c>
      <c r="E11" s="216">
        <v>-32334827.77</v>
      </c>
      <c r="F11" s="216">
        <v>-65395130.079999998</v>
      </c>
    </row>
    <row r="13" spans="1:6" x14ac:dyDescent="0.25">
      <c r="A13" s="211"/>
      <c r="B13" s="210" t="s">
        <v>5</v>
      </c>
      <c r="C13" s="210" t="s">
        <v>5</v>
      </c>
      <c r="D13" s="210" t="s">
        <v>5</v>
      </c>
      <c r="E13" s="210" t="s">
        <v>5</v>
      </c>
      <c r="F13" s="210" t="s">
        <v>5</v>
      </c>
    </row>
    <row r="14" spans="1:6" x14ac:dyDescent="0.25">
      <c r="A14" s="211" t="s">
        <v>3</v>
      </c>
      <c r="B14" s="210" t="str">
        <f>B4</f>
        <v>7 мес. 2018 г.</v>
      </c>
      <c r="C14" s="210" t="str">
        <f t="shared" ref="C14:F14" si="0">C4</f>
        <v>7 мес. 2019 г.</v>
      </c>
      <c r="D14" s="210" t="str">
        <f t="shared" si="0"/>
        <v>7 мес. 2020 г.</v>
      </c>
      <c r="E14" s="210" t="str">
        <f t="shared" si="0"/>
        <v>7 мес. 2021 г.</v>
      </c>
      <c r="F14" s="210" t="str">
        <f t="shared" si="0"/>
        <v>7 мес. 2022 г.</v>
      </c>
    </row>
    <row r="15" spans="1:6" x14ac:dyDescent="0.25">
      <c r="A15" s="212" t="s">
        <v>365</v>
      </c>
      <c r="B15" s="213">
        <f>(B6+B10)/1000</f>
        <v>1293597.1003299998</v>
      </c>
      <c r="C15" s="213">
        <f t="shared" ref="C15:F15" si="1">(C6+C10)/1000</f>
        <v>1413638.6686499999</v>
      </c>
      <c r="D15" s="213">
        <f t="shared" si="1"/>
        <v>1349671.8250300002</v>
      </c>
      <c r="E15" s="213">
        <f t="shared" si="1"/>
        <v>1460455.9402300001</v>
      </c>
      <c r="F15" s="213">
        <f t="shared" si="1"/>
        <v>1944103.9206899998</v>
      </c>
    </row>
    <row r="16" spans="1:6" x14ac:dyDescent="0.25">
      <c r="A16" s="212" t="s">
        <v>7</v>
      </c>
      <c r="B16" s="213">
        <f>(B5+B9)/1000</f>
        <v>-68837.805989999993</v>
      </c>
      <c r="C16" s="213">
        <f t="shared" ref="C16:F16" si="2">(C5+C9)/1000</f>
        <v>30268.994210000001</v>
      </c>
      <c r="D16" s="213">
        <f t="shared" si="2"/>
        <v>-40439.627390000001</v>
      </c>
      <c r="E16" s="213">
        <f t="shared" si="2"/>
        <v>35203.842479999999</v>
      </c>
      <c r="F16" s="213">
        <f t="shared" si="2"/>
        <v>182848.19055</v>
      </c>
    </row>
    <row r="17" spans="1:6" x14ac:dyDescent="0.25">
      <c r="A17" s="212" t="s">
        <v>883</v>
      </c>
      <c r="B17" s="213"/>
      <c r="C17" s="213"/>
      <c r="D17" s="213"/>
      <c r="E17" s="213">
        <f>E16</f>
        <v>35203.842479999999</v>
      </c>
      <c r="F17" s="213">
        <f>F16-44222459.97/1000</f>
        <v>138625.73058</v>
      </c>
    </row>
    <row r="18" spans="1:6" x14ac:dyDescent="0.25">
      <c r="A18" t="s">
        <v>846</v>
      </c>
      <c r="B18" s="283">
        <f>B5/(B6+B11)</f>
        <v>-5.3654679017211555E-2</v>
      </c>
      <c r="C18" s="283">
        <f t="shared" ref="C18:F18" si="3">C5/(C6+C11)</f>
        <v>2.1690512331493581E-2</v>
      </c>
      <c r="D18" s="283">
        <f t="shared" si="3"/>
        <v>-3.0375689044601362E-2</v>
      </c>
      <c r="E18" s="283">
        <f t="shared" si="3"/>
        <v>2.4650460085531446E-2</v>
      </c>
      <c r="F18" s="283">
        <f t="shared" si="3"/>
        <v>9.7326520993512175E-2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309"/>
  <sheetViews>
    <sheetView zoomScale="110" zoomScaleNormal="110" workbookViewId="0">
      <pane xSplit="1" ySplit="6" topLeftCell="G22" activePane="bottomRight" state="frozen"/>
      <selection pane="topRight" activeCell="B1" sqref="B1"/>
      <selection pane="bottomLeft" activeCell="A7" sqref="A7"/>
      <selection pane="bottomRight" activeCell="S141" sqref="S141"/>
    </sheetView>
  </sheetViews>
  <sheetFormatPr defaultColWidth="9" defaultRowHeight="11.45" customHeight="1" outlineLevelRow="7" x14ac:dyDescent="0.2"/>
  <cols>
    <col min="1" max="1" width="69.5703125" style="218" customWidth="1"/>
    <col min="2" max="2" width="11.85546875" style="219" customWidth="1"/>
    <col min="3" max="5" width="11.85546875" style="288" customWidth="1"/>
    <col min="6" max="6" width="16.85546875" style="218" customWidth="1"/>
    <col min="7" max="7" width="11.85546875" style="219" customWidth="1"/>
    <col min="8" max="8" width="10.85546875" style="221" bestFit="1" customWidth="1"/>
    <col min="9" max="9" width="25" style="221" customWidth="1"/>
    <col min="10" max="10" width="11.28515625" style="221" customWidth="1"/>
    <col min="11" max="11" width="10.7109375" style="221" customWidth="1"/>
    <col min="12" max="12" width="14" style="221" customWidth="1"/>
    <col min="13" max="16384" width="9" style="221"/>
  </cols>
  <sheetData>
    <row r="1" spans="1:12" s="218" customFormat="1" ht="9.9499999999999993" customHeight="1" x14ac:dyDescent="0.2">
      <c r="B1" s="219"/>
      <c r="C1" s="288"/>
      <c r="D1" s="288"/>
      <c r="E1" s="288"/>
      <c r="G1" s="219"/>
    </row>
    <row r="2" spans="1:12" ht="24.95" customHeight="1" x14ac:dyDescent="0.2">
      <c r="A2" s="220" t="s">
        <v>847</v>
      </c>
    </row>
    <row r="3" spans="1:12" s="218" customFormat="1" ht="9.9499999999999993" customHeight="1" x14ac:dyDescent="0.2">
      <c r="B3" s="219"/>
      <c r="C3" s="289"/>
      <c r="D3" s="288"/>
      <c r="E3" s="288"/>
      <c r="G3" s="219"/>
    </row>
    <row r="4" spans="1:12" s="218" customFormat="1" ht="9.9499999999999993" customHeight="1" x14ac:dyDescent="0.2">
      <c r="B4" s="219"/>
      <c r="C4" s="288"/>
      <c r="D4" s="288"/>
      <c r="E4" s="288"/>
      <c r="G4" s="219"/>
    </row>
    <row r="5" spans="1:12" ht="26.1" customHeight="1" x14ac:dyDescent="0.2">
      <c r="A5" s="222"/>
      <c r="B5" s="319" t="s">
        <v>867</v>
      </c>
      <c r="C5" s="469" t="s">
        <v>848</v>
      </c>
      <c r="D5" s="470"/>
      <c r="E5" s="470"/>
      <c r="F5" s="470"/>
      <c r="G5" s="471"/>
    </row>
    <row r="6" spans="1:12" ht="12.75" x14ac:dyDescent="0.2">
      <c r="A6" s="222" t="s">
        <v>3</v>
      </c>
      <c r="B6" s="290" t="s">
        <v>813</v>
      </c>
      <c r="C6" s="264" t="s">
        <v>408</v>
      </c>
      <c r="D6" s="290" t="s">
        <v>813</v>
      </c>
      <c r="E6" s="290" t="s">
        <v>855</v>
      </c>
      <c r="F6" s="290" t="s">
        <v>820</v>
      </c>
      <c r="G6" s="264" t="s">
        <v>821</v>
      </c>
    </row>
    <row r="7" spans="1:12" ht="11.1" customHeight="1" x14ac:dyDescent="0.2">
      <c r="A7" s="223" t="s">
        <v>7</v>
      </c>
      <c r="B7" s="284">
        <v>-196535887.50999999</v>
      </c>
      <c r="C7" s="284">
        <v>-124686975.92</v>
      </c>
      <c r="D7" s="284">
        <v>4314556.5</v>
      </c>
      <c r="E7" s="284">
        <v>-25785070.91</v>
      </c>
      <c r="F7" s="225">
        <f>D7-C7</f>
        <v>129001532.42</v>
      </c>
      <c r="G7" s="224">
        <f>(D7/C7-1)*-1</f>
        <v>1.0346031048404627</v>
      </c>
    </row>
    <row r="8" spans="1:12" ht="11.1" customHeight="1" outlineLevel="1" x14ac:dyDescent="0.2">
      <c r="A8" s="227" t="s">
        <v>8</v>
      </c>
      <c r="B8" s="285">
        <v>-213638649.94</v>
      </c>
      <c r="C8" s="285">
        <v>-155858875.40000001</v>
      </c>
      <c r="D8" s="285">
        <v>16812355.16</v>
      </c>
      <c r="E8" s="285">
        <v>-20812179.109999999</v>
      </c>
      <c r="F8" s="229">
        <f t="shared" ref="F8:F71" si="0">D8-C8</f>
        <v>172671230.56</v>
      </c>
      <c r="G8" s="228">
        <f>(D8/C8-1)*-1</f>
        <v>1.1078690906555841</v>
      </c>
    </row>
    <row r="9" spans="1:12" ht="11.1" customHeight="1" outlineLevel="2" x14ac:dyDescent="0.2">
      <c r="A9" s="230" t="s">
        <v>9</v>
      </c>
      <c r="B9" s="284">
        <v>4668466412.3999996</v>
      </c>
      <c r="C9" s="284">
        <v>5202238024.4900007</v>
      </c>
      <c r="D9" s="284">
        <v>5475557316.2299995</v>
      </c>
      <c r="E9" s="284">
        <v>5309442563.2300005</v>
      </c>
      <c r="F9" s="225">
        <f t="shared" si="0"/>
        <v>273319291.73999882</v>
      </c>
      <c r="G9" s="224">
        <f t="shared" ref="G9:G71" si="1">D9/C9-1</f>
        <v>5.2538790123274559E-2</v>
      </c>
    </row>
    <row r="10" spans="1:12" ht="11.1" customHeight="1" outlineLevel="3" x14ac:dyDescent="0.2">
      <c r="A10" s="231" t="s">
        <v>10</v>
      </c>
      <c r="B10" s="286">
        <v>4556519160.1400003</v>
      </c>
      <c r="C10" s="286">
        <v>5086810936.1400003</v>
      </c>
      <c r="D10" s="286">
        <v>5338714442.71</v>
      </c>
      <c r="E10" s="286">
        <v>5172599689.7099991</v>
      </c>
      <c r="F10" s="233">
        <f t="shared" si="0"/>
        <v>251903506.56999969</v>
      </c>
      <c r="G10" s="232">
        <f t="shared" si="1"/>
        <v>4.9520910002829766E-2</v>
      </c>
      <c r="J10" s="316" t="s">
        <v>861</v>
      </c>
      <c r="K10" s="316" t="s">
        <v>862</v>
      </c>
      <c r="L10" s="221" t="s">
        <v>864</v>
      </c>
    </row>
    <row r="11" spans="1:12" ht="11.1" customHeight="1" outlineLevel="4" x14ac:dyDescent="0.2">
      <c r="A11" s="234" t="s">
        <v>11</v>
      </c>
      <c r="B11" s="285">
        <v>1126991360.5599999</v>
      </c>
      <c r="C11" s="285">
        <v>1175259548.5799999</v>
      </c>
      <c r="D11" s="285">
        <v>1245512255.0899999</v>
      </c>
      <c r="E11" s="285">
        <v>1245512255.0899999</v>
      </c>
      <c r="F11" s="229">
        <f t="shared" si="0"/>
        <v>70252706.50999999</v>
      </c>
      <c r="G11" s="228">
        <f t="shared" si="1"/>
        <v>5.9776333317080876E-2</v>
      </c>
      <c r="I11" s="221" t="s">
        <v>856</v>
      </c>
      <c r="J11" s="226">
        <f>ROUND(C11/1000,0)</f>
        <v>1175260</v>
      </c>
      <c r="K11" s="226">
        <f>ROUND(D11/1000,0)</f>
        <v>1245512</v>
      </c>
      <c r="L11" s="318">
        <f>K11/J11-100%</f>
        <v>5.977570920477171E-2</v>
      </c>
    </row>
    <row r="12" spans="1:12" ht="11.1" customHeight="1" outlineLevel="5" x14ac:dyDescent="0.2">
      <c r="A12" s="235" t="s">
        <v>12</v>
      </c>
      <c r="B12" s="287">
        <v>944670043.75999999</v>
      </c>
      <c r="C12" s="287">
        <v>962119227.33000004</v>
      </c>
      <c r="D12" s="287">
        <v>1036723058.4</v>
      </c>
      <c r="E12" s="287">
        <v>1036723058.4</v>
      </c>
      <c r="F12" s="237">
        <f t="shared" si="0"/>
        <v>74603831.069999933</v>
      </c>
      <c r="G12" s="236">
        <f t="shared" si="1"/>
        <v>7.7541149735708803E-2</v>
      </c>
      <c r="I12" s="221" t="s">
        <v>857</v>
      </c>
      <c r="J12" s="226">
        <f>ROUND(C16/1000,0)</f>
        <v>924422</v>
      </c>
      <c r="K12" s="226">
        <f>ROUND(D16/1000,0)</f>
        <v>975326</v>
      </c>
      <c r="L12" s="318">
        <f t="shared" ref="L12:L25" si="2">K12/J12-100%</f>
        <v>5.50657600100386E-2</v>
      </c>
    </row>
    <row r="13" spans="1:12" ht="11.1" customHeight="1" outlineLevel="5" x14ac:dyDescent="0.2">
      <c r="A13" s="235" t="s">
        <v>13</v>
      </c>
      <c r="B13" s="287">
        <v>54798817.219999999</v>
      </c>
      <c r="C13" s="287">
        <v>77917508.060000002</v>
      </c>
      <c r="D13" s="287">
        <v>60289648.369999997</v>
      </c>
      <c r="E13" s="287">
        <v>60289648.369999997</v>
      </c>
      <c r="F13" s="237">
        <f t="shared" si="0"/>
        <v>-17627859.690000005</v>
      </c>
      <c r="G13" s="236">
        <f t="shared" si="1"/>
        <v>-0.22623746740496065</v>
      </c>
      <c r="I13" s="221" t="s">
        <v>863</v>
      </c>
      <c r="J13" s="226">
        <f>ROUND(C20/1000,0)</f>
        <v>873614</v>
      </c>
      <c r="K13" s="226">
        <f>ROUND(D20/1000,0)</f>
        <v>758658</v>
      </c>
      <c r="L13" s="318">
        <f t="shared" si="2"/>
        <v>-0.13158671907730413</v>
      </c>
    </row>
    <row r="14" spans="1:12" ht="11.1" customHeight="1" outlineLevel="5" x14ac:dyDescent="0.2">
      <c r="A14" s="235" t="s">
        <v>14</v>
      </c>
      <c r="B14" s="287">
        <v>127522499.58</v>
      </c>
      <c r="C14" s="287">
        <v>135222813.19</v>
      </c>
      <c r="D14" s="287">
        <v>148499548.31999999</v>
      </c>
      <c r="E14" s="287">
        <v>148499548.31999999</v>
      </c>
      <c r="F14" s="237">
        <f t="shared" si="0"/>
        <v>13276735.129999995</v>
      </c>
      <c r="G14" s="236">
        <f t="shared" si="1"/>
        <v>9.8184136365695895E-2</v>
      </c>
      <c r="I14" s="221" t="s">
        <v>858</v>
      </c>
      <c r="J14" s="226">
        <f>ROUND(C25/1000,0)</f>
        <v>993201</v>
      </c>
      <c r="K14" s="226">
        <f>ROUND(D25/1000,0)</f>
        <v>1301837</v>
      </c>
      <c r="L14" s="318">
        <f t="shared" si="2"/>
        <v>0.31074878096175906</v>
      </c>
    </row>
    <row r="15" spans="1:12" ht="11.1" customHeight="1" outlineLevel="4" x14ac:dyDescent="0.2">
      <c r="A15" s="234" t="s">
        <v>15</v>
      </c>
      <c r="B15" s="285">
        <v>1729430832.71</v>
      </c>
      <c r="C15" s="285">
        <v>1814172475.3500001</v>
      </c>
      <c r="D15" s="285">
        <v>1749286452.6400001</v>
      </c>
      <c r="E15" s="285">
        <v>1749286452.6400001</v>
      </c>
      <c r="F15" s="229">
        <f t="shared" si="0"/>
        <v>-64886022.710000038</v>
      </c>
      <c r="G15" s="228">
        <f t="shared" si="1"/>
        <v>-3.5766181877212033E-2</v>
      </c>
      <c r="I15" s="221" t="s">
        <v>865</v>
      </c>
      <c r="J15" s="226">
        <f>ROUND(C29/1000,0)</f>
        <v>744548</v>
      </c>
      <c r="K15" s="226">
        <f>ROUND(D29/1000,0)</f>
        <v>717529</v>
      </c>
      <c r="L15" s="318">
        <f t="shared" si="2"/>
        <v>-3.6289131123849683E-2</v>
      </c>
    </row>
    <row r="16" spans="1:12" ht="11.1" customHeight="1" outlineLevel="5" x14ac:dyDescent="0.2">
      <c r="A16" s="238" t="s">
        <v>16</v>
      </c>
      <c r="B16" s="285">
        <v>881007146.47000003</v>
      </c>
      <c r="C16" s="285">
        <v>924421786.69000006</v>
      </c>
      <c r="D16" s="285">
        <v>975326393.23000002</v>
      </c>
      <c r="E16" s="285">
        <v>975326393.23000002</v>
      </c>
      <c r="F16" s="229">
        <f t="shared" si="0"/>
        <v>50904606.539999962</v>
      </c>
      <c r="G16" s="228">
        <f t="shared" si="1"/>
        <v>5.5066428845505611E-2</v>
      </c>
      <c r="I16" s="221" t="s">
        <v>859</v>
      </c>
      <c r="J16" s="226">
        <f>ROUND(C33/1000,0)</f>
        <v>276664</v>
      </c>
      <c r="K16" s="226">
        <f>ROUND(D33/1000,0)</f>
        <v>246139</v>
      </c>
      <c r="L16" s="318">
        <f t="shared" si="2"/>
        <v>-0.11033238874591567</v>
      </c>
    </row>
    <row r="17" spans="1:12" ht="11.1" customHeight="1" outlineLevel="6" x14ac:dyDescent="0.2">
      <c r="A17" s="239" t="s">
        <v>17</v>
      </c>
      <c r="B17" s="287">
        <v>424835060.83999997</v>
      </c>
      <c r="C17" s="287">
        <v>457393633.01999998</v>
      </c>
      <c r="D17" s="287">
        <v>479087394</v>
      </c>
      <c r="E17" s="287">
        <v>479087394</v>
      </c>
      <c r="F17" s="237">
        <f t="shared" si="0"/>
        <v>21693760.980000019</v>
      </c>
      <c r="G17" s="236">
        <f t="shared" si="1"/>
        <v>4.7429083865387911E-2</v>
      </c>
      <c r="J17" s="226"/>
      <c r="K17" s="226"/>
      <c r="L17" s="318"/>
    </row>
    <row r="18" spans="1:12" ht="11.1" customHeight="1" outlineLevel="6" x14ac:dyDescent="0.2">
      <c r="A18" s="239" t="s">
        <v>18</v>
      </c>
      <c r="B18" s="287">
        <v>327783474.13</v>
      </c>
      <c r="C18" s="287">
        <v>341172693.81999999</v>
      </c>
      <c r="D18" s="287">
        <v>356035752.24000001</v>
      </c>
      <c r="E18" s="287">
        <v>356035752.24000001</v>
      </c>
      <c r="F18" s="237">
        <f t="shared" si="0"/>
        <v>14863058.420000017</v>
      </c>
      <c r="G18" s="236">
        <f t="shared" si="1"/>
        <v>4.3564619001547733E-2</v>
      </c>
      <c r="J18" s="226"/>
      <c r="K18" s="226"/>
      <c r="L18" s="318"/>
    </row>
    <row r="19" spans="1:12" ht="11.1" customHeight="1" outlineLevel="6" x14ac:dyDescent="0.2">
      <c r="A19" s="239" t="s">
        <v>19</v>
      </c>
      <c r="B19" s="287">
        <v>128388611.5</v>
      </c>
      <c r="C19" s="287">
        <v>125855459.84999999</v>
      </c>
      <c r="D19" s="287">
        <v>140203246.99000001</v>
      </c>
      <c r="E19" s="287">
        <v>140203246.99000001</v>
      </c>
      <c r="F19" s="237">
        <f t="shared" si="0"/>
        <v>14347787.140000015</v>
      </c>
      <c r="G19" s="236">
        <f t="shared" si="1"/>
        <v>0.11400210334220162</v>
      </c>
      <c r="J19" s="226"/>
      <c r="K19" s="226"/>
      <c r="L19" s="318"/>
    </row>
    <row r="20" spans="1:12" ht="11.1" customHeight="1" outlineLevel="5" x14ac:dyDescent="0.2">
      <c r="A20" s="238" t="s">
        <v>20</v>
      </c>
      <c r="B20" s="285">
        <v>837150061.39999998</v>
      </c>
      <c r="C20" s="285">
        <v>873614234.87</v>
      </c>
      <c r="D20" s="285">
        <v>758657811.23000002</v>
      </c>
      <c r="E20" s="285">
        <v>758657811.23000002</v>
      </c>
      <c r="F20" s="229">
        <f t="shared" si="0"/>
        <v>-114956423.63999999</v>
      </c>
      <c r="G20" s="228">
        <f t="shared" si="1"/>
        <v>-0.13158716862838926</v>
      </c>
      <c r="I20" s="221" t="s">
        <v>866</v>
      </c>
      <c r="J20" s="226">
        <f>ROUND(C34/1000,0)</f>
        <v>62251</v>
      </c>
      <c r="K20" s="226">
        <f>ROUND(D34/1000,0)</f>
        <v>65229</v>
      </c>
      <c r="L20" s="318">
        <f t="shared" si="2"/>
        <v>4.7838588938330373E-2</v>
      </c>
    </row>
    <row r="21" spans="1:12" ht="11.1" customHeight="1" outlineLevel="6" x14ac:dyDescent="0.2">
      <c r="A21" s="239" t="s">
        <v>814</v>
      </c>
      <c r="B21" s="287">
        <v>194187568.28999999</v>
      </c>
      <c r="C21" s="287">
        <v>225679134.88</v>
      </c>
      <c r="D21" s="287">
        <v>174120892.74000001</v>
      </c>
      <c r="E21" s="287">
        <v>174120892.74000001</v>
      </c>
      <c r="F21" s="237">
        <f t="shared" si="0"/>
        <v>-51558242.139999986</v>
      </c>
      <c r="G21" s="236">
        <f t="shared" si="1"/>
        <v>-0.22845816990310142</v>
      </c>
      <c r="J21" s="226"/>
      <c r="K21" s="226"/>
      <c r="L21" s="318"/>
    </row>
    <row r="22" spans="1:12" ht="11.1" customHeight="1" outlineLevel="6" x14ac:dyDescent="0.2">
      <c r="A22" s="239" t="s">
        <v>815</v>
      </c>
      <c r="B22" s="287">
        <v>546694000.24000001</v>
      </c>
      <c r="C22" s="287">
        <v>564321720.01999998</v>
      </c>
      <c r="D22" s="287">
        <v>511931163.42000002</v>
      </c>
      <c r="E22" s="287">
        <v>511931163.42000002</v>
      </c>
      <c r="F22" s="237">
        <f t="shared" si="0"/>
        <v>-52390556.599999964</v>
      </c>
      <c r="G22" s="236">
        <f t="shared" si="1"/>
        <v>-9.2838100575223681E-2</v>
      </c>
      <c r="J22" s="226"/>
      <c r="K22" s="226"/>
      <c r="L22" s="318"/>
    </row>
    <row r="23" spans="1:12" ht="11.1" customHeight="1" outlineLevel="6" x14ac:dyDescent="0.2">
      <c r="A23" s="239" t="s">
        <v>23</v>
      </c>
      <c r="B23" s="287">
        <v>96268492.870000005</v>
      </c>
      <c r="C23" s="287">
        <v>83613379.969999999</v>
      </c>
      <c r="D23" s="287">
        <v>72605755.069999993</v>
      </c>
      <c r="E23" s="287">
        <v>72605755.069999993</v>
      </c>
      <c r="F23" s="237">
        <f t="shared" si="0"/>
        <v>-11007624.900000006</v>
      </c>
      <c r="G23" s="236">
        <f t="shared" si="1"/>
        <v>-0.13164908420099131</v>
      </c>
      <c r="J23" s="226"/>
      <c r="K23" s="226"/>
      <c r="L23" s="318"/>
    </row>
    <row r="24" spans="1:12" ht="11.1" customHeight="1" outlineLevel="5" x14ac:dyDescent="0.2">
      <c r="A24" s="235" t="s">
        <v>24</v>
      </c>
      <c r="B24" s="287">
        <v>11273624.84</v>
      </c>
      <c r="C24" s="287">
        <v>16136453.789999999</v>
      </c>
      <c r="D24" s="287">
        <v>15302248.18</v>
      </c>
      <c r="E24" s="287">
        <v>15302248.18</v>
      </c>
      <c r="F24" s="237">
        <f t="shared" si="0"/>
        <v>-834205.6099999994</v>
      </c>
      <c r="G24" s="236">
        <f t="shared" si="1"/>
        <v>-5.1696960240233736E-2</v>
      </c>
      <c r="I24" s="221" t="s">
        <v>860</v>
      </c>
      <c r="J24" s="226">
        <f>ROUND(C35/1000,0)</f>
        <v>20715</v>
      </c>
      <c r="K24" s="226">
        <f>ROUND(D35/1000,0)</f>
        <v>13182</v>
      </c>
      <c r="L24" s="318">
        <f t="shared" si="2"/>
        <v>-0.36364952932657491</v>
      </c>
    </row>
    <row r="25" spans="1:12" ht="11.1" customHeight="1" outlineLevel="4" x14ac:dyDescent="0.2">
      <c r="A25" s="234" t="s">
        <v>25</v>
      </c>
      <c r="B25" s="285">
        <v>728666264.60000002</v>
      </c>
      <c r="C25" s="285">
        <v>993201222.09000003</v>
      </c>
      <c r="D25" s="285">
        <v>1301836644.48</v>
      </c>
      <c r="E25" s="285">
        <v>1135721891.48</v>
      </c>
      <c r="F25" s="229">
        <f t="shared" si="0"/>
        <v>308635422.38999999</v>
      </c>
      <c r="G25" s="228">
        <f t="shared" si="1"/>
        <v>0.31074812991121425</v>
      </c>
      <c r="I25" s="221" t="s">
        <v>44</v>
      </c>
      <c r="J25" s="226">
        <f>ROUND(C44/1000,0)</f>
        <v>23737</v>
      </c>
      <c r="K25" s="226">
        <f>ROUND(D44/1000,0)</f>
        <v>44853</v>
      </c>
      <c r="L25" s="318">
        <f t="shared" si="2"/>
        <v>0.88958166575388642</v>
      </c>
    </row>
    <row r="26" spans="1:12" ht="11.1" customHeight="1" outlineLevel="5" x14ac:dyDescent="0.2">
      <c r="A26" s="235" t="s">
        <v>26</v>
      </c>
      <c r="B26" s="287">
        <v>158131316.19</v>
      </c>
      <c r="C26" s="287">
        <v>141436034.55000001</v>
      </c>
      <c r="D26" s="287">
        <v>282217588.77999997</v>
      </c>
      <c r="E26" s="287">
        <v>282217588.77999997</v>
      </c>
      <c r="F26" s="237">
        <f t="shared" si="0"/>
        <v>140781554.22999996</v>
      </c>
      <c r="G26" s="236">
        <f t="shared" si="1"/>
        <v>0.99537260555923823</v>
      </c>
    </row>
    <row r="27" spans="1:12" ht="11.1" customHeight="1" outlineLevel="5" x14ac:dyDescent="0.2">
      <c r="A27" s="235" t="s">
        <v>816</v>
      </c>
      <c r="B27" s="287">
        <v>295412528.76999998</v>
      </c>
      <c r="C27" s="287">
        <v>522220720.26999998</v>
      </c>
      <c r="D27" s="287">
        <v>691082751.86000001</v>
      </c>
      <c r="E27" s="287">
        <v>524967998.86000001</v>
      </c>
      <c r="F27" s="237">
        <f t="shared" si="0"/>
        <v>168862031.59000003</v>
      </c>
      <c r="G27" s="236">
        <f t="shared" si="1"/>
        <v>0.32335375643979525</v>
      </c>
    </row>
    <row r="28" spans="1:12" ht="11.1" customHeight="1" outlineLevel="5" x14ac:dyDescent="0.2">
      <c r="A28" s="235" t="s">
        <v>28</v>
      </c>
      <c r="B28" s="287">
        <v>275122419.63999999</v>
      </c>
      <c r="C28" s="287">
        <v>329544467.26999998</v>
      </c>
      <c r="D28" s="287">
        <v>328536303.83999997</v>
      </c>
      <c r="E28" s="287">
        <v>328536303.83999997</v>
      </c>
      <c r="F28" s="237">
        <f t="shared" si="0"/>
        <v>-1008163.4300000072</v>
      </c>
      <c r="G28" s="236">
        <f t="shared" si="1"/>
        <v>-3.0592637113643351E-3</v>
      </c>
    </row>
    <row r="29" spans="1:12" ht="11.1" customHeight="1" outlineLevel="4" x14ac:dyDescent="0.2">
      <c r="A29" s="234" t="s">
        <v>29</v>
      </c>
      <c r="B29" s="285">
        <v>685235037.65999997</v>
      </c>
      <c r="C29" s="285">
        <v>744547971.74000001</v>
      </c>
      <c r="D29" s="285">
        <v>717528768.99000001</v>
      </c>
      <c r="E29" s="285">
        <v>717528768.99000001</v>
      </c>
      <c r="F29" s="229">
        <f t="shared" si="0"/>
        <v>-27019202.75</v>
      </c>
      <c r="G29" s="228">
        <f t="shared" si="1"/>
        <v>-3.6289404814113468E-2</v>
      </c>
    </row>
    <row r="30" spans="1:12" ht="11.1" customHeight="1" outlineLevel="5" x14ac:dyDescent="0.2">
      <c r="A30" s="235" t="s">
        <v>30</v>
      </c>
      <c r="B30" s="287">
        <v>562413886.09000003</v>
      </c>
      <c r="C30" s="287">
        <v>611452809.23000002</v>
      </c>
      <c r="D30" s="287">
        <v>547779286.74000001</v>
      </c>
      <c r="E30" s="287">
        <v>547779286.74000001</v>
      </c>
      <c r="F30" s="237">
        <f t="shared" si="0"/>
        <v>-63673522.49000001</v>
      </c>
      <c r="G30" s="236">
        <f t="shared" si="1"/>
        <v>-0.10413481061634799</v>
      </c>
    </row>
    <row r="31" spans="1:12" ht="11.1" customHeight="1" outlineLevel="5" x14ac:dyDescent="0.2">
      <c r="A31" s="235" t="s">
        <v>31</v>
      </c>
      <c r="B31" s="287">
        <v>110600729.54000001</v>
      </c>
      <c r="C31" s="287">
        <v>122950003.06</v>
      </c>
      <c r="D31" s="287">
        <v>152793363.55000001</v>
      </c>
      <c r="E31" s="287">
        <v>152793363.55000001</v>
      </c>
      <c r="F31" s="237">
        <f t="shared" si="0"/>
        <v>29843360.49000001</v>
      </c>
      <c r="G31" s="236">
        <f t="shared" si="1"/>
        <v>0.24272761079506733</v>
      </c>
    </row>
    <row r="32" spans="1:12" ht="11.1" customHeight="1" outlineLevel="5" x14ac:dyDescent="0.2">
      <c r="A32" s="235" t="s">
        <v>817</v>
      </c>
      <c r="B32" s="287">
        <v>12220422.029999999</v>
      </c>
      <c r="C32" s="287">
        <v>10145159.449999999</v>
      </c>
      <c r="D32" s="287">
        <v>16956118.699999999</v>
      </c>
      <c r="E32" s="287">
        <v>16956118.699999999</v>
      </c>
      <c r="F32" s="237">
        <f t="shared" si="0"/>
        <v>6810959.25</v>
      </c>
      <c r="G32" s="236">
        <f t="shared" si="1"/>
        <v>0.67135063609079104</v>
      </c>
    </row>
    <row r="33" spans="1:7" ht="11.1" customHeight="1" outlineLevel="4" x14ac:dyDescent="0.2">
      <c r="A33" s="240" t="s">
        <v>33</v>
      </c>
      <c r="B33" s="287">
        <v>218502577.25</v>
      </c>
      <c r="C33" s="287">
        <v>276663761.44999999</v>
      </c>
      <c r="D33" s="287">
        <v>246139417.12</v>
      </c>
      <c r="E33" s="287">
        <v>246139417.12</v>
      </c>
      <c r="F33" s="237">
        <f t="shared" si="0"/>
        <v>-30524344.329999983</v>
      </c>
      <c r="G33" s="236">
        <f t="shared" si="1"/>
        <v>-0.11033011396223824</v>
      </c>
    </row>
    <row r="34" spans="1:7" ht="11.1" customHeight="1" outlineLevel="4" x14ac:dyDescent="0.2">
      <c r="A34" s="240" t="s">
        <v>34</v>
      </c>
      <c r="B34" s="287">
        <v>55765004.450000003</v>
      </c>
      <c r="C34" s="287">
        <v>62250571.579999998</v>
      </c>
      <c r="D34" s="287">
        <v>65228725.479999997</v>
      </c>
      <c r="E34" s="287">
        <v>65228725.479999997</v>
      </c>
      <c r="F34" s="237">
        <f t="shared" si="0"/>
        <v>2978153.8999999985</v>
      </c>
      <c r="G34" s="236">
        <f t="shared" si="1"/>
        <v>4.7841390438844167E-2</v>
      </c>
    </row>
    <row r="35" spans="1:7" ht="11.1" customHeight="1" outlineLevel="4" x14ac:dyDescent="0.2">
      <c r="A35" s="234" t="s">
        <v>35</v>
      </c>
      <c r="B35" s="285">
        <v>11928082.91</v>
      </c>
      <c r="C35" s="285">
        <v>20715385.350000001</v>
      </c>
      <c r="D35" s="285">
        <v>13182178.91</v>
      </c>
      <c r="E35" s="285">
        <v>13182178.91</v>
      </c>
      <c r="F35" s="229">
        <f t="shared" si="0"/>
        <v>-7533206.4400000013</v>
      </c>
      <c r="G35" s="228">
        <f t="shared" si="1"/>
        <v>-0.36365273021580558</v>
      </c>
    </row>
    <row r="36" spans="1:7" ht="11.1" customHeight="1" outlineLevel="5" x14ac:dyDescent="0.2">
      <c r="A36" s="235" t="s">
        <v>36</v>
      </c>
      <c r="B36" s="287">
        <v>1776783.08</v>
      </c>
      <c r="C36" s="287">
        <v>4994889.55</v>
      </c>
      <c r="D36" s="287">
        <v>1297946.28</v>
      </c>
      <c r="E36" s="287">
        <v>1297946.28</v>
      </c>
      <c r="F36" s="237">
        <f t="shared" si="0"/>
        <v>-3696943.2699999996</v>
      </c>
      <c r="G36" s="236">
        <f t="shared" si="1"/>
        <v>-0.74014514895529571</v>
      </c>
    </row>
    <row r="37" spans="1:7" ht="11.1" customHeight="1" outlineLevel="5" x14ac:dyDescent="0.2">
      <c r="A37" s="235" t="s">
        <v>37</v>
      </c>
      <c r="B37" s="287">
        <v>9819488.7799999993</v>
      </c>
      <c r="C37" s="287">
        <v>10020935.6</v>
      </c>
      <c r="D37" s="287">
        <v>9363755.1799999997</v>
      </c>
      <c r="E37" s="287">
        <v>9363755.1799999997</v>
      </c>
      <c r="F37" s="237">
        <f t="shared" si="0"/>
        <v>-657180.41999999993</v>
      </c>
      <c r="G37" s="236">
        <f t="shared" si="1"/>
        <v>-6.558074477596687E-2</v>
      </c>
    </row>
    <row r="38" spans="1:7" ht="11.1" customHeight="1" outlineLevel="5" x14ac:dyDescent="0.2">
      <c r="A38" s="235" t="s">
        <v>38</v>
      </c>
      <c r="B38" s="287">
        <v>331811.05</v>
      </c>
      <c r="C38" s="287">
        <v>5699560.2000000002</v>
      </c>
      <c r="D38" s="287">
        <v>2520477.4500000002</v>
      </c>
      <c r="E38" s="287">
        <v>2520477.4500000002</v>
      </c>
      <c r="F38" s="237">
        <f t="shared" si="0"/>
        <v>-3179082.75</v>
      </c>
      <c r="G38" s="236">
        <f t="shared" si="1"/>
        <v>-0.55777685267715915</v>
      </c>
    </row>
    <row r="39" spans="1:7" ht="11.1" customHeight="1" outlineLevel="3" x14ac:dyDescent="0.2">
      <c r="A39" s="241" t="s">
        <v>39</v>
      </c>
      <c r="B39" s="285">
        <v>55050693.789999999</v>
      </c>
      <c r="C39" s="285">
        <v>91690541.530000001</v>
      </c>
      <c r="D39" s="285">
        <v>91990220.579999998</v>
      </c>
      <c r="E39" s="285">
        <v>91990220.579999998</v>
      </c>
      <c r="F39" s="229">
        <f t="shared" si="0"/>
        <v>299679.04999999702</v>
      </c>
      <c r="G39" s="228">
        <f t="shared" si="1"/>
        <v>3.2683747418149611E-3</v>
      </c>
    </row>
    <row r="40" spans="1:7" ht="11.1" customHeight="1" outlineLevel="4" x14ac:dyDescent="0.2">
      <c r="A40" s="240" t="s">
        <v>40</v>
      </c>
      <c r="B40" s="287">
        <v>33842545.719999999</v>
      </c>
      <c r="C40" s="287">
        <v>73146541.549999997</v>
      </c>
      <c r="D40" s="287">
        <v>72094108.219999999</v>
      </c>
      <c r="E40" s="287">
        <v>72094108.219999999</v>
      </c>
      <c r="F40" s="237">
        <f t="shared" si="0"/>
        <v>-1052433.3299999982</v>
      </c>
      <c r="G40" s="236">
        <f t="shared" si="1"/>
        <v>-1.4388012169797459E-2</v>
      </c>
    </row>
    <row r="41" spans="1:7" ht="11.1" customHeight="1" outlineLevel="4" x14ac:dyDescent="0.2">
      <c r="A41" s="240" t="s">
        <v>41</v>
      </c>
      <c r="B41" s="287">
        <v>17953748.890000001</v>
      </c>
      <c r="C41" s="287">
        <v>16264000</v>
      </c>
      <c r="D41" s="287">
        <v>15367096.130000001</v>
      </c>
      <c r="E41" s="287">
        <v>15367096.130000001</v>
      </c>
      <c r="F41" s="237">
        <f t="shared" si="0"/>
        <v>-896903.86999999918</v>
      </c>
      <c r="G41" s="236">
        <f t="shared" si="1"/>
        <v>-5.5146573413674349E-2</v>
      </c>
    </row>
    <row r="42" spans="1:7" ht="11.1" customHeight="1" outlineLevel="4" x14ac:dyDescent="0.2">
      <c r="A42" s="240" t="s">
        <v>42</v>
      </c>
      <c r="B42" s="287">
        <v>160416.65</v>
      </c>
      <c r="C42" s="287">
        <v>252499.98</v>
      </c>
      <c r="D42" s="287">
        <v>192499.98</v>
      </c>
      <c r="E42" s="287">
        <v>192499.98</v>
      </c>
      <c r="F42" s="237">
        <f t="shared" si="0"/>
        <v>-60000</v>
      </c>
      <c r="G42" s="236">
        <f t="shared" si="1"/>
        <v>-0.23762378119792327</v>
      </c>
    </row>
    <row r="43" spans="1:7" ht="11.1" customHeight="1" outlineLevel="4" x14ac:dyDescent="0.2">
      <c r="A43" s="240" t="s">
        <v>43</v>
      </c>
      <c r="B43" s="287">
        <v>3093982.53</v>
      </c>
      <c r="C43" s="287">
        <v>2027500</v>
      </c>
      <c r="D43" s="287">
        <v>4336516.25</v>
      </c>
      <c r="E43" s="287">
        <v>4336516.25</v>
      </c>
      <c r="F43" s="237">
        <f t="shared" si="0"/>
        <v>2309016.25</v>
      </c>
      <c r="G43" s="236">
        <f t="shared" si="1"/>
        <v>1.1388489519112208</v>
      </c>
    </row>
    <row r="44" spans="1:7" ht="11.1" customHeight="1" outlineLevel="3" x14ac:dyDescent="0.2">
      <c r="A44" s="241" t="s">
        <v>44</v>
      </c>
      <c r="B44" s="285">
        <v>56896558.469999999</v>
      </c>
      <c r="C44" s="285">
        <v>23736546.82</v>
      </c>
      <c r="D44" s="285">
        <v>44852652.939999998</v>
      </c>
      <c r="E44" s="285">
        <v>44852652.939999998</v>
      </c>
      <c r="F44" s="229">
        <f t="shared" si="0"/>
        <v>21116106.119999997</v>
      </c>
    </row>
    <row r="45" spans="1:7" ht="11.1" customHeight="1" outlineLevel="4" x14ac:dyDescent="0.2">
      <c r="A45" s="234" t="s">
        <v>45</v>
      </c>
      <c r="B45" s="285">
        <v>7522763.7699999996</v>
      </c>
      <c r="C45" s="285">
        <v>17285601.239999998</v>
      </c>
      <c r="D45" s="285">
        <v>8447910.4600000009</v>
      </c>
      <c r="E45" s="285">
        <v>8447910.4600000009</v>
      </c>
      <c r="F45" s="229">
        <f t="shared" si="0"/>
        <v>-8837690.7799999975</v>
      </c>
      <c r="G45" s="228">
        <f t="shared" si="1"/>
        <v>-0.51127471109011879</v>
      </c>
    </row>
    <row r="46" spans="1:7" ht="11.1" customHeight="1" outlineLevel="5" x14ac:dyDescent="0.2">
      <c r="A46" s="235" t="s">
        <v>46</v>
      </c>
      <c r="B46" s="287">
        <v>6991965.5599999996</v>
      </c>
      <c r="C46" s="287">
        <v>9000000</v>
      </c>
      <c r="D46" s="287">
        <v>8372845.1100000003</v>
      </c>
      <c r="E46" s="287">
        <v>8372845.1100000003</v>
      </c>
      <c r="F46" s="237">
        <f t="shared" si="0"/>
        <v>-627154.88999999966</v>
      </c>
      <c r="G46" s="236">
        <f t="shared" si="1"/>
        <v>-6.9683876666666644E-2</v>
      </c>
    </row>
    <row r="47" spans="1:7" ht="11.1" customHeight="1" outlineLevel="5" x14ac:dyDescent="0.2">
      <c r="A47" s="235" t="s">
        <v>47</v>
      </c>
      <c r="B47" s="287">
        <v>18291.52</v>
      </c>
      <c r="C47" s="287">
        <v>17800</v>
      </c>
      <c r="D47" s="287">
        <v>62599.54</v>
      </c>
      <c r="E47" s="287">
        <v>62599.54</v>
      </c>
      <c r="F47" s="237">
        <f t="shared" si="0"/>
        <v>44799.54</v>
      </c>
      <c r="G47" s="236">
        <f t="shared" si="1"/>
        <v>2.5168280898876403</v>
      </c>
    </row>
    <row r="48" spans="1:7" ht="11.1" customHeight="1" outlineLevel="5" x14ac:dyDescent="0.2">
      <c r="A48" s="235" t="s">
        <v>48</v>
      </c>
      <c r="B48" s="287">
        <v>281166.67</v>
      </c>
      <c r="C48" s="287">
        <v>8267801.2400000002</v>
      </c>
      <c r="D48" s="287"/>
      <c r="E48" s="287"/>
      <c r="F48" s="237">
        <f t="shared" si="0"/>
        <v>-8267801.2400000002</v>
      </c>
      <c r="G48" s="236">
        <f t="shared" si="1"/>
        <v>-1</v>
      </c>
    </row>
    <row r="49" spans="1:7" ht="11.1" customHeight="1" outlineLevel="5" x14ac:dyDescent="0.2">
      <c r="A49" s="235" t="s">
        <v>49</v>
      </c>
      <c r="B49" s="287"/>
      <c r="C49" s="287"/>
      <c r="D49" s="287"/>
      <c r="E49" s="287"/>
      <c r="F49" s="237">
        <f t="shared" si="0"/>
        <v>0</v>
      </c>
      <c r="G49" s="236" t="e">
        <f t="shared" si="1"/>
        <v>#DIV/0!</v>
      </c>
    </row>
    <row r="50" spans="1:7" ht="11.1" customHeight="1" outlineLevel="5" x14ac:dyDescent="0.2">
      <c r="A50" s="235" t="s">
        <v>50</v>
      </c>
      <c r="B50" s="287">
        <v>231340.02</v>
      </c>
      <c r="C50" s="287"/>
      <c r="D50" s="287">
        <v>12465.81</v>
      </c>
      <c r="E50" s="287">
        <v>12465.81</v>
      </c>
      <c r="F50" s="237">
        <f t="shared" si="0"/>
        <v>12465.81</v>
      </c>
      <c r="G50" s="236" t="e">
        <f t="shared" si="1"/>
        <v>#DIV/0!</v>
      </c>
    </row>
    <row r="51" spans="1:7" ht="11.1" customHeight="1" outlineLevel="4" x14ac:dyDescent="0.2">
      <c r="A51" s="240" t="s">
        <v>51</v>
      </c>
      <c r="B51" s="287">
        <v>541714.51</v>
      </c>
      <c r="C51" s="287"/>
      <c r="D51" s="287">
        <v>289882.17</v>
      </c>
      <c r="E51" s="287">
        <v>289882.17</v>
      </c>
      <c r="F51" s="237">
        <f t="shared" si="0"/>
        <v>289882.17</v>
      </c>
      <c r="G51" s="236" t="e">
        <f t="shared" si="1"/>
        <v>#DIV/0!</v>
      </c>
    </row>
    <row r="52" spans="1:7" ht="11.1" customHeight="1" outlineLevel="4" x14ac:dyDescent="0.2">
      <c r="A52" s="240" t="s">
        <v>52</v>
      </c>
      <c r="B52" s="287">
        <v>3820722.81</v>
      </c>
      <c r="C52" s="287"/>
      <c r="D52" s="287">
        <v>4658070.1100000003</v>
      </c>
      <c r="E52" s="287">
        <v>4658070.1100000003</v>
      </c>
      <c r="F52" s="237">
        <f t="shared" si="0"/>
        <v>4658070.1100000003</v>
      </c>
      <c r="G52" s="236" t="e">
        <f t="shared" si="1"/>
        <v>#DIV/0!</v>
      </c>
    </row>
    <row r="53" spans="1:7" ht="11.1" customHeight="1" outlineLevel="4" x14ac:dyDescent="0.2">
      <c r="A53" s="240" t="s">
        <v>53</v>
      </c>
      <c r="B53" s="287">
        <v>211411.98</v>
      </c>
      <c r="C53" s="287"/>
      <c r="D53" s="287">
        <v>1505050.89</v>
      </c>
      <c r="E53" s="287">
        <v>1505050.89</v>
      </c>
      <c r="F53" s="237">
        <f t="shared" si="0"/>
        <v>1505050.89</v>
      </c>
      <c r="G53" s="236" t="e">
        <f t="shared" si="1"/>
        <v>#DIV/0!</v>
      </c>
    </row>
    <row r="54" spans="1:7" ht="11.1" customHeight="1" outlineLevel="4" x14ac:dyDescent="0.2">
      <c r="A54" s="240" t="s">
        <v>54</v>
      </c>
      <c r="B54" s="287">
        <v>645011.98</v>
      </c>
      <c r="C54" s="287">
        <v>572045.6</v>
      </c>
      <c r="D54" s="287">
        <v>15177322.390000001</v>
      </c>
      <c r="E54" s="287">
        <v>15177322.390000001</v>
      </c>
      <c r="F54" s="237">
        <f t="shared" si="0"/>
        <v>14605276.790000001</v>
      </c>
      <c r="G54" s="236">
        <f t="shared" si="1"/>
        <v>25.531665290319516</v>
      </c>
    </row>
    <row r="55" spans="1:7" ht="11.1" customHeight="1" outlineLevel="4" x14ac:dyDescent="0.2">
      <c r="A55" s="240" t="s">
        <v>55</v>
      </c>
      <c r="B55" s="287"/>
      <c r="C55" s="287"/>
      <c r="D55" s="287"/>
      <c r="E55" s="287"/>
      <c r="F55" s="237">
        <f t="shared" si="0"/>
        <v>0</v>
      </c>
      <c r="G55" s="236" t="e">
        <f t="shared" si="1"/>
        <v>#DIV/0!</v>
      </c>
    </row>
    <row r="56" spans="1:7" ht="11.1" customHeight="1" outlineLevel="4" x14ac:dyDescent="0.2">
      <c r="A56" s="240" t="s">
        <v>56</v>
      </c>
      <c r="B56" s="287">
        <v>44154247.75</v>
      </c>
      <c r="C56" s="287">
        <v>5878899.9800000004</v>
      </c>
      <c r="D56" s="287">
        <v>14306525.119999999</v>
      </c>
      <c r="E56" s="287">
        <v>14306525.119999999</v>
      </c>
      <c r="F56" s="237">
        <f t="shared" si="0"/>
        <v>8427625.1399999987</v>
      </c>
      <c r="G56" s="236">
        <f t="shared" si="1"/>
        <v>1.4335377653422841</v>
      </c>
    </row>
    <row r="57" spans="1:7" ht="11.1" customHeight="1" outlineLevel="4" x14ac:dyDescent="0.2">
      <c r="A57" s="240" t="s">
        <v>57</v>
      </c>
      <c r="B57" s="287"/>
      <c r="C57" s="287"/>
      <c r="D57" s="287"/>
      <c r="E57" s="287"/>
      <c r="F57" s="237">
        <f t="shared" si="0"/>
        <v>0</v>
      </c>
      <c r="G57" s="236" t="e">
        <f t="shared" si="1"/>
        <v>#DIV/0!</v>
      </c>
    </row>
    <row r="58" spans="1:7" ht="11.1" customHeight="1" outlineLevel="4" x14ac:dyDescent="0.2">
      <c r="A58" s="240" t="s">
        <v>58</v>
      </c>
      <c r="B58" s="287">
        <v>685.67</v>
      </c>
      <c r="C58" s="287"/>
      <c r="D58" s="287">
        <v>467891.8</v>
      </c>
      <c r="E58" s="287">
        <v>467891.8</v>
      </c>
      <c r="F58" s="237">
        <f t="shared" si="0"/>
        <v>467891.8</v>
      </c>
      <c r="G58" s="236" t="e">
        <f t="shared" si="1"/>
        <v>#DIV/0!</v>
      </c>
    </row>
    <row r="59" spans="1:7" ht="11.1" customHeight="1" outlineLevel="3" x14ac:dyDescent="0.2">
      <c r="A59" s="241" t="s">
        <v>59</v>
      </c>
      <c r="B59" s="285"/>
      <c r="C59" s="285"/>
      <c r="D59" s="285"/>
      <c r="E59" s="285"/>
      <c r="F59" s="229">
        <f t="shared" si="0"/>
        <v>0</v>
      </c>
      <c r="G59" s="228">
        <v>0</v>
      </c>
    </row>
    <row r="60" spans="1:7" ht="11.1" customHeight="1" outlineLevel="4" x14ac:dyDescent="0.2">
      <c r="A60" s="234" t="s">
        <v>60</v>
      </c>
      <c r="B60" s="285">
        <v>200261815.71000001</v>
      </c>
      <c r="C60" s="285">
        <v>114416252.66</v>
      </c>
      <c r="D60" s="285">
        <v>160376061.16999999</v>
      </c>
      <c r="E60" s="285">
        <v>156409394.16999999</v>
      </c>
      <c r="F60" s="229">
        <f t="shared" si="0"/>
        <v>45959808.50999999</v>
      </c>
      <c r="G60" s="228">
        <f t="shared" si="1"/>
        <v>0.40168951037554446</v>
      </c>
    </row>
    <row r="61" spans="1:7" ht="11.1" customHeight="1" outlineLevel="5" x14ac:dyDescent="0.2">
      <c r="A61" s="238" t="s">
        <v>61</v>
      </c>
      <c r="B61" s="285">
        <v>55519692.740000002</v>
      </c>
      <c r="C61" s="285">
        <v>3052716.94</v>
      </c>
      <c r="D61" s="285">
        <v>72549729.370000005</v>
      </c>
      <c r="E61" s="285">
        <v>68583062.370000005</v>
      </c>
      <c r="F61" s="229">
        <f t="shared" si="0"/>
        <v>69497012.430000007</v>
      </c>
      <c r="G61" s="228">
        <f t="shared" si="1"/>
        <v>22.765626095028647</v>
      </c>
    </row>
    <row r="62" spans="1:7" ht="11.1" customHeight="1" outlineLevel="6" x14ac:dyDescent="0.2">
      <c r="A62" s="239" t="s">
        <v>62</v>
      </c>
      <c r="B62" s="287">
        <v>21119845.280000001</v>
      </c>
      <c r="C62" s="287"/>
      <c r="D62" s="287">
        <v>5355704.3600000003</v>
      </c>
      <c r="E62" s="287">
        <v>5355704.3600000003</v>
      </c>
      <c r="F62" s="237">
        <f t="shared" si="0"/>
        <v>5355704.3600000003</v>
      </c>
      <c r="G62" s="236" t="e">
        <f t="shared" si="1"/>
        <v>#DIV/0!</v>
      </c>
    </row>
    <row r="63" spans="1:7" ht="11.1" customHeight="1" outlineLevel="6" x14ac:dyDescent="0.2">
      <c r="A63" s="239" t="s">
        <v>63</v>
      </c>
      <c r="B63" s="287">
        <v>10568985.529999999</v>
      </c>
      <c r="C63" s="287">
        <v>797702</v>
      </c>
      <c r="D63" s="287">
        <v>51104197.020000003</v>
      </c>
      <c r="E63" s="287">
        <v>47137530.020000003</v>
      </c>
      <c r="F63" s="237">
        <f t="shared" si="0"/>
        <v>50306495.020000003</v>
      </c>
      <c r="G63" s="236">
        <f t="shared" si="1"/>
        <v>63.064270893140545</v>
      </c>
    </row>
    <row r="64" spans="1:7" ht="11.1" customHeight="1" outlineLevel="6" x14ac:dyDescent="0.2">
      <c r="A64" s="239" t="s">
        <v>64</v>
      </c>
      <c r="B64" s="287">
        <v>23830861.93</v>
      </c>
      <c r="C64" s="287">
        <v>2255014.94</v>
      </c>
      <c r="D64" s="287">
        <v>16089827.99</v>
      </c>
      <c r="E64" s="287">
        <v>16089827.99</v>
      </c>
      <c r="F64" s="237">
        <f t="shared" si="0"/>
        <v>13834813.050000001</v>
      </c>
      <c r="G64" s="236">
        <f t="shared" si="1"/>
        <v>6.13513143731101</v>
      </c>
    </row>
    <row r="65" spans="1:7" ht="11.1" customHeight="1" outlineLevel="5" x14ac:dyDescent="0.2">
      <c r="A65" s="238" t="s">
        <v>65</v>
      </c>
      <c r="B65" s="285">
        <v>8543412.8900000006</v>
      </c>
      <c r="C65" s="285">
        <v>4475112</v>
      </c>
      <c r="D65" s="285">
        <v>6024006.1600000001</v>
      </c>
      <c r="E65" s="285">
        <v>6024006.1600000001</v>
      </c>
      <c r="F65" s="229">
        <f t="shared" si="0"/>
        <v>1548894.1600000001</v>
      </c>
      <c r="G65" s="228">
        <f t="shared" si="1"/>
        <v>0.34611293750860317</v>
      </c>
    </row>
    <row r="66" spans="1:7" ht="11.1" customHeight="1" outlineLevel="6" x14ac:dyDescent="0.2">
      <c r="A66" s="239" t="s">
        <v>66</v>
      </c>
      <c r="B66" s="287">
        <v>1285776.33</v>
      </c>
      <c r="C66" s="287">
        <v>517668</v>
      </c>
      <c r="D66" s="287">
        <v>1360219.93</v>
      </c>
      <c r="E66" s="287">
        <v>1360219.93</v>
      </c>
      <c r="F66" s="237">
        <f t="shared" si="0"/>
        <v>842551.92999999993</v>
      </c>
      <c r="G66" s="236">
        <f t="shared" si="1"/>
        <v>1.6275912940340138</v>
      </c>
    </row>
    <row r="67" spans="1:7" ht="11.1" customHeight="1" outlineLevel="6" x14ac:dyDescent="0.2">
      <c r="A67" s="239" t="s">
        <v>67</v>
      </c>
      <c r="B67" s="287">
        <v>5537516.8899999997</v>
      </c>
      <c r="C67" s="287">
        <v>2715390</v>
      </c>
      <c r="D67" s="287">
        <v>4572735.49</v>
      </c>
      <c r="E67" s="287">
        <v>4572735.49</v>
      </c>
      <c r="F67" s="237">
        <f t="shared" si="0"/>
        <v>1857345.4900000002</v>
      </c>
      <c r="G67" s="236">
        <f t="shared" si="1"/>
        <v>0.68400689772003287</v>
      </c>
    </row>
    <row r="68" spans="1:7" ht="11.1" customHeight="1" outlineLevel="6" x14ac:dyDescent="0.2">
      <c r="A68" s="239" t="s">
        <v>68</v>
      </c>
      <c r="B68" s="287">
        <v>1720119.67</v>
      </c>
      <c r="C68" s="287">
        <v>1242054</v>
      </c>
      <c r="D68" s="287">
        <v>91050.74</v>
      </c>
      <c r="E68" s="287">
        <v>91050.74</v>
      </c>
      <c r="F68" s="237">
        <f t="shared" si="0"/>
        <v>-1151003.26</v>
      </c>
      <c r="G68" s="236">
        <f t="shared" si="1"/>
        <v>-0.92669341268576089</v>
      </c>
    </row>
    <row r="69" spans="1:7" ht="11.1" customHeight="1" outlineLevel="5" x14ac:dyDescent="0.2">
      <c r="A69" s="238" t="s">
        <v>69</v>
      </c>
      <c r="B69" s="285">
        <v>5615550.3799999999</v>
      </c>
      <c r="C69" s="285">
        <v>768438</v>
      </c>
      <c r="D69" s="285">
        <v>4141753.91</v>
      </c>
      <c r="E69" s="285">
        <v>4141753.91</v>
      </c>
      <c r="F69" s="229">
        <f t="shared" si="0"/>
        <v>3373315.91</v>
      </c>
      <c r="G69" s="228">
        <f t="shared" si="1"/>
        <v>4.3898348467931054</v>
      </c>
    </row>
    <row r="70" spans="1:7" ht="11.1" customHeight="1" outlineLevel="6" x14ac:dyDescent="0.2">
      <c r="A70" s="239" t="s">
        <v>70</v>
      </c>
      <c r="B70" s="287">
        <v>428893.86</v>
      </c>
      <c r="C70" s="287"/>
      <c r="D70" s="287">
        <v>732085.41</v>
      </c>
      <c r="E70" s="287">
        <v>732085.41</v>
      </c>
      <c r="F70" s="237">
        <f t="shared" si="0"/>
        <v>732085.41</v>
      </c>
      <c r="G70" s="236" t="e">
        <f t="shared" si="1"/>
        <v>#DIV/0!</v>
      </c>
    </row>
    <row r="71" spans="1:7" ht="11.1" customHeight="1" outlineLevel="6" x14ac:dyDescent="0.2">
      <c r="A71" s="239" t="s">
        <v>71</v>
      </c>
      <c r="B71" s="287">
        <v>391433.58</v>
      </c>
      <c r="C71" s="287"/>
      <c r="D71" s="287">
        <v>937379.49</v>
      </c>
      <c r="E71" s="287">
        <v>937379.49</v>
      </c>
      <c r="F71" s="237">
        <f t="shared" si="0"/>
        <v>937379.49</v>
      </c>
      <c r="G71" s="236" t="e">
        <f t="shared" si="1"/>
        <v>#DIV/0!</v>
      </c>
    </row>
    <row r="72" spans="1:7" ht="11.1" customHeight="1" outlineLevel="6" x14ac:dyDescent="0.2">
      <c r="A72" s="239" t="s">
        <v>72</v>
      </c>
      <c r="B72" s="287">
        <v>4795222.9400000004</v>
      </c>
      <c r="C72" s="287">
        <v>768438</v>
      </c>
      <c r="D72" s="287">
        <v>2472289.0099999998</v>
      </c>
      <c r="E72" s="287">
        <v>2472289.0099999998</v>
      </c>
      <c r="F72" s="237">
        <f t="shared" ref="F72:F119" si="3">D72-C72</f>
        <v>1703851.0099999998</v>
      </c>
      <c r="G72" s="236">
        <f t="shared" ref="G72:G118" si="4">D72/C72-1</f>
        <v>2.2172914535720509</v>
      </c>
    </row>
    <row r="73" spans="1:7" ht="11.1" customHeight="1" outlineLevel="5" x14ac:dyDescent="0.2">
      <c r="A73" s="238" t="s">
        <v>73</v>
      </c>
      <c r="B73" s="285">
        <v>126771974.66</v>
      </c>
      <c r="C73" s="285">
        <v>102752203.72</v>
      </c>
      <c r="D73" s="285">
        <v>74313229.689999998</v>
      </c>
      <c r="E73" s="285">
        <v>74313229.689999998</v>
      </c>
      <c r="F73" s="229">
        <f t="shared" si="3"/>
        <v>-28438974.030000001</v>
      </c>
      <c r="G73" s="228">
        <f t="shared" si="4"/>
        <v>-0.27677240001096493</v>
      </c>
    </row>
    <row r="74" spans="1:7" ht="11.1" customHeight="1" outlineLevel="6" x14ac:dyDescent="0.2">
      <c r="A74" s="242" t="s">
        <v>74</v>
      </c>
      <c r="B74" s="285">
        <v>17939731.5</v>
      </c>
      <c r="C74" s="285">
        <v>39565808</v>
      </c>
      <c r="D74" s="285">
        <v>16126285.02</v>
      </c>
      <c r="E74" s="285">
        <v>16126285.02</v>
      </c>
      <c r="F74" s="229">
        <f t="shared" si="3"/>
        <v>-23439522.98</v>
      </c>
      <c r="G74" s="228">
        <f t="shared" si="4"/>
        <v>-0.59241866057682935</v>
      </c>
    </row>
    <row r="75" spans="1:7" ht="11.1" customHeight="1" outlineLevel="7" x14ac:dyDescent="0.2">
      <c r="A75" s="243" t="s">
        <v>75</v>
      </c>
      <c r="B75" s="287">
        <v>2813047.42</v>
      </c>
      <c r="C75" s="287">
        <v>6800628</v>
      </c>
      <c r="D75" s="287">
        <v>1672060.85</v>
      </c>
      <c r="E75" s="287">
        <v>1672060.85</v>
      </c>
      <c r="F75" s="237">
        <f t="shared" si="3"/>
        <v>-5128567.1500000004</v>
      </c>
      <c r="G75" s="236">
        <f t="shared" si="4"/>
        <v>-0.75413140521728284</v>
      </c>
    </row>
    <row r="76" spans="1:7" ht="11.1" customHeight="1" outlineLevel="7" x14ac:dyDescent="0.2">
      <c r="A76" s="243" t="s">
        <v>76</v>
      </c>
      <c r="B76" s="287">
        <v>7943079.3600000003</v>
      </c>
      <c r="C76" s="287">
        <v>3575496</v>
      </c>
      <c r="D76" s="287">
        <v>4295021.96</v>
      </c>
      <c r="E76" s="287">
        <v>4295021.96</v>
      </c>
      <c r="F76" s="237">
        <f t="shared" si="3"/>
        <v>719525.96</v>
      </c>
      <c r="G76" s="236">
        <f t="shared" si="4"/>
        <v>0.20123808277229238</v>
      </c>
    </row>
    <row r="77" spans="1:7" ht="11.1" customHeight="1" outlineLevel="7" x14ac:dyDescent="0.2">
      <c r="A77" s="243" t="s">
        <v>77</v>
      </c>
      <c r="B77" s="287">
        <v>7183604.7199999997</v>
      </c>
      <c r="C77" s="287">
        <v>29189684</v>
      </c>
      <c r="D77" s="287">
        <v>10159202.210000001</v>
      </c>
      <c r="E77" s="287">
        <v>10159202.210000001</v>
      </c>
      <c r="F77" s="237">
        <f t="shared" si="3"/>
        <v>-19030481.789999999</v>
      </c>
      <c r="G77" s="236">
        <f t="shared" si="4"/>
        <v>-0.65195915755716982</v>
      </c>
    </row>
    <row r="78" spans="1:7" ht="11.1" customHeight="1" outlineLevel="6" x14ac:dyDescent="0.2">
      <c r="A78" s="242" t="s">
        <v>78</v>
      </c>
      <c r="B78" s="285">
        <v>108803511.72</v>
      </c>
      <c r="C78" s="285">
        <v>63186395.719999999</v>
      </c>
      <c r="D78" s="285">
        <v>58186944.670000002</v>
      </c>
      <c r="E78" s="285">
        <v>58186944.670000002</v>
      </c>
      <c r="F78" s="229">
        <f t="shared" si="3"/>
        <v>-4999451.049999997</v>
      </c>
      <c r="G78" s="228">
        <f t="shared" si="4"/>
        <v>-7.9122269802414991E-2</v>
      </c>
    </row>
    <row r="79" spans="1:7" ht="11.1" customHeight="1" outlineLevel="7" x14ac:dyDescent="0.2">
      <c r="A79" s="243" t="s">
        <v>79</v>
      </c>
      <c r="B79" s="287">
        <v>35713823.649999999</v>
      </c>
      <c r="C79" s="287"/>
      <c r="D79" s="287">
        <v>366430.92</v>
      </c>
      <c r="E79" s="287">
        <v>366430.92</v>
      </c>
      <c r="F79" s="237">
        <f t="shared" si="3"/>
        <v>366430.92</v>
      </c>
      <c r="G79" s="236" t="e">
        <f t="shared" si="4"/>
        <v>#DIV/0!</v>
      </c>
    </row>
    <row r="80" spans="1:7" ht="11.1" customHeight="1" outlineLevel="7" x14ac:dyDescent="0.2">
      <c r="A80" s="243" t="s">
        <v>80</v>
      </c>
      <c r="B80" s="287">
        <v>70856510.680000007</v>
      </c>
      <c r="C80" s="287">
        <v>62938055.719999999</v>
      </c>
      <c r="D80" s="287">
        <v>54448916.729999997</v>
      </c>
      <c r="E80" s="287">
        <v>54448916.729999997</v>
      </c>
      <c r="F80" s="237">
        <f t="shared" si="3"/>
        <v>-8489138.9900000021</v>
      </c>
      <c r="G80" s="236">
        <f t="shared" si="4"/>
        <v>-0.1348808585344079</v>
      </c>
    </row>
    <row r="81" spans="1:7" ht="11.1" customHeight="1" outlineLevel="7" x14ac:dyDescent="0.2">
      <c r="A81" s="243" t="s">
        <v>81</v>
      </c>
      <c r="B81" s="287">
        <v>2233177.39</v>
      </c>
      <c r="C81" s="287">
        <v>248340</v>
      </c>
      <c r="D81" s="287">
        <v>3371597.02</v>
      </c>
      <c r="E81" s="287">
        <v>3371597.02</v>
      </c>
      <c r="F81" s="237">
        <f t="shared" si="3"/>
        <v>3123257.02</v>
      </c>
      <c r="G81" s="236">
        <f t="shared" si="4"/>
        <v>12.576536280905211</v>
      </c>
    </row>
    <row r="82" spans="1:7" ht="11.1" customHeight="1" outlineLevel="6" x14ac:dyDescent="0.2">
      <c r="A82" s="239" t="s">
        <v>82</v>
      </c>
      <c r="B82" s="287">
        <v>28731.439999999999</v>
      </c>
      <c r="C82" s="287"/>
      <c r="D82" s="287"/>
      <c r="E82" s="287"/>
      <c r="F82" s="237">
        <f t="shared" si="3"/>
        <v>0</v>
      </c>
      <c r="G82" s="236" t="e">
        <f t="shared" si="4"/>
        <v>#DIV/0!</v>
      </c>
    </row>
    <row r="83" spans="1:7" ht="11.1" customHeight="1" outlineLevel="5" x14ac:dyDescent="0.2">
      <c r="A83" s="238" t="s">
        <v>83</v>
      </c>
      <c r="B83" s="285">
        <v>2971198.25</v>
      </c>
      <c r="C83" s="285">
        <v>2898114</v>
      </c>
      <c r="D83" s="285">
        <v>1307884.5</v>
      </c>
      <c r="E83" s="285">
        <v>1307884.5</v>
      </c>
      <c r="F83" s="229">
        <f t="shared" si="3"/>
        <v>-1590229.5</v>
      </c>
      <c r="G83" s="228">
        <f t="shared" si="4"/>
        <v>-0.54871185191472804</v>
      </c>
    </row>
    <row r="84" spans="1:7" ht="11.1" customHeight="1" outlineLevel="6" x14ac:dyDescent="0.2">
      <c r="A84" s="239" t="s">
        <v>84</v>
      </c>
      <c r="B84" s="287">
        <v>151393.81</v>
      </c>
      <c r="C84" s="287"/>
      <c r="D84" s="287">
        <v>70060.009999999995</v>
      </c>
      <c r="E84" s="287">
        <v>70060.009999999995</v>
      </c>
      <c r="F84" s="237">
        <f t="shared" si="3"/>
        <v>70060.009999999995</v>
      </c>
      <c r="G84" s="236" t="e">
        <f t="shared" si="4"/>
        <v>#DIV/0!</v>
      </c>
    </row>
    <row r="85" spans="1:7" ht="11.1" customHeight="1" outlineLevel="6" x14ac:dyDescent="0.2">
      <c r="A85" s="239" t="s">
        <v>85</v>
      </c>
      <c r="B85" s="287">
        <v>2819804.44</v>
      </c>
      <c r="C85" s="287">
        <v>2898114</v>
      </c>
      <c r="D85" s="287">
        <v>1183956.77</v>
      </c>
      <c r="E85" s="287">
        <v>1183956.77</v>
      </c>
      <c r="F85" s="237">
        <f t="shared" si="3"/>
        <v>-1714157.23</v>
      </c>
      <c r="G85" s="236">
        <f t="shared" si="4"/>
        <v>-0.59147336164139852</v>
      </c>
    </row>
    <row r="86" spans="1:7" ht="11.1" customHeight="1" outlineLevel="6" x14ac:dyDescent="0.2">
      <c r="A86" s="239" t="s">
        <v>86</v>
      </c>
      <c r="B86" s="287"/>
      <c r="C86" s="287"/>
      <c r="D86" s="287">
        <v>53867.72</v>
      </c>
      <c r="E86" s="287">
        <v>53867.72</v>
      </c>
      <c r="F86" s="237">
        <f t="shared" si="3"/>
        <v>53867.72</v>
      </c>
      <c r="G86" s="236" t="e">
        <f t="shared" si="4"/>
        <v>#DIV/0!</v>
      </c>
    </row>
    <row r="87" spans="1:7" ht="11.1" customHeight="1" outlineLevel="5" x14ac:dyDescent="0.2">
      <c r="A87" s="235" t="s">
        <v>87</v>
      </c>
      <c r="B87" s="287">
        <v>785516.11</v>
      </c>
      <c r="C87" s="287">
        <v>469668</v>
      </c>
      <c r="D87" s="287">
        <v>1408887.41</v>
      </c>
      <c r="E87" s="287">
        <v>1408887.41</v>
      </c>
      <c r="F87" s="237">
        <f t="shared" si="3"/>
        <v>939219.40999999992</v>
      </c>
      <c r="G87" s="236">
        <f t="shared" si="4"/>
        <v>1.9997517608182798</v>
      </c>
    </row>
    <row r="88" spans="1:7" ht="11.1" customHeight="1" outlineLevel="5" x14ac:dyDescent="0.2">
      <c r="A88" s="235" t="s">
        <v>88</v>
      </c>
      <c r="B88" s="287">
        <v>54470.68</v>
      </c>
      <c r="C88" s="287"/>
      <c r="D88" s="287">
        <v>630570.13</v>
      </c>
      <c r="E88" s="287">
        <v>630570.13</v>
      </c>
      <c r="F88" s="237">
        <f t="shared" si="3"/>
        <v>630570.13</v>
      </c>
      <c r="G88" s="236" t="e">
        <f t="shared" si="4"/>
        <v>#DIV/0!</v>
      </c>
    </row>
    <row r="89" spans="1:7" ht="11.1" customHeight="1" outlineLevel="4" x14ac:dyDescent="0.2">
      <c r="A89" s="234" t="s">
        <v>89</v>
      </c>
      <c r="B89" s="285">
        <v>-200261815.71000001</v>
      </c>
      <c r="C89" s="285">
        <v>-114416252.66</v>
      </c>
      <c r="D89" s="285">
        <v>-160376061.16999999</v>
      </c>
      <c r="E89" s="285">
        <v>-156409394.16999999</v>
      </c>
      <c r="F89" s="229">
        <f t="shared" si="3"/>
        <v>-45959808.50999999</v>
      </c>
      <c r="G89" s="228">
        <f t="shared" si="4"/>
        <v>0.40168951037554446</v>
      </c>
    </row>
    <row r="90" spans="1:7" ht="11.1" customHeight="1" outlineLevel="5" x14ac:dyDescent="0.2">
      <c r="A90" s="238" t="s">
        <v>90</v>
      </c>
      <c r="B90" s="285">
        <v>-55519692.740000002</v>
      </c>
      <c r="C90" s="285">
        <v>-3052716.94</v>
      </c>
      <c r="D90" s="285">
        <v>-72549729.370000005</v>
      </c>
      <c r="E90" s="285">
        <v>-68583062.370000005</v>
      </c>
      <c r="F90" s="229">
        <f t="shared" si="3"/>
        <v>-69497012.430000007</v>
      </c>
      <c r="G90" s="228">
        <f t="shared" si="4"/>
        <v>22.765626095028647</v>
      </c>
    </row>
    <row r="91" spans="1:7" ht="11.1" customHeight="1" outlineLevel="6" x14ac:dyDescent="0.2">
      <c r="A91" s="239" t="s">
        <v>91</v>
      </c>
      <c r="B91" s="287">
        <v>-21119845.280000001</v>
      </c>
      <c r="C91" s="287"/>
      <c r="D91" s="287">
        <v>-5355704.3600000003</v>
      </c>
      <c r="E91" s="287">
        <v>-5355704.3600000003</v>
      </c>
      <c r="F91" s="237">
        <f t="shared" si="3"/>
        <v>-5355704.3600000003</v>
      </c>
      <c r="G91" s="236" t="e">
        <f t="shared" si="4"/>
        <v>#DIV/0!</v>
      </c>
    </row>
    <row r="92" spans="1:7" ht="11.1" customHeight="1" outlineLevel="6" x14ac:dyDescent="0.2">
      <c r="A92" s="239" t="s">
        <v>92</v>
      </c>
      <c r="B92" s="287">
        <v>-10568985.529999999</v>
      </c>
      <c r="C92" s="287">
        <v>-797702</v>
      </c>
      <c r="D92" s="287">
        <v>-51104197.020000003</v>
      </c>
      <c r="E92" s="287">
        <v>-47137530.020000003</v>
      </c>
      <c r="F92" s="237">
        <f t="shared" si="3"/>
        <v>-50306495.020000003</v>
      </c>
      <c r="G92" s="236">
        <f t="shared" si="4"/>
        <v>63.064270893140545</v>
      </c>
    </row>
    <row r="93" spans="1:7" ht="11.1" customHeight="1" outlineLevel="6" x14ac:dyDescent="0.2">
      <c r="A93" s="239" t="s">
        <v>93</v>
      </c>
      <c r="B93" s="287">
        <v>-23830861.93</v>
      </c>
      <c r="C93" s="287">
        <v>-2255014.94</v>
      </c>
      <c r="D93" s="287">
        <v>-16089827.99</v>
      </c>
      <c r="E93" s="287">
        <v>-16089827.99</v>
      </c>
      <c r="F93" s="237">
        <f t="shared" si="3"/>
        <v>-13834813.050000001</v>
      </c>
      <c r="G93" s="236">
        <f t="shared" si="4"/>
        <v>6.13513143731101</v>
      </c>
    </row>
    <row r="94" spans="1:7" ht="11.1" customHeight="1" outlineLevel="5" x14ac:dyDescent="0.2">
      <c r="A94" s="238" t="s">
        <v>94</v>
      </c>
      <c r="B94" s="285">
        <v>-8543412.8900000006</v>
      </c>
      <c r="C94" s="285">
        <v>-4475112</v>
      </c>
      <c r="D94" s="285">
        <v>-6024006.1600000001</v>
      </c>
      <c r="E94" s="285">
        <v>-6024006.1600000001</v>
      </c>
      <c r="F94" s="229">
        <f t="shared" si="3"/>
        <v>-1548894.1600000001</v>
      </c>
      <c r="G94" s="228">
        <f t="shared" si="4"/>
        <v>0.34611293750860317</v>
      </c>
    </row>
    <row r="95" spans="1:7" ht="11.1" customHeight="1" outlineLevel="6" x14ac:dyDescent="0.2">
      <c r="A95" s="239" t="s">
        <v>95</v>
      </c>
      <c r="B95" s="287">
        <v>-1285776.33</v>
      </c>
      <c r="C95" s="287">
        <v>-517668</v>
      </c>
      <c r="D95" s="287">
        <v>-1360219.93</v>
      </c>
      <c r="E95" s="287">
        <v>-1360219.93</v>
      </c>
      <c r="F95" s="237">
        <f t="shared" si="3"/>
        <v>-842551.92999999993</v>
      </c>
      <c r="G95" s="236">
        <f t="shared" si="4"/>
        <v>1.6275912940340138</v>
      </c>
    </row>
    <row r="96" spans="1:7" ht="11.1" customHeight="1" outlineLevel="6" x14ac:dyDescent="0.2">
      <c r="A96" s="239" t="s">
        <v>96</v>
      </c>
      <c r="B96" s="287">
        <v>-5537516.8899999997</v>
      </c>
      <c r="C96" s="287">
        <v>-2715390</v>
      </c>
      <c r="D96" s="287">
        <v>-4572735.49</v>
      </c>
      <c r="E96" s="287">
        <v>-4572735.49</v>
      </c>
      <c r="F96" s="237">
        <f t="shared" si="3"/>
        <v>-1857345.4900000002</v>
      </c>
      <c r="G96" s="236">
        <f t="shared" si="4"/>
        <v>0.68400689772003287</v>
      </c>
    </row>
    <row r="97" spans="1:7" ht="11.1" customHeight="1" outlineLevel="6" x14ac:dyDescent="0.2">
      <c r="A97" s="239" t="s">
        <v>97</v>
      </c>
      <c r="B97" s="287">
        <v>-1720119.67</v>
      </c>
      <c r="C97" s="287">
        <v>-1242054</v>
      </c>
      <c r="D97" s="287">
        <v>-91050.74</v>
      </c>
      <c r="E97" s="287">
        <v>-91050.74</v>
      </c>
      <c r="F97" s="237">
        <f t="shared" si="3"/>
        <v>1151003.26</v>
      </c>
      <c r="G97" s="236">
        <f t="shared" si="4"/>
        <v>-0.92669341268576089</v>
      </c>
    </row>
    <row r="98" spans="1:7" ht="11.1" customHeight="1" outlineLevel="5" x14ac:dyDescent="0.2">
      <c r="A98" s="238" t="s">
        <v>98</v>
      </c>
      <c r="B98" s="285">
        <v>-5615550.3799999999</v>
      </c>
      <c r="C98" s="285">
        <v>-768438</v>
      </c>
      <c r="D98" s="285">
        <v>-4141753.91</v>
      </c>
      <c r="E98" s="285">
        <v>-4141753.91</v>
      </c>
      <c r="F98" s="229">
        <f t="shared" si="3"/>
        <v>-3373315.91</v>
      </c>
      <c r="G98" s="228">
        <f t="shared" si="4"/>
        <v>4.3898348467931054</v>
      </c>
    </row>
    <row r="99" spans="1:7" ht="11.1" customHeight="1" outlineLevel="6" x14ac:dyDescent="0.2">
      <c r="A99" s="239" t="s">
        <v>99</v>
      </c>
      <c r="B99" s="287">
        <v>-428893.86</v>
      </c>
      <c r="C99" s="287"/>
      <c r="D99" s="287">
        <v>-732085.41</v>
      </c>
      <c r="E99" s="287">
        <v>-732085.41</v>
      </c>
      <c r="F99" s="237">
        <f t="shared" si="3"/>
        <v>-732085.41</v>
      </c>
      <c r="G99" s="236" t="e">
        <f t="shared" si="4"/>
        <v>#DIV/0!</v>
      </c>
    </row>
    <row r="100" spans="1:7" ht="11.1" customHeight="1" outlineLevel="6" x14ac:dyDescent="0.2">
      <c r="A100" s="239" t="s">
        <v>100</v>
      </c>
      <c r="B100" s="287">
        <v>-391433.58</v>
      </c>
      <c r="C100" s="287"/>
      <c r="D100" s="287">
        <v>-937379.49</v>
      </c>
      <c r="E100" s="287">
        <v>-937379.49</v>
      </c>
      <c r="F100" s="237">
        <f t="shared" si="3"/>
        <v>-937379.49</v>
      </c>
      <c r="G100" s="236" t="e">
        <f t="shared" si="4"/>
        <v>#DIV/0!</v>
      </c>
    </row>
    <row r="101" spans="1:7" ht="11.1" customHeight="1" outlineLevel="6" x14ac:dyDescent="0.2">
      <c r="A101" s="239" t="s">
        <v>101</v>
      </c>
      <c r="B101" s="287">
        <v>-4795222.9400000004</v>
      </c>
      <c r="C101" s="287">
        <v>-768438</v>
      </c>
      <c r="D101" s="287">
        <v>-2472289.0099999998</v>
      </c>
      <c r="E101" s="287">
        <v>-2472289.0099999998</v>
      </c>
      <c r="F101" s="237">
        <f t="shared" si="3"/>
        <v>-1703851.0099999998</v>
      </c>
      <c r="G101" s="236">
        <f t="shared" si="4"/>
        <v>2.2172914535720509</v>
      </c>
    </row>
    <row r="102" spans="1:7" ht="11.1" customHeight="1" outlineLevel="5" x14ac:dyDescent="0.2">
      <c r="A102" s="238" t="s">
        <v>102</v>
      </c>
      <c r="B102" s="285">
        <v>-126771974.66</v>
      </c>
      <c r="C102" s="285">
        <v>-102752203.72</v>
      </c>
      <c r="D102" s="285">
        <v>-74313229.689999998</v>
      </c>
      <c r="E102" s="285">
        <v>-74313229.689999998</v>
      </c>
      <c r="F102" s="229">
        <f t="shared" si="3"/>
        <v>28438974.030000001</v>
      </c>
      <c r="G102" s="228">
        <f t="shared" si="4"/>
        <v>-0.27677240001096493</v>
      </c>
    </row>
    <row r="103" spans="1:7" ht="11.1" customHeight="1" outlineLevel="6" x14ac:dyDescent="0.2">
      <c r="A103" s="242" t="s">
        <v>103</v>
      </c>
      <c r="B103" s="285">
        <v>-17939731.5</v>
      </c>
      <c r="C103" s="285">
        <v>-39565808</v>
      </c>
      <c r="D103" s="285">
        <v>-16126285.02</v>
      </c>
      <c r="E103" s="285">
        <v>-16126285.02</v>
      </c>
      <c r="F103" s="229">
        <f t="shared" si="3"/>
        <v>23439522.98</v>
      </c>
      <c r="G103" s="228">
        <f t="shared" si="4"/>
        <v>-0.59241866057682935</v>
      </c>
    </row>
    <row r="104" spans="1:7" ht="11.1" customHeight="1" outlineLevel="7" x14ac:dyDescent="0.2">
      <c r="A104" s="243" t="s">
        <v>104</v>
      </c>
      <c r="B104" s="287">
        <v>-2813047.42</v>
      </c>
      <c r="C104" s="287">
        <v>-6800628</v>
      </c>
      <c r="D104" s="287">
        <v>-1672060.85</v>
      </c>
      <c r="E104" s="287">
        <v>-1672060.85</v>
      </c>
      <c r="F104" s="237">
        <f t="shared" si="3"/>
        <v>5128567.1500000004</v>
      </c>
      <c r="G104" s="236">
        <f t="shared" si="4"/>
        <v>-0.75413140521728284</v>
      </c>
    </row>
    <row r="105" spans="1:7" ht="11.1" customHeight="1" outlineLevel="7" x14ac:dyDescent="0.2">
      <c r="A105" s="243" t="s">
        <v>105</v>
      </c>
      <c r="B105" s="287">
        <v>-7943079.3600000003</v>
      </c>
      <c r="C105" s="287">
        <v>-3575496</v>
      </c>
      <c r="D105" s="287">
        <v>-4295021.96</v>
      </c>
      <c r="E105" s="287">
        <v>-4295021.96</v>
      </c>
      <c r="F105" s="237">
        <f t="shared" si="3"/>
        <v>-719525.96</v>
      </c>
      <c r="G105" s="236">
        <f t="shared" si="4"/>
        <v>0.20123808277229238</v>
      </c>
    </row>
    <row r="106" spans="1:7" ht="11.1" customHeight="1" outlineLevel="7" x14ac:dyDescent="0.2">
      <c r="A106" s="243" t="s">
        <v>106</v>
      </c>
      <c r="B106" s="287">
        <v>-7183604.7199999997</v>
      </c>
      <c r="C106" s="287">
        <v>-29189684</v>
      </c>
      <c r="D106" s="287">
        <v>-10159202.210000001</v>
      </c>
      <c r="E106" s="287">
        <v>-10159202.210000001</v>
      </c>
      <c r="F106" s="237">
        <f t="shared" si="3"/>
        <v>19030481.789999999</v>
      </c>
      <c r="G106" s="236">
        <f t="shared" si="4"/>
        <v>-0.65195915755716982</v>
      </c>
    </row>
    <row r="107" spans="1:7" ht="11.1" customHeight="1" outlineLevel="6" x14ac:dyDescent="0.2">
      <c r="A107" s="242" t="s">
        <v>107</v>
      </c>
      <c r="B107" s="285">
        <v>-108803511.72</v>
      </c>
      <c r="C107" s="285">
        <v>-63186395.719999999</v>
      </c>
      <c r="D107" s="285">
        <v>-58186944.670000002</v>
      </c>
      <c r="E107" s="285">
        <v>-58186944.670000002</v>
      </c>
      <c r="F107" s="229">
        <f t="shared" si="3"/>
        <v>4999451.049999997</v>
      </c>
      <c r="G107" s="228">
        <f t="shared" si="4"/>
        <v>-7.9122269802414991E-2</v>
      </c>
    </row>
    <row r="108" spans="1:7" ht="11.1" customHeight="1" outlineLevel="7" x14ac:dyDescent="0.2">
      <c r="A108" s="243" t="s">
        <v>108</v>
      </c>
      <c r="B108" s="287">
        <v>-35713823.649999999</v>
      </c>
      <c r="C108" s="287"/>
      <c r="D108" s="287">
        <v>-366430.92</v>
      </c>
      <c r="E108" s="287">
        <v>-366430.92</v>
      </c>
      <c r="F108" s="237">
        <f t="shared" si="3"/>
        <v>-366430.92</v>
      </c>
      <c r="G108" s="236" t="e">
        <f t="shared" si="4"/>
        <v>#DIV/0!</v>
      </c>
    </row>
    <row r="109" spans="1:7" ht="11.1" customHeight="1" outlineLevel="7" x14ac:dyDescent="0.2">
      <c r="A109" s="243" t="s">
        <v>109</v>
      </c>
      <c r="B109" s="287">
        <v>-70856510.680000007</v>
      </c>
      <c r="C109" s="287">
        <v>-62938055.719999999</v>
      </c>
      <c r="D109" s="287">
        <v>-54448916.729999997</v>
      </c>
      <c r="E109" s="287">
        <v>-54448916.729999997</v>
      </c>
      <c r="F109" s="237">
        <f t="shared" si="3"/>
        <v>8489138.9900000021</v>
      </c>
      <c r="G109" s="236">
        <f t="shared" si="4"/>
        <v>-0.1348808585344079</v>
      </c>
    </row>
    <row r="110" spans="1:7" ht="11.1" customHeight="1" outlineLevel="7" x14ac:dyDescent="0.2">
      <c r="A110" s="243" t="s">
        <v>110</v>
      </c>
      <c r="B110" s="287">
        <v>-2233177.39</v>
      </c>
      <c r="C110" s="287">
        <v>-248340</v>
      </c>
      <c r="D110" s="287">
        <v>-3371597.02</v>
      </c>
      <c r="E110" s="287">
        <v>-3371597.02</v>
      </c>
      <c r="F110" s="237">
        <f t="shared" si="3"/>
        <v>-3123257.02</v>
      </c>
      <c r="G110" s="236">
        <f t="shared" si="4"/>
        <v>12.576536280905211</v>
      </c>
    </row>
    <row r="111" spans="1:7" ht="11.1" customHeight="1" outlineLevel="6" x14ac:dyDescent="0.2">
      <c r="A111" s="239" t="s">
        <v>111</v>
      </c>
      <c r="B111" s="287">
        <v>-28731.439999999999</v>
      </c>
      <c r="C111" s="287"/>
      <c r="D111" s="287"/>
      <c r="E111" s="287"/>
      <c r="F111" s="237">
        <f t="shared" si="3"/>
        <v>0</v>
      </c>
      <c r="G111" s="236" t="e">
        <f t="shared" si="4"/>
        <v>#DIV/0!</v>
      </c>
    </row>
    <row r="112" spans="1:7" ht="11.1" customHeight="1" outlineLevel="5" x14ac:dyDescent="0.2">
      <c r="A112" s="238" t="s">
        <v>112</v>
      </c>
      <c r="B112" s="285">
        <v>-2971198.25</v>
      </c>
      <c r="C112" s="285">
        <v>-2898114</v>
      </c>
      <c r="D112" s="285">
        <v>-1307884.5</v>
      </c>
      <c r="E112" s="285">
        <v>-1307884.5</v>
      </c>
      <c r="F112" s="229">
        <f t="shared" si="3"/>
        <v>1590229.5</v>
      </c>
      <c r="G112" s="228">
        <f t="shared" si="4"/>
        <v>-0.54871185191472804</v>
      </c>
    </row>
    <row r="113" spans="1:15" ht="11.1" customHeight="1" outlineLevel="6" x14ac:dyDescent="0.2">
      <c r="A113" s="239" t="s">
        <v>113</v>
      </c>
      <c r="B113" s="287">
        <v>-151393.81</v>
      </c>
      <c r="C113" s="287"/>
      <c r="D113" s="287">
        <v>-70060.009999999995</v>
      </c>
      <c r="E113" s="287">
        <v>-70060.009999999995</v>
      </c>
      <c r="F113" s="237">
        <f t="shared" si="3"/>
        <v>-70060.009999999995</v>
      </c>
      <c r="G113" s="236" t="e">
        <f t="shared" si="4"/>
        <v>#DIV/0!</v>
      </c>
    </row>
    <row r="114" spans="1:15" ht="11.1" customHeight="1" outlineLevel="6" x14ac:dyDescent="0.2">
      <c r="A114" s="239" t="s">
        <v>114</v>
      </c>
      <c r="B114" s="287">
        <v>-2819804.44</v>
      </c>
      <c r="C114" s="287">
        <v>-2898114</v>
      </c>
      <c r="D114" s="287">
        <v>-1183956.77</v>
      </c>
      <c r="E114" s="287">
        <v>-1183956.77</v>
      </c>
      <c r="F114" s="237">
        <f t="shared" si="3"/>
        <v>1714157.23</v>
      </c>
      <c r="G114" s="236">
        <f t="shared" si="4"/>
        <v>-0.59147336164139852</v>
      </c>
    </row>
    <row r="115" spans="1:15" ht="11.1" customHeight="1" outlineLevel="6" x14ac:dyDescent="0.2">
      <c r="A115" s="239" t="s">
        <v>115</v>
      </c>
      <c r="B115" s="287"/>
      <c r="C115" s="287"/>
      <c r="D115" s="287">
        <v>-53867.72</v>
      </c>
      <c r="E115" s="287">
        <v>-53867.72</v>
      </c>
      <c r="F115" s="237">
        <f t="shared" si="3"/>
        <v>-53867.72</v>
      </c>
      <c r="G115" s="236" t="e">
        <f t="shared" si="4"/>
        <v>#DIV/0!</v>
      </c>
    </row>
    <row r="116" spans="1:15" ht="11.1" customHeight="1" outlineLevel="5" x14ac:dyDescent="0.2">
      <c r="A116" s="235" t="s">
        <v>116</v>
      </c>
      <c r="B116" s="287">
        <v>-785516.11</v>
      </c>
      <c r="C116" s="287">
        <v>-469668</v>
      </c>
      <c r="D116" s="287">
        <v>-1408887.41</v>
      </c>
      <c r="E116" s="287">
        <v>-1408887.41</v>
      </c>
      <c r="F116" s="237">
        <f t="shared" si="3"/>
        <v>-939219.40999999992</v>
      </c>
      <c r="G116" s="236">
        <f t="shared" si="4"/>
        <v>1.9997517608182798</v>
      </c>
    </row>
    <row r="117" spans="1:15" ht="11.1" customHeight="1" outlineLevel="5" x14ac:dyDescent="0.2">
      <c r="A117" s="235" t="s">
        <v>117</v>
      </c>
      <c r="B117" s="287">
        <v>-54470.68</v>
      </c>
      <c r="C117" s="287"/>
      <c r="D117" s="287">
        <v>-630570.13</v>
      </c>
      <c r="E117" s="287">
        <v>-630570.13</v>
      </c>
      <c r="F117" s="237">
        <f t="shared" si="3"/>
        <v>-630570.13</v>
      </c>
      <c r="G117" s="236" t="e">
        <f t="shared" si="4"/>
        <v>#DIV/0!</v>
      </c>
    </row>
    <row r="118" spans="1:15" ht="11.1" customHeight="1" outlineLevel="2" x14ac:dyDescent="0.2">
      <c r="A118" s="230" t="s">
        <v>118</v>
      </c>
      <c r="B118" s="284">
        <v>4882105062.3400002</v>
      </c>
      <c r="C118" s="284">
        <v>5358096899.8900013</v>
      </c>
      <c r="D118" s="284">
        <v>5458744961.0699987</v>
      </c>
      <c r="E118" s="284">
        <v>5330254742.3400002</v>
      </c>
      <c r="F118" s="225">
        <f t="shared" si="3"/>
        <v>100648061.17999744</v>
      </c>
      <c r="G118" s="224">
        <f t="shared" si="4"/>
        <v>1.8784292830176907E-2</v>
      </c>
    </row>
    <row r="119" spans="1:15" ht="11.1" customHeight="1" outlineLevel="2" x14ac:dyDescent="0.2">
      <c r="A119" s="244" t="s">
        <v>173</v>
      </c>
      <c r="B119" s="245">
        <f>B175+B190+B275</f>
        <v>2935472994.4500003</v>
      </c>
      <c r="C119" s="245">
        <f t="shared" ref="C119:E119" si="5">C175+C190+C275</f>
        <v>3408561462.6300001</v>
      </c>
      <c r="D119" s="245">
        <f t="shared" si="5"/>
        <v>3233917012.6700001</v>
      </c>
      <c r="E119" s="245">
        <f t="shared" si="5"/>
        <v>3233917012.6700001</v>
      </c>
      <c r="F119" s="229">
        <f t="shared" si="3"/>
        <v>-174644449.96000004</v>
      </c>
      <c r="G119" s="228">
        <f>D119/C119-100%</f>
        <v>-5.1236995980482258E-2</v>
      </c>
      <c r="J119" s="221" t="s">
        <v>389</v>
      </c>
      <c r="K119" s="221" t="s">
        <v>414</v>
      </c>
      <c r="L119" s="221" t="s">
        <v>754</v>
      </c>
    </row>
    <row r="120" spans="1:15" ht="11.1" customHeight="1" outlineLevel="3" x14ac:dyDescent="0.2">
      <c r="A120" s="246" t="s">
        <v>119</v>
      </c>
      <c r="B120" s="284">
        <v>3483586137.6600003</v>
      </c>
      <c r="C120" s="284">
        <v>3902800398.1700001</v>
      </c>
      <c r="D120" s="284">
        <v>3962719744.4400001</v>
      </c>
      <c r="E120" s="284">
        <v>3835663630.0600004</v>
      </c>
      <c r="F120" s="225">
        <f t="shared" ref="F120:F183" si="6">D120-C120</f>
        <v>59919346.269999981</v>
      </c>
      <c r="G120" s="224">
        <f t="shared" ref="G120:G183" si="7">D120/C120-1</f>
        <v>1.5352910770967343E-2</v>
      </c>
      <c r="I120" s="221" t="s">
        <v>870</v>
      </c>
      <c r="J120" s="226">
        <f>ROUND(B157/1000,0)</f>
        <v>160366</v>
      </c>
      <c r="K120" s="226">
        <f t="shared" ref="K120:L120" si="8">ROUND(C157/1000,0)</f>
        <v>118083</v>
      </c>
      <c r="L120" s="226">
        <f t="shared" si="8"/>
        <v>341353</v>
      </c>
      <c r="M120" s="226">
        <f>L120-K120</f>
        <v>223270</v>
      </c>
      <c r="N120" s="320">
        <f>L120/K120-100%</f>
        <v>1.8907886825368596</v>
      </c>
      <c r="O120" s="320">
        <f>L120/J120-100%</f>
        <v>1.1285871069927542</v>
      </c>
    </row>
    <row r="121" spans="1:15" ht="11.1" customHeight="1" outlineLevel="4" x14ac:dyDescent="0.2">
      <c r="A121" s="234" t="s">
        <v>120</v>
      </c>
      <c r="B121" s="285">
        <v>443501033.42000002</v>
      </c>
      <c r="C121" s="285">
        <v>492776498.23000002</v>
      </c>
      <c r="D121" s="285">
        <v>528922989.11000001</v>
      </c>
      <c r="E121" s="285">
        <v>528922989.11000001</v>
      </c>
      <c r="F121" s="229">
        <f t="shared" si="6"/>
        <v>36146490.879999995</v>
      </c>
      <c r="G121" s="228">
        <f t="shared" si="7"/>
        <v>7.3352708600824768E-2</v>
      </c>
      <c r="I121" s="221" t="s">
        <v>871</v>
      </c>
      <c r="J121" s="226">
        <f>ROUND(B154/1000,0)</f>
        <v>44271</v>
      </c>
      <c r="K121" s="226">
        <f t="shared" ref="K121:L121" si="9">ROUND(C154/1000,0)</f>
        <v>194169</v>
      </c>
      <c r="L121" s="226">
        <f t="shared" si="9"/>
        <v>230446</v>
      </c>
      <c r="M121" s="226">
        <f t="shared" ref="M121:M128" si="10">L121-K121</f>
        <v>36277</v>
      </c>
      <c r="N121" s="320">
        <f t="shared" ref="N121:N128" si="11">L121/K121-100%</f>
        <v>0.1868320895714557</v>
      </c>
      <c r="O121" s="320">
        <f t="shared" ref="O121:O128" si="12">L121/J121-100%</f>
        <v>4.2053488739807099</v>
      </c>
    </row>
    <row r="122" spans="1:15" ht="11.1" customHeight="1" outlineLevel="5" x14ac:dyDescent="0.2">
      <c r="A122" s="235" t="s">
        <v>121</v>
      </c>
      <c r="B122" s="287">
        <v>30240290.100000001</v>
      </c>
      <c r="C122" s="287">
        <v>44447644.009999998</v>
      </c>
      <c r="D122" s="287">
        <v>43661525.659999996</v>
      </c>
      <c r="E122" s="287">
        <v>43661525.659999996</v>
      </c>
      <c r="F122" s="237">
        <f t="shared" si="6"/>
        <v>-786118.35000000149</v>
      </c>
      <c r="G122" s="236">
        <f t="shared" si="7"/>
        <v>-1.7686389627831312E-2</v>
      </c>
      <c r="I122" s="221" t="s">
        <v>869</v>
      </c>
      <c r="J122" s="226">
        <f>ROUND((B138+B232)/1000,0)</f>
        <v>63763</v>
      </c>
      <c r="K122" s="226">
        <f t="shared" ref="K122:L122" si="13">ROUND((C138+C232)/1000,0)</f>
        <v>68971</v>
      </c>
      <c r="L122" s="226">
        <f t="shared" si="13"/>
        <v>76853</v>
      </c>
      <c r="M122" s="226">
        <f t="shared" si="10"/>
        <v>7882</v>
      </c>
      <c r="N122" s="320">
        <f t="shared" si="11"/>
        <v>0.11427991474677768</v>
      </c>
      <c r="O122" s="320">
        <f t="shared" si="12"/>
        <v>0.20529146997475034</v>
      </c>
    </row>
    <row r="123" spans="1:15" ht="11.1" customHeight="1" outlineLevel="5" x14ac:dyDescent="0.2">
      <c r="A123" s="235" t="s">
        <v>122</v>
      </c>
      <c r="B123" s="287">
        <v>308144915.75</v>
      </c>
      <c r="C123" s="287">
        <v>313352819.36000001</v>
      </c>
      <c r="D123" s="287">
        <v>325908862.75999999</v>
      </c>
      <c r="E123" s="287">
        <v>325908862.75999999</v>
      </c>
      <c r="F123" s="237">
        <f t="shared" si="6"/>
        <v>12556043.399999976</v>
      </c>
      <c r="G123" s="236">
        <f t="shared" si="7"/>
        <v>4.0069987005844521E-2</v>
      </c>
      <c r="I123" s="221" t="s">
        <v>258</v>
      </c>
      <c r="J123" s="226">
        <f>ROUND(B288/1000,0)</f>
        <v>26011</v>
      </c>
      <c r="K123" s="226">
        <f t="shared" ref="K123:L123" si="14">ROUND(C288/1000,0)</f>
        <v>170</v>
      </c>
      <c r="L123" s="226">
        <f t="shared" si="14"/>
        <v>26166</v>
      </c>
      <c r="M123" s="226">
        <f t="shared" si="10"/>
        <v>25996</v>
      </c>
      <c r="N123" s="320">
        <f t="shared" si="11"/>
        <v>152.91764705882352</v>
      </c>
      <c r="O123" s="320">
        <f t="shared" si="12"/>
        <v>5.9590173388182066E-3</v>
      </c>
    </row>
    <row r="124" spans="1:15" ht="11.1" customHeight="1" outlineLevel="5" x14ac:dyDescent="0.2">
      <c r="A124" s="235" t="s">
        <v>123</v>
      </c>
      <c r="B124" s="287">
        <v>79377212.780000001</v>
      </c>
      <c r="C124" s="287">
        <v>85534446.140000001</v>
      </c>
      <c r="D124" s="287">
        <v>112987155</v>
      </c>
      <c r="E124" s="287">
        <v>112987155</v>
      </c>
      <c r="F124" s="237">
        <f t="shared" si="6"/>
        <v>27452708.859999999</v>
      </c>
      <c r="G124" s="236">
        <f t="shared" si="7"/>
        <v>0.32095500817373979</v>
      </c>
      <c r="I124" s="221" t="s">
        <v>875</v>
      </c>
      <c r="J124" s="226">
        <f>ROUND((B122+B124+B127+B210+B212+B214)/1000,0)</f>
        <v>116947</v>
      </c>
      <c r="K124" s="226">
        <f t="shared" ref="K124:L124" si="15">ROUND((C122+C124+C127+C210+C212+C214)/1000,0)</f>
        <v>139887</v>
      </c>
      <c r="L124" s="226">
        <f t="shared" si="15"/>
        <v>173212</v>
      </c>
      <c r="M124" s="226">
        <f t="shared" si="10"/>
        <v>33325</v>
      </c>
      <c r="N124" s="320">
        <f t="shared" si="11"/>
        <v>0.23822799831292407</v>
      </c>
      <c r="O124" s="320">
        <f t="shared" si="12"/>
        <v>0.48111537705114293</v>
      </c>
    </row>
    <row r="125" spans="1:15" ht="11.1" customHeight="1" outlineLevel="5" x14ac:dyDescent="0.2">
      <c r="A125" s="235" t="s">
        <v>124</v>
      </c>
      <c r="B125" s="287">
        <v>1047206.29</v>
      </c>
      <c r="C125" s="287">
        <v>4423750.38</v>
      </c>
      <c r="D125" s="287">
        <v>1217628.46</v>
      </c>
      <c r="E125" s="287">
        <v>1217628.46</v>
      </c>
      <c r="F125" s="237">
        <f t="shared" si="6"/>
        <v>-3206121.92</v>
      </c>
      <c r="G125" s="236">
        <f t="shared" si="7"/>
        <v>-0.72475199651748889</v>
      </c>
      <c r="I125" s="221" t="s">
        <v>122</v>
      </c>
      <c r="J125" s="226">
        <f>ROUND((B123+B211)/1000,0)</f>
        <v>320986</v>
      </c>
      <c r="K125" s="226">
        <f t="shared" ref="K125:L125" si="16">ROUND((C123+C211)/1000,0)</f>
        <v>325567</v>
      </c>
      <c r="L125" s="226">
        <f t="shared" si="16"/>
        <v>334413</v>
      </c>
      <c r="M125" s="226">
        <f t="shared" si="10"/>
        <v>8846</v>
      </c>
      <c r="N125" s="320">
        <f t="shared" si="11"/>
        <v>2.7171058491800348E-2</v>
      </c>
      <c r="O125" s="320">
        <f t="shared" si="12"/>
        <v>4.1830484818652591E-2</v>
      </c>
    </row>
    <row r="126" spans="1:15" ht="11.1" customHeight="1" outlineLevel="5" x14ac:dyDescent="0.2">
      <c r="A126" s="235" t="s">
        <v>125</v>
      </c>
      <c r="B126" s="287">
        <v>6916289.4000000004</v>
      </c>
      <c r="C126" s="287">
        <v>6057197.9299999997</v>
      </c>
      <c r="D126" s="287">
        <v>5060677.28</v>
      </c>
      <c r="E126" s="287">
        <v>5060677.28</v>
      </c>
      <c r="F126" s="237">
        <f t="shared" si="6"/>
        <v>-996520.64999999944</v>
      </c>
      <c r="G126" s="236">
        <f t="shared" si="7"/>
        <v>-0.16451842279487794</v>
      </c>
      <c r="I126" s="221" t="s">
        <v>872</v>
      </c>
      <c r="J126" s="226">
        <f>ROUND(B139/1000,0)</f>
        <v>4025</v>
      </c>
      <c r="K126" s="226">
        <f t="shared" ref="K126:L126" si="17">ROUND(C139/1000,0)</f>
        <v>3745</v>
      </c>
      <c r="L126" s="226">
        <f t="shared" si="17"/>
        <v>9327</v>
      </c>
      <c r="M126" s="226">
        <f t="shared" si="10"/>
        <v>5582</v>
      </c>
      <c r="N126" s="320">
        <f t="shared" si="11"/>
        <v>1.4905206942590121</v>
      </c>
      <c r="O126" s="320">
        <f t="shared" si="12"/>
        <v>1.3172670807453417</v>
      </c>
    </row>
    <row r="127" spans="1:15" ht="11.1" customHeight="1" outlineLevel="5" x14ac:dyDescent="0.2">
      <c r="A127" s="235" t="s">
        <v>126</v>
      </c>
      <c r="B127" s="287">
        <v>4255638.75</v>
      </c>
      <c r="C127" s="287">
        <v>4829695.5</v>
      </c>
      <c r="D127" s="287">
        <v>7930334.1600000001</v>
      </c>
      <c r="E127" s="287">
        <v>7930334.1600000001</v>
      </c>
      <c r="F127" s="237">
        <f t="shared" si="6"/>
        <v>3100638.66</v>
      </c>
      <c r="G127" s="236">
        <f t="shared" si="7"/>
        <v>0.64199464748864599</v>
      </c>
      <c r="I127" s="221" t="s">
        <v>873</v>
      </c>
      <c r="J127" s="226">
        <f>ROUND(B225/1000,0)</f>
        <v>1583</v>
      </c>
      <c r="K127" s="226">
        <f t="shared" ref="K127:L127" si="18">ROUND(C225/1000,0)</f>
        <v>2508</v>
      </c>
      <c r="L127" s="226">
        <f t="shared" si="18"/>
        <v>10231</v>
      </c>
      <c r="M127" s="226">
        <f t="shared" si="10"/>
        <v>7723</v>
      </c>
      <c r="N127" s="320">
        <f t="shared" si="11"/>
        <v>3.0793460925039868</v>
      </c>
      <c r="O127" s="320">
        <f t="shared" si="12"/>
        <v>5.4630448515476946</v>
      </c>
    </row>
    <row r="128" spans="1:15" ht="11.1" customHeight="1" outlineLevel="5" x14ac:dyDescent="0.2">
      <c r="A128" s="235" t="s">
        <v>127</v>
      </c>
      <c r="B128" s="287">
        <v>9058774.5099999998</v>
      </c>
      <c r="C128" s="287">
        <v>27148889.760000002</v>
      </c>
      <c r="D128" s="287">
        <v>28744238.210000001</v>
      </c>
      <c r="E128" s="287">
        <v>28744238.210000001</v>
      </c>
      <c r="F128" s="237">
        <f t="shared" si="6"/>
        <v>1595348.4499999993</v>
      </c>
      <c r="G128" s="236">
        <f t="shared" si="7"/>
        <v>5.8762935210356693E-2</v>
      </c>
      <c r="I128" s="221" t="s">
        <v>874</v>
      </c>
      <c r="J128" s="226">
        <f>ROUND((B137+B231+B233)/1000,0)</f>
        <v>22714</v>
      </c>
      <c r="K128" s="226">
        <f t="shared" ref="K128:L128" si="19">ROUND((C137+C231+C233)/1000,0)</f>
        <v>19545</v>
      </c>
      <c r="L128" s="226">
        <f t="shared" si="19"/>
        <v>36547</v>
      </c>
      <c r="M128" s="226">
        <f t="shared" si="10"/>
        <v>17002</v>
      </c>
      <c r="N128" s="320">
        <f t="shared" si="11"/>
        <v>0.86988999744180107</v>
      </c>
      <c r="O128" s="320">
        <f t="shared" si="12"/>
        <v>0.60900766047371668</v>
      </c>
    </row>
    <row r="129" spans="1:15" ht="11.1" customHeight="1" outlineLevel="5" x14ac:dyDescent="0.2">
      <c r="A129" s="235" t="s">
        <v>128</v>
      </c>
      <c r="B129" s="287">
        <v>4460705.84</v>
      </c>
      <c r="C129" s="287">
        <v>6982055.1500000004</v>
      </c>
      <c r="D129" s="287">
        <v>3412567.58</v>
      </c>
      <c r="E129" s="287">
        <v>3412567.58</v>
      </c>
      <c r="F129" s="237">
        <f t="shared" si="6"/>
        <v>-3569487.5700000003</v>
      </c>
      <c r="G129" s="236">
        <f t="shared" si="7"/>
        <v>-0.51123737829541493</v>
      </c>
    </row>
    <row r="130" spans="1:15" ht="11.1" customHeight="1" outlineLevel="4" x14ac:dyDescent="0.2">
      <c r="A130" s="234" t="s">
        <v>129</v>
      </c>
      <c r="B130" s="285">
        <v>89048852</v>
      </c>
      <c r="C130" s="285">
        <v>74926741.590000004</v>
      </c>
      <c r="D130" s="285">
        <v>64423525.189999998</v>
      </c>
      <c r="E130" s="285">
        <v>64423525.189999998</v>
      </c>
      <c r="F130" s="229">
        <f t="shared" si="6"/>
        <v>-10503216.400000006</v>
      </c>
      <c r="G130" s="228">
        <f t="shared" si="7"/>
        <v>-0.14017980999992941</v>
      </c>
      <c r="J130" s="221" t="str">
        <f>J119</f>
        <v>факт 2021</v>
      </c>
      <c r="K130" s="221" t="str">
        <f t="shared" ref="K130:L130" si="20">K119</f>
        <v>план 2022</v>
      </c>
      <c r="L130" s="221" t="str">
        <f t="shared" si="20"/>
        <v>факт 2022</v>
      </c>
    </row>
    <row r="131" spans="1:15" ht="11.1" customHeight="1" outlineLevel="5" x14ac:dyDescent="0.2">
      <c r="A131" s="235" t="s">
        <v>130</v>
      </c>
      <c r="B131" s="287">
        <v>58723729.380000003</v>
      </c>
      <c r="C131" s="287">
        <v>45365660.229999997</v>
      </c>
      <c r="D131" s="287">
        <v>36280166.759999998</v>
      </c>
      <c r="E131" s="287">
        <v>36280166.759999998</v>
      </c>
      <c r="F131" s="237">
        <f t="shared" si="6"/>
        <v>-9085493.4699999988</v>
      </c>
      <c r="G131" s="236">
        <f t="shared" si="7"/>
        <v>-0.20027248416395416</v>
      </c>
      <c r="I131" s="221" t="str">
        <f>I125</f>
        <v>ГСМ</v>
      </c>
      <c r="J131" s="226">
        <f>J125</f>
        <v>320986</v>
      </c>
      <c r="K131" s="226">
        <f t="shared" ref="K131:L131" si="21">K125</f>
        <v>325567</v>
      </c>
      <c r="L131" s="226">
        <f t="shared" si="21"/>
        <v>334413</v>
      </c>
      <c r="M131" s="226">
        <f t="shared" ref="M131:O131" si="22">M125</f>
        <v>8846</v>
      </c>
      <c r="N131" s="317">
        <f t="shared" si="22"/>
        <v>2.7171058491800348E-2</v>
      </c>
      <c r="O131" s="317">
        <f t="shared" si="22"/>
        <v>4.1830484818652591E-2</v>
      </c>
    </row>
    <row r="132" spans="1:15" ht="11.1" customHeight="1" outlineLevel="5" x14ac:dyDescent="0.2">
      <c r="A132" s="235" t="s">
        <v>131</v>
      </c>
      <c r="B132" s="287">
        <v>3162071.3</v>
      </c>
      <c r="C132" s="287">
        <v>5365063.66</v>
      </c>
      <c r="D132" s="287">
        <v>3529825.43</v>
      </c>
      <c r="E132" s="287">
        <v>3529825.43</v>
      </c>
      <c r="F132" s="237">
        <f t="shared" si="6"/>
        <v>-1835238.23</v>
      </c>
      <c r="G132" s="236">
        <f t="shared" si="7"/>
        <v>-0.34207203237547412</v>
      </c>
      <c r="I132" s="221" t="str">
        <f>I120</f>
        <v>Автоперевозки</v>
      </c>
      <c r="J132" s="226">
        <f>J120</f>
        <v>160366</v>
      </c>
      <c r="K132" s="226">
        <f t="shared" ref="K132:L132" si="23">K120</f>
        <v>118083</v>
      </c>
      <c r="L132" s="226">
        <f t="shared" si="23"/>
        <v>341353</v>
      </c>
      <c r="M132" s="226">
        <f t="shared" ref="M132:O132" si="24">M120</f>
        <v>223270</v>
      </c>
      <c r="N132" s="317">
        <f t="shared" si="24"/>
        <v>1.8907886825368596</v>
      </c>
      <c r="O132" s="317">
        <f t="shared" si="24"/>
        <v>1.1285871069927542</v>
      </c>
    </row>
    <row r="133" spans="1:15" ht="11.1" customHeight="1" outlineLevel="5" x14ac:dyDescent="0.2">
      <c r="A133" s="235" t="s">
        <v>132</v>
      </c>
      <c r="B133" s="287">
        <v>23151866.879999999</v>
      </c>
      <c r="C133" s="287">
        <v>19521118.850000001</v>
      </c>
      <c r="D133" s="287">
        <v>21742045.829999998</v>
      </c>
      <c r="E133" s="287">
        <v>21742045.829999998</v>
      </c>
      <c r="F133" s="237">
        <f t="shared" si="6"/>
        <v>2220926.9799999967</v>
      </c>
      <c r="G133" s="236">
        <f t="shared" si="7"/>
        <v>0.11377047581470956</v>
      </c>
      <c r="I133" s="221" t="str">
        <f>I121</f>
        <v>Ж/д перевозки</v>
      </c>
      <c r="J133" s="221">
        <f t="shared" ref="J133:L133" si="25">J121</f>
        <v>44271</v>
      </c>
      <c r="K133" s="221">
        <f t="shared" si="25"/>
        <v>194169</v>
      </c>
      <c r="L133" s="221">
        <f t="shared" si="25"/>
        <v>230446</v>
      </c>
      <c r="M133" s="221">
        <f t="shared" ref="M133:O133" si="26">M121</f>
        <v>36277</v>
      </c>
      <c r="N133" s="317">
        <f t="shared" si="26"/>
        <v>0.1868320895714557</v>
      </c>
      <c r="O133" s="317">
        <f t="shared" si="26"/>
        <v>4.2053488739807099</v>
      </c>
    </row>
    <row r="134" spans="1:15" ht="11.1" customHeight="1" outlineLevel="5" x14ac:dyDescent="0.2">
      <c r="A134" s="235" t="s">
        <v>133</v>
      </c>
      <c r="B134" s="287">
        <v>4508.8900000000003</v>
      </c>
      <c r="C134" s="287">
        <v>1080970.04</v>
      </c>
      <c r="D134" s="287">
        <v>1538455.02</v>
      </c>
      <c r="E134" s="287">
        <v>1538455.02</v>
      </c>
      <c r="F134" s="237">
        <f t="shared" si="6"/>
        <v>457484.98</v>
      </c>
      <c r="G134" s="236">
        <f t="shared" si="7"/>
        <v>0.42321707639556783</v>
      </c>
      <c r="I134" s="221" t="str">
        <f>I124</f>
        <v>Ремонт, ТО и запчасти, масла</v>
      </c>
      <c r="J134" s="221">
        <f t="shared" ref="J134:L134" si="27">J124</f>
        <v>116947</v>
      </c>
      <c r="K134" s="221">
        <f t="shared" si="27"/>
        <v>139887</v>
      </c>
      <c r="L134" s="221">
        <f t="shared" si="27"/>
        <v>173212</v>
      </c>
      <c r="M134" s="221">
        <f t="shared" ref="M134:O134" si="28">M124</f>
        <v>33325</v>
      </c>
      <c r="N134" s="317">
        <f t="shared" si="28"/>
        <v>0.23822799831292407</v>
      </c>
      <c r="O134" s="317">
        <f t="shared" si="28"/>
        <v>0.48111537705114293</v>
      </c>
    </row>
    <row r="135" spans="1:15" ht="11.1" customHeight="1" outlineLevel="5" x14ac:dyDescent="0.2">
      <c r="A135" s="235" t="s">
        <v>134</v>
      </c>
      <c r="B135" s="287">
        <v>4006675.55</v>
      </c>
      <c r="C135" s="287">
        <v>3593928.81</v>
      </c>
      <c r="D135" s="287">
        <v>1333032.1499999999</v>
      </c>
      <c r="E135" s="287">
        <v>1333032.1499999999</v>
      </c>
      <c r="F135" s="237">
        <f t="shared" si="6"/>
        <v>-2260896.66</v>
      </c>
      <c r="G135" s="236">
        <f t="shared" si="7"/>
        <v>-0.62908776982702674</v>
      </c>
      <c r="I135" s="221" t="str">
        <f>I122</f>
        <v>Амортизация ТС</v>
      </c>
      <c r="J135" s="221">
        <f t="shared" ref="J135:L135" si="29">J122</f>
        <v>63763</v>
      </c>
      <c r="K135" s="221">
        <f t="shared" si="29"/>
        <v>68971</v>
      </c>
      <c r="L135" s="221">
        <f t="shared" si="29"/>
        <v>76853</v>
      </c>
      <c r="M135" s="221">
        <f t="shared" ref="M135:O135" si="30">M122</f>
        <v>7882</v>
      </c>
      <c r="N135" s="317">
        <f t="shared" si="30"/>
        <v>0.11427991474677768</v>
      </c>
      <c r="O135" s="317">
        <f t="shared" si="30"/>
        <v>0.20529146997475034</v>
      </c>
    </row>
    <row r="136" spans="1:15" ht="11.1" customHeight="1" outlineLevel="4" x14ac:dyDescent="0.2">
      <c r="A136" s="234" t="s">
        <v>135</v>
      </c>
      <c r="B136" s="285">
        <v>65289702.130000003</v>
      </c>
      <c r="C136" s="285">
        <v>67932478.719999999</v>
      </c>
      <c r="D136" s="285">
        <v>85993168.239999995</v>
      </c>
      <c r="E136" s="285">
        <v>85993168.239999995</v>
      </c>
      <c r="F136" s="229">
        <f t="shared" si="6"/>
        <v>18060689.519999996</v>
      </c>
      <c r="G136" s="228">
        <f t="shared" si="7"/>
        <v>0.26586236598905</v>
      </c>
      <c r="I136" s="221" t="str">
        <f>I128</f>
        <v>Амортизация прочее</v>
      </c>
      <c r="J136" s="221">
        <f t="shared" ref="J136:L136" si="31">J128</f>
        <v>22714</v>
      </c>
      <c r="K136" s="221">
        <f t="shared" si="31"/>
        <v>19545</v>
      </c>
      <c r="L136" s="221">
        <f t="shared" si="31"/>
        <v>36547</v>
      </c>
      <c r="M136" s="221">
        <f t="shared" ref="M136:O136" si="32">M128</f>
        <v>17002</v>
      </c>
      <c r="N136" s="317">
        <f t="shared" si="32"/>
        <v>0.86988999744180107</v>
      </c>
      <c r="O136" s="317">
        <f t="shared" si="32"/>
        <v>0.60900766047371668</v>
      </c>
    </row>
    <row r="137" spans="1:15" ht="11.1" customHeight="1" outlineLevel="5" x14ac:dyDescent="0.2">
      <c r="A137" s="235" t="s">
        <v>136</v>
      </c>
      <c r="B137" s="287">
        <v>4482450.32</v>
      </c>
      <c r="C137" s="287">
        <v>3630489.08</v>
      </c>
      <c r="D137" s="287">
        <v>5980552.4199999999</v>
      </c>
      <c r="E137" s="287">
        <v>5980552.4199999999</v>
      </c>
      <c r="F137" s="237">
        <f t="shared" si="6"/>
        <v>2350063.34</v>
      </c>
      <c r="G137" s="236">
        <f t="shared" si="7"/>
        <v>0.64731315484358931</v>
      </c>
      <c r="I137" s="221" t="str">
        <f>I123</f>
        <v>Убытки прошлых лет</v>
      </c>
      <c r="J137" s="221">
        <f t="shared" ref="J137:L137" si="33">J123</f>
        <v>26011</v>
      </c>
      <c r="K137" s="221">
        <f t="shared" si="33"/>
        <v>170</v>
      </c>
      <c r="L137" s="221">
        <f t="shared" si="33"/>
        <v>26166</v>
      </c>
      <c r="M137" s="221">
        <f t="shared" ref="M137:O137" si="34">M123</f>
        <v>25996</v>
      </c>
      <c r="N137" s="317">
        <f t="shared" si="34"/>
        <v>152.91764705882352</v>
      </c>
      <c r="O137" s="317">
        <f t="shared" si="34"/>
        <v>5.9590173388182066E-3</v>
      </c>
    </row>
    <row r="138" spans="1:15" ht="11.1" customHeight="1" outlineLevel="5" x14ac:dyDescent="0.2">
      <c r="A138" s="235" t="s">
        <v>137</v>
      </c>
      <c r="B138" s="287">
        <v>56782189.090000004</v>
      </c>
      <c r="C138" s="287">
        <v>60557067.950000003</v>
      </c>
      <c r="D138" s="287">
        <v>70685502.650000006</v>
      </c>
      <c r="E138" s="287">
        <v>70685502.650000006</v>
      </c>
      <c r="F138" s="237">
        <f t="shared" si="6"/>
        <v>10128434.700000003</v>
      </c>
      <c r="G138" s="236">
        <f t="shared" si="7"/>
        <v>0.16725437744711691</v>
      </c>
      <c r="I138" s="221" t="str">
        <f>I127</f>
        <v>ОС (Техника связи)</v>
      </c>
      <c r="J138" s="221">
        <f t="shared" ref="J138:L138" si="35">J127</f>
        <v>1583</v>
      </c>
      <c r="K138" s="221">
        <f t="shared" si="35"/>
        <v>2508</v>
      </c>
      <c r="L138" s="221">
        <f t="shared" si="35"/>
        <v>10231</v>
      </c>
      <c r="M138" s="221">
        <f t="shared" ref="M138:O138" si="36">M127</f>
        <v>7723</v>
      </c>
      <c r="N138" s="317">
        <f t="shared" si="36"/>
        <v>3.0793460925039868</v>
      </c>
      <c r="O138" s="317">
        <f t="shared" si="36"/>
        <v>5.4630448515476946</v>
      </c>
    </row>
    <row r="139" spans="1:15" ht="11.1" customHeight="1" outlineLevel="5" x14ac:dyDescent="0.2">
      <c r="A139" s="235" t="s">
        <v>138</v>
      </c>
      <c r="B139" s="287">
        <v>4025062.72</v>
      </c>
      <c r="C139" s="287">
        <v>3744921.69</v>
      </c>
      <c r="D139" s="287">
        <v>9327113.1699999999</v>
      </c>
      <c r="E139" s="287">
        <v>9327113.1699999999</v>
      </c>
      <c r="F139" s="237">
        <f t="shared" si="6"/>
        <v>5582191.4800000004</v>
      </c>
      <c r="G139" s="236">
        <f t="shared" si="7"/>
        <v>1.4906029930895563</v>
      </c>
      <c r="I139" s="221" t="str">
        <f>I126</f>
        <v>Амортизация зданий</v>
      </c>
      <c r="J139" s="221">
        <f t="shared" ref="J139:L139" si="37">J126</f>
        <v>4025</v>
      </c>
      <c r="K139" s="221">
        <f t="shared" si="37"/>
        <v>3745</v>
      </c>
      <c r="L139" s="221">
        <f t="shared" si="37"/>
        <v>9327</v>
      </c>
      <c r="M139" s="221">
        <f t="shared" ref="M139:O139" si="38">M126</f>
        <v>5582</v>
      </c>
      <c r="N139" s="317">
        <f t="shared" si="38"/>
        <v>1.4905206942590121</v>
      </c>
      <c r="O139" s="317">
        <f t="shared" si="38"/>
        <v>1.3172670807453417</v>
      </c>
    </row>
    <row r="140" spans="1:15" ht="11.1" customHeight="1" outlineLevel="5" x14ac:dyDescent="0.2">
      <c r="A140" s="235" t="s">
        <v>139</v>
      </c>
      <c r="B140" s="287">
        <v>0</v>
      </c>
      <c r="C140" s="287">
        <v>0</v>
      </c>
      <c r="D140" s="287">
        <v>0</v>
      </c>
      <c r="E140" s="287">
        <v>0</v>
      </c>
      <c r="F140" s="237">
        <f t="shared" si="6"/>
        <v>0</v>
      </c>
      <c r="G140" s="236" t="e">
        <f t="shared" si="7"/>
        <v>#DIV/0!</v>
      </c>
    </row>
    <row r="141" spans="1:15" ht="11.1" customHeight="1" outlineLevel="4" x14ac:dyDescent="0.2">
      <c r="A141" s="234" t="s">
        <v>140</v>
      </c>
      <c r="B141" s="285">
        <v>821143820.87</v>
      </c>
      <c r="C141" s="285">
        <v>795299345.23000002</v>
      </c>
      <c r="D141" s="285">
        <v>1026132079.99</v>
      </c>
      <c r="E141" s="285">
        <v>899075965.61000001</v>
      </c>
      <c r="F141" s="229">
        <f t="shared" si="6"/>
        <v>230832734.75999999</v>
      </c>
      <c r="G141" s="228">
        <f t="shared" si="7"/>
        <v>0.29024635333157889</v>
      </c>
    </row>
    <row r="142" spans="1:15" ht="11.1" customHeight="1" outlineLevel="5" x14ac:dyDescent="0.2">
      <c r="A142" s="238" t="s">
        <v>141</v>
      </c>
      <c r="B142" s="285">
        <v>28356297.73</v>
      </c>
      <c r="C142" s="285">
        <v>18575490.98</v>
      </c>
      <c r="D142" s="285">
        <v>16750194.83</v>
      </c>
      <c r="E142" s="285">
        <v>16750194.83</v>
      </c>
      <c r="F142" s="229">
        <f t="shared" si="6"/>
        <v>-1825296.1500000004</v>
      </c>
      <c r="G142" s="228">
        <f t="shared" si="7"/>
        <v>-9.8263682610880809E-2</v>
      </c>
    </row>
    <row r="143" spans="1:15" ht="11.1" customHeight="1" outlineLevel="6" x14ac:dyDescent="0.2">
      <c r="A143" s="239" t="s">
        <v>142</v>
      </c>
      <c r="B143" s="287">
        <v>11324.66</v>
      </c>
      <c r="C143" s="287">
        <v>43199.98</v>
      </c>
      <c r="D143" s="287">
        <v>17699.349999999999</v>
      </c>
      <c r="E143" s="287">
        <v>17699.349999999999</v>
      </c>
      <c r="F143" s="237">
        <f t="shared" si="6"/>
        <v>-25500.630000000005</v>
      </c>
      <c r="G143" s="236">
        <f t="shared" si="7"/>
        <v>-0.59029263439473822</v>
      </c>
    </row>
    <row r="144" spans="1:15" ht="11.1" customHeight="1" outlineLevel="6" x14ac:dyDescent="0.2">
      <c r="A144" s="239" t="s">
        <v>143</v>
      </c>
      <c r="B144" s="287">
        <v>0</v>
      </c>
      <c r="C144" s="287">
        <v>0</v>
      </c>
      <c r="D144" s="287">
        <v>20207.54</v>
      </c>
      <c r="E144" s="287">
        <v>20207.54</v>
      </c>
      <c r="F144" s="237">
        <f t="shared" si="6"/>
        <v>20207.54</v>
      </c>
      <c r="G144" s="236" t="e">
        <f t="shared" si="7"/>
        <v>#DIV/0!</v>
      </c>
    </row>
    <row r="145" spans="1:7" ht="11.1" customHeight="1" outlineLevel="6" x14ac:dyDescent="0.2">
      <c r="A145" s="239" t="s">
        <v>144</v>
      </c>
      <c r="B145" s="287">
        <v>13960263.16</v>
      </c>
      <c r="C145" s="287">
        <v>6555372</v>
      </c>
      <c r="D145" s="287">
        <v>6506184.7599999998</v>
      </c>
      <c r="E145" s="287">
        <v>6506184.7599999998</v>
      </c>
      <c r="F145" s="237">
        <f t="shared" si="6"/>
        <v>-49187.240000000224</v>
      </c>
      <c r="G145" s="236">
        <f t="shared" si="7"/>
        <v>-7.5033483988399263E-3</v>
      </c>
    </row>
    <row r="146" spans="1:7" ht="11.1" customHeight="1" outlineLevel="6" x14ac:dyDescent="0.2">
      <c r="A146" s="239" t="s">
        <v>145</v>
      </c>
      <c r="B146" s="287">
        <v>14384709.91</v>
      </c>
      <c r="C146" s="287">
        <v>11976919</v>
      </c>
      <c r="D146" s="287">
        <v>10206103.18</v>
      </c>
      <c r="E146" s="287">
        <v>10206103.18</v>
      </c>
      <c r="F146" s="237">
        <f t="shared" si="6"/>
        <v>-1770815.8200000003</v>
      </c>
      <c r="G146" s="236">
        <f t="shared" si="7"/>
        <v>-0.14785236670632906</v>
      </c>
    </row>
    <row r="147" spans="1:7" ht="11.1" customHeight="1" outlineLevel="5" x14ac:dyDescent="0.2">
      <c r="A147" s="238" t="s">
        <v>146</v>
      </c>
      <c r="B147" s="285">
        <v>507857615.10000002</v>
      </c>
      <c r="C147" s="285">
        <v>587157068.05999994</v>
      </c>
      <c r="D147" s="285">
        <v>832521595.25</v>
      </c>
      <c r="E147" s="285">
        <v>705465480.87</v>
      </c>
      <c r="F147" s="229">
        <f t="shared" si="6"/>
        <v>245364527.19000006</v>
      </c>
      <c r="G147" s="228">
        <f t="shared" si="7"/>
        <v>0.41788567410198829</v>
      </c>
    </row>
    <row r="148" spans="1:7" ht="11.1" customHeight="1" outlineLevel="6" x14ac:dyDescent="0.2">
      <c r="A148" s="242" t="s">
        <v>147</v>
      </c>
      <c r="B148" s="285">
        <v>11404090.35</v>
      </c>
      <c r="C148" s="285">
        <v>8340818</v>
      </c>
      <c r="D148" s="285">
        <v>10295199.939999999</v>
      </c>
      <c r="E148" s="285">
        <v>10295199.939999999</v>
      </c>
      <c r="F148" s="229">
        <f t="shared" si="6"/>
        <v>1954381.9399999995</v>
      </c>
      <c r="G148" s="228">
        <f t="shared" si="7"/>
        <v>0.23431538009821096</v>
      </c>
    </row>
    <row r="149" spans="1:7" ht="11.1" customHeight="1" outlineLevel="7" x14ac:dyDescent="0.2">
      <c r="A149" s="243" t="s">
        <v>148</v>
      </c>
      <c r="B149" s="287">
        <v>11390705.689999999</v>
      </c>
      <c r="C149" s="287">
        <v>8317418</v>
      </c>
      <c r="D149" s="287">
        <v>10279599.939999999</v>
      </c>
      <c r="E149" s="287">
        <v>10279599.939999999</v>
      </c>
      <c r="F149" s="237">
        <f t="shared" si="6"/>
        <v>1962181.9399999995</v>
      </c>
      <c r="G149" s="236">
        <f t="shared" si="7"/>
        <v>0.23591238771455281</v>
      </c>
    </row>
    <row r="150" spans="1:7" ht="11.1" customHeight="1" outlineLevel="7" x14ac:dyDescent="0.2">
      <c r="A150" s="243" t="s">
        <v>149</v>
      </c>
      <c r="B150" s="287">
        <v>13384.66</v>
      </c>
      <c r="C150" s="287">
        <v>23400</v>
      </c>
      <c r="D150" s="287">
        <v>15600</v>
      </c>
      <c r="E150" s="287">
        <v>15600</v>
      </c>
      <c r="F150" s="237">
        <f t="shared" si="6"/>
        <v>-7800</v>
      </c>
      <c r="G150" s="236">
        <f t="shared" si="7"/>
        <v>-0.33333333333333337</v>
      </c>
    </row>
    <row r="151" spans="1:7" ht="11.1" customHeight="1" outlineLevel="6" x14ac:dyDescent="0.2">
      <c r="A151" s="242" t="s">
        <v>150</v>
      </c>
      <c r="B151" s="285">
        <v>295306.89</v>
      </c>
      <c r="C151" s="285">
        <v>2845001</v>
      </c>
      <c r="D151" s="285">
        <v>1619900.94</v>
      </c>
      <c r="E151" s="285">
        <v>1619900.94</v>
      </c>
      <c r="F151" s="229">
        <f t="shared" si="6"/>
        <v>-1225100.06</v>
      </c>
      <c r="G151" s="228">
        <f t="shared" si="7"/>
        <v>-0.43061498396661368</v>
      </c>
    </row>
    <row r="152" spans="1:7" ht="11.1" customHeight="1" outlineLevel="7" x14ac:dyDescent="0.2">
      <c r="A152" s="243" t="s">
        <v>151</v>
      </c>
      <c r="B152" s="287">
        <v>276826.67</v>
      </c>
      <c r="C152" s="287">
        <v>2845001</v>
      </c>
      <c r="D152" s="287">
        <v>1579271.74</v>
      </c>
      <c r="E152" s="287">
        <v>1579271.74</v>
      </c>
      <c r="F152" s="237">
        <f t="shared" si="6"/>
        <v>-1265729.26</v>
      </c>
      <c r="G152" s="236">
        <f t="shared" si="7"/>
        <v>-0.44489589283096909</v>
      </c>
    </row>
    <row r="153" spans="1:7" ht="11.1" customHeight="1" outlineLevel="7" x14ac:dyDescent="0.2">
      <c r="A153" s="243" t="s">
        <v>152</v>
      </c>
      <c r="B153" s="287">
        <v>18480.22</v>
      </c>
      <c r="C153" s="287">
        <v>0</v>
      </c>
      <c r="D153" s="287">
        <v>40629.199999999997</v>
      </c>
      <c r="E153" s="287">
        <v>40629.199999999997</v>
      </c>
      <c r="F153" s="237">
        <f t="shared" si="6"/>
        <v>40629.199999999997</v>
      </c>
      <c r="G153" s="236" t="e">
        <f t="shared" si="7"/>
        <v>#DIV/0!</v>
      </c>
    </row>
    <row r="154" spans="1:7" ht="11.1" customHeight="1" outlineLevel="6" x14ac:dyDescent="0.2">
      <c r="A154" s="242" t="s">
        <v>153</v>
      </c>
      <c r="B154" s="285">
        <v>44270590.240000002</v>
      </c>
      <c r="C154" s="285">
        <v>194168568.74000001</v>
      </c>
      <c r="D154" s="285">
        <v>230446327.94</v>
      </c>
      <c r="E154" s="285">
        <v>225852448.5</v>
      </c>
      <c r="F154" s="229">
        <f t="shared" si="6"/>
        <v>36277759.199999988</v>
      </c>
      <c r="G154" s="228">
        <f t="shared" si="7"/>
        <v>0.18683641454131261</v>
      </c>
    </row>
    <row r="155" spans="1:7" ht="11.1" customHeight="1" outlineLevel="7" x14ac:dyDescent="0.2">
      <c r="A155" s="243" t="s">
        <v>154</v>
      </c>
      <c r="B155" s="287">
        <v>60159.77</v>
      </c>
      <c r="C155" s="287">
        <v>754310.24</v>
      </c>
      <c r="D155" s="287">
        <v>8549219.6799999997</v>
      </c>
      <c r="E155" s="287">
        <v>8175886.3499999996</v>
      </c>
      <c r="F155" s="237">
        <f t="shared" si="6"/>
        <v>7794909.4399999995</v>
      </c>
      <c r="G155" s="236">
        <f t="shared" si="7"/>
        <v>10.333824236563458</v>
      </c>
    </row>
    <row r="156" spans="1:7" ht="11.1" customHeight="1" outlineLevel="7" x14ac:dyDescent="0.2">
      <c r="A156" s="243" t="s">
        <v>155</v>
      </c>
      <c r="B156" s="287">
        <v>44210430.469999999</v>
      </c>
      <c r="C156" s="287">
        <v>193414258.5</v>
      </c>
      <c r="D156" s="287">
        <v>221897108.25999999</v>
      </c>
      <c r="E156" s="287">
        <v>217676562.15000001</v>
      </c>
      <c r="F156" s="237">
        <f t="shared" si="6"/>
        <v>28482849.75999999</v>
      </c>
      <c r="G156" s="236">
        <f t="shared" si="7"/>
        <v>0.14726344366178146</v>
      </c>
    </row>
    <row r="157" spans="1:7" ht="11.1" customHeight="1" outlineLevel="6" x14ac:dyDescent="0.2">
      <c r="A157" s="242" t="s">
        <v>156</v>
      </c>
      <c r="B157" s="285">
        <v>160365750.93000001</v>
      </c>
      <c r="C157" s="285">
        <v>118083154.05</v>
      </c>
      <c r="D157" s="285">
        <v>341353312.50999999</v>
      </c>
      <c r="E157" s="285">
        <v>223935312.50999999</v>
      </c>
      <c r="F157" s="229">
        <f t="shared" si="6"/>
        <v>223270158.45999998</v>
      </c>
      <c r="G157" s="228">
        <f t="shared" si="7"/>
        <v>1.8907875577701847</v>
      </c>
    </row>
    <row r="158" spans="1:7" ht="11.1" customHeight="1" outlineLevel="7" x14ac:dyDescent="0.2">
      <c r="A158" s="243" t="s">
        <v>157</v>
      </c>
      <c r="B158" s="287">
        <v>16539937.630000001</v>
      </c>
      <c r="C158" s="287">
        <v>1775600</v>
      </c>
      <c r="D158" s="287">
        <v>6331132.6399999997</v>
      </c>
      <c r="E158" s="287">
        <v>6331132.6399999997</v>
      </c>
      <c r="F158" s="237">
        <f t="shared" si="6"/>
        <v>4555532.6399999997</v>
      </c>
      <c r="G158" s="236">
        <f t="shared" si="7"/>
        <v>2.5656300067582789</v>
      </c>
    </row>
    <row r="159" spans="1:7" ht="11.1" customHeight="1" outlineLevel="7" x14ac:dyDescent="0.2">
      <c r="A159" s="243" t="s">
        <v>158</v>
      </c>
      <c r="B159" s="287">
        <v>143825813.30000001</v>
      </c>
      <c r="C159" s="287">
        <v>116307554.05</v>
      </c>
      <c r="D159" s="287">
        <v>335022179.87</v>
      </c>
      <c r="E159" s="287">
        <v>217604179.87</v>
      </c>
      <c r="F159" s="237">
        <f t="shared" si="6"/>
        <v>218714625.81999999</v>
      </c>
      <c r="G159" s="236">
        <f t="shared" si="7"/>
        <v>1.880485129331976</v>
      </c>
    </row>
    <row r="160" spans="1:7" ht="11.1" customHeight="1" outlineLevel="6" x14ac:dyDescent="0.2">
      <c r="A160" s="242" t="s">
        <v>159</v>
      </c>
      <c r="B160" s="285">
        <v>6332831.6100000003</v>
      </c>
      <c r="C160" s="285">
        <v>3130021.23</v>
      </c>
      <c r="D160" s="285">
        <v>3890685.29</v>
      </c>
      <c r="E160" s="285">
        <v>3890685.29</v>
      </c>
      <c r="F160" s="229">
        <f t="shared" si="6"/>
        <v>760664.06</v>
      </c>
      <c r="G160" s="228">
        <f t="shared" si="7"/>
        <v>0.2430220129848768</v>
      </c>
    </row>
    <row r="161" spans="1:7" ht="11.1" customHeight="1" outlineLevel="7" x14ac:dyDescent="0.2">
      <c r="A161" s="243" t="s">
        <v>160</v>
      </c>
      <c r="B161" s="287">
        <v>10653.34</v>
      </c>
      <c r="C161" s="287">
        <v>167400</v>
      </c>
      <c r="D161" s="287">
        <v>34666.699999999997</v>
      </c>
      <c r="E161" s="287">
        <v>34666.699999999997</v>
      </c>
      <c r="F161" s="237">
        <f t="shared" si="6"/>
        <v>-132733.29999999999</v>
      </c>
      <c r="G161" s="236">
        <f t="shared" si="7"/>
        <v>-0.79291099163679812</v>
      </c>
    </row>
    <row r="162" spans="1:7" ht="11.1" customHeight="1" outlineLevel="7" x14ac:dyDescent="0.2">
      <c r="A162" s="243" t="s">
        <v>161</v>
      </c>
      <c r="B162" s="287">
        <v>6322178.2699999996</v>
      </c>
      <c r="C162" s="287">
        <v>2962621.23</v>
      </c>
      <c r="D162" s="287">
        <v>3856018.59</v>
      </c>
      <c r="E162" s="287">
        <v>3856018.59</v>
      </c>
      <c r="F162" s="237">
        <f t="shared" si="6"/>
        <v>893397.35999999987</v>
      </c>
      <c r="G162" s="236">
        <f t="shared" si="7"/>
        <v>0.30155638896842718</v>
      </c>
    </row>
    <row r="163" spans="1:7" ht="11.1" customHeight="1" outlineLevel="6" x14ac:dyDescent="0.2">
      <c r="A163" s="242" t="s">
        <v>162</v>
      </c>
      <c r="B163" s="285">
        <v>220369513.16</v>
      </c>
      <c r="C163" s="285">
        <v>202921619.46000001</v>
      </c>
      <c r="D163" s="285">
        <v>191227700.00999999</v>
      </c>
      <c r="E163" s="285">
        <v>186183465.06999999</v>
      </c>
      <c r="F163" s="229">
        <f t="shared" si="6"/>
        <v>-11693919.450000018</v>
      </c>
      <c r="G163" s="228">
        <f t="shared" si="7"/>
        <v>-5.7627765248074669E-2</v>
      </c>
    </row>
    <row r="164" spans="1:7" ht="11.1" customHeight="1" outlineLevel="7" x14ac:dyDescent="0.2">
      <c r="A164" s="243" t="s">
        <v>163</v>
      </c>
      <c r="B164" s="287">
        <v>8897926.0399999991</v>
      </c>
      <c r="C164" s="287">
        <v>13546798.380000001</v>
      </c>
      <c r="D164" s="287">
        <v>6252589.5899999999</v>
      </c>
      <c r="E164" s="287">
        <v>6252589.5899999999</v>
      </c>
      <c r="F164" s="237">
        <f t="shared" si="6"/>
        <v>-7294208.790000001</v>
      </c>
      <c r="G164" s="236">
        <f t="shared" si="7"/>
        <v>-0.53844521675091173</v>
      </c>
    </row>
    <row r="165" spans="1:7" ht="11.1" customHeight="1" outlineLevel="7" x14ac:dyDescent="0.2">
      <c r="A165" s="243" t="s">
        <v>164</v>
      </c>
      <c r="B165" s="287">
        <v>211471587.12</v>
      </c>
      <c r="C165" s="287">
        <v>189374821.08000001</v>
      </c>
      <c r="D165" s="287">
        <v>184975110.41999999</v>
      </c>
      <c r="E165" s="287">
        <v>179930875.47999999</v>
      </c>
      <c r="F165" s="237">
        <f t="shared" si="6"/>
        <v>-4399710.6600000262</v>
      </c>
      <c r="G165" s="236">
        <f t="shared" si="7"/>
        <v>-2.323281751453854E-2</v>
      </c>
    </row>
    <row r="166" spans="1:7" ht="11.1" customHeight="1" outlineLevel="6" x14ac:dyDescent="0.2">
      <c r="A166" s="239" t="s">
        <v>165</v>
      </c>
      <c r="B166" s="287">
        <v>56959436.619999997</v>
      </c>
      <c r="C166" s="287">
        <v>56827803.32</v>
      </c>
      <c r="D166" s="287">
        <v>51940565.18</v>
      </c>
      <c r="E166" s="287">
        <v>51940565.18</v>
      </c>
      <c r="F166" s="237">
        <f t="shared" si="6"/>
        <v>-4887238.1400000006</v>
      </c>
      <c r="G166" s="236">
        <f t="shared" si="7"/>
        <v>-8.6000828018632625E-2</v>
      </c>
    </row>
    <row r="167" spans="1:7" ht="11.1" customHeight="1" outlineLevel="6" x14ac:dyDescent="0.2">
      <c r="A167" s="239" t="s">
        <v>166</v>
      </c>
      <c r="B167" s="287">
        <v>6407965.6200000001</v>
      </c>
      <c r="C167" s="287">
        <v>547667.86</v>
      </c>
      <c r="D167" s="287">
        <v>1184991.8</v>
      </c>
      <c r="E167" s="287">
        <v>1184991.8</v>
      </c>
      <c r="F167" s="237">
        <f t="shared" si="6"/>
        <v>637323.94000000006</v>
      </c>
      <c r="G167" s="236">
        <f t="shared" si="7"/>
        <v>1.1637052062905426</v>
      </c>
    </row>
    <row r="168" spans="1:7" ht="11.1" customHeight="1" outlineLevel="6" x14ac:dyDescent="0.2">
      <c r="A168" s="239" t="s">
        <v>167</v>
      </c>
      <c r="B168" s="287">
        <v>1452129.68</v>
      </c>
      <c r="C168" s="287">
        <v>292414.40000000002</v>
      </c>
      <c r="D168" s="287">
        <v>562911.64</v>
      </c>
      <c r="E168" s="287">
        <v>562911.64</v>
      </c>
      <c r="F168" s="237">
        <f t="shared" si="6"/>
        <v>270497.24</v>
      </c>
      <c r="G168" s="236">
        <f t="shared" si="7"/>
        <v>0.92504760367478478</v>
      </c>
    </row>
    <row r="169" spans="1:7" ht="11.1" customHeight="1" outlineLevel="5" x14ac:dyDescent="0.2">
      <c r="A169" s="238" t="s">
        <v>168</v>
      </c>
      <c r="B169" s="285">
        <v>233060321</v>
      </c>
      <c r="C169" s="285">
        <v>140966411.75</v>
      </c>
      <c r="D169" s="285">
        <v>138629866.72</v>
      </c>
      <c r="E169" s="285">
        <v>138629866.72</v>
      </c>
      <c r="F169" s="229">
        <f t="shared" si="6"/>
        <v>-2336545.0300000012</v>
      </c>
      <c r="G169" s="228">
        <f t="shared" si="7"/>
        <v>-1.657518979871464E-2</v>
      </c>
    </row>
    <row r="170" spans="1:7" ht="11.1" customHeight="1" outlineLevel="6" x14ac:dyDescent="0.2">
      <c r="A170" s="239" t="s">
        <v>168</v>
      </c>
      <c r="B170" s="287">
        <v>233060321</v>
      </c>
      <c r="C170" s="287">
        <v>138466411.75999999</v>
      </c>
      <c r="D170" s="287">
        <v>138629866.72</v>
      </c>
      <c r="E170" s="287">
        <v>138629866.72</v>
      </c>
      <c r="F170" s="237">
        <f t="shared" si="6"/>
        <v>163454.96000000834</v>
      </c>
      <c r="G170" s="236">
        <f t="shared" si="7"/>
        <v>1.1804664966932332E-3</v>
      </c>
    </row>
    <row r="171" spans="1:7" ht="11.1" customHeight="1" outlineLevel="6" x14ac:dyDescent="0.2">
      <c r="A171" s="239" t="s">
        <v>169</v>
      </c>
      <c r="B171" s="287">
        <v>0</v>
      </c>
      <c r="C171" s="287">
        <v>2499999.9900000002</v>
      </c>
      <c r="D171" s="287">
        <v>0</v>
      </c>
      <c r="E171" s="287">
        <v>0</v>
      </c>
      <c r="F171" s="237">
        <f t="shared" si="6"/>
        <v>-2499999.9900000002</v>
      </c>
      <c r="G171" s="236">
        <f t="shared" si="7"/>
        <v>-1</v>
      </c>
    </row>
    <row r="172" spans="1:7" ht="11.1" customHeight="1" outlineLevel="5" x14ac:dyDescent="0.2">
      <c r="A172" s="235" t="s">
        <v>170</v>
      </c>
      <c r="B172" s="287">
        <v>40925275.020000003</v>
      </c>
      <c r="C172" s="287">
        <v>45269078.340000004</v>
      </c>
      <c r="D172" s="287">
        <v>33699750.719999999</v>
      </c>
      <c r="E172" s="287">
        <v>33699750.719999999</v>
      </c>
      <c r="F172" s="237">
        <f t="shared" si="6"/>
        <v>-11569327.620000005</v>
      </c>
      <c r="G172" s="236">
        <f t="shared" si="7"/>
        <v>-0.25556799573224986</v>
      </c>
    </row>
    <row r="173" spans="1:7" ht="11.1" customHeight="1" outlineLevel="5" x14ac:dyDescent="0.2">
      <c r="A173" s="235" t="s">
        <v>171</v>
      </c>
      <c r="B173" s="287">
        <v>10944312.02</v>
      </c>
      <c r="C173" s="287">
        <v>3331296.1</v>
      </c>
      <c r="D173" s="287">
        <v>4530672.47</v>
      </c>
      <c r="E173" s="287">
        <v>4530672.47</v>
      </c>
      <c r="F173" s="237">
        <f t="shared" si="6"/>
        <v>1199376.3699999996</v>
      </c>
      <c r="G173" s="236">
        <f t="shared" si="7"/>
        <v>0.36003295233948118</v>
      </c>
    </row>
    <row r="174" spans="1:7" ht="11.1" customHeight="1" outlineLevel="4" x14ac:dyDescent="0.2">
      <c r="A174" s="240" t="s">
        <v>172</v>
      </c>
      <c r="B174" s="287">
        <v>91929433.609999999</v>
      </c>
      <c r="C174" s="287">
        <v>98478491.049999997</v>
      </c>
      <c r="D174" s="287">
        <v>102559051.75</v>
      </c>
      <c r="E174" s="287">
        <v>102559051.75</v>
      </c>
      <c r="F174" s="237">
        <f t="shared" si="6"/>
        <v>4080560.700000003</v>
      </c>
      <c r="G174" s="236">
        <f t="shared" si="7"/>
        <v>4.1436060367011418E-2</v>
      </c>
    </row>
    <row r="175" spans="1:7" ht="11.1" customHeight="1" outlineLevel="4" x14ac:dyDescent="0.2">
      <c r="A175" s="234" t="s">
        <v>173</v>
      </c>
      <c r="B175" s="285">
        <v>1949318985.4000001</v>
      </c>
      <c r="C175" s="285">
        <v>2345809509.23</v>
      </c>
      <c r="D175" s="285">
        <v>2136512283.02</v>
      </c>
      <c r="E175" s="285">
        <v>2136512283.02</v>
      </c>
      <c r="F175" s="229">
        <f t="shared" si="6"/>
        <v>-209297226.21000004</v>
      </c>
      <c r="G175" s="228">
        <f t="shared" si="7"/>
        <v>-8.9221748563335312E-2</v>
      </c>
    </row>
    <row r="176" spans="1:7" ht="11.1" customHeight="1" outlineLevel="5" x14ac:dyDescent="0.2">
      <c r="A176" s="235" t="s">
        <v>174</v>
      </c>
      <c r="B176" s="287">
        <v>1385594833.5100002</v>
      </c>
      <c r="C176" s="287">
        <v>1639032593.71</v>
      </c>
      <c r="D176" s="287">
        <v>1511295225.0799999</v>
      </c>
      <c r="E176" s="287">
        <v>1511295225.0799999</v>
      </c>
      <c r="F176" s="237">
        <f t="shared" si="6"/>
        <v>-127737368.63000011</v>
      </c>
      <c r="G176" s="236">
        <f t="shared" si="7"/>
        <v>-7.7934611624081662E-2</v>
      </c>
    </row>
    <row r="177" spans="1:7" ht="11.1" customHeight="1" outlineLevel="5" x14ac:dyDescent="0.2">
      <c r="A177" s="235" t="s">
        <v>175</v>
      </c>
      <c r="B177" s="287">
        <v>455671434.92000002</v>
      </c>
      <c r="C177" s="287">
        <v>543707931.60000002</v>
      </c>
      <c r="D177" s="287">
        <v>492823745.54000002</v>
      </c>
      <c r="E177" s="287">
        <v>492823745.54000002</v>
      </c>
      <c r="F177" s="237">
        <f t="shared" si="6"/>
        <v>-50884186.060000002</v>
      </c>
      <c r="G177" s="236">
        <f t="shared" si="7"/>
        <v>-9.3587352883119146E-2</v>
      </c>
    </row>
    <row r="178" spans="1:7" ht="11.1" customHeight="1" outlineLevel="5" x14ac:dyDescent="0.2">
      <c r="A178" s="235" t="s">
        <v>176</v>
      </c>
      <c r="B178" s="287">
        <v>108001058.87</v>
      </c>
      <c r="C178" s="287">
        <v>161169583.91999999</v>
      </c>
      <c r="D178" s="287">
        <v>132002056.87</v>
      </c>
      <c r="E178" s="287">
        <v>132002056.87</v>
      </c>
      <c r="F178" s="237">
        <f t="shared" si="6"/>
        <v>-29167527.049999982</v>
      </c>
      <c r="G178" s="236">
        <f t="shared" si="7"/>
        <v>-0.18097414127766143</v>
      </c>
    </row>
    <row r="179" spans="1:7" ht="11.1" customHeight="1" outlineLevel="5" x14ac:dyDescent="0.2">
      <c r="A179" s="235" t="s">
        <v>177</v>
      </c>
      <c r="B179" s="287">
        <v>51658.1</v>
      </c>
      <c r="C179" s="287">
        <v>1899400</v>
      </c>
      <c r="D179" s="287">
        <v>391255.53</v>
      </c>
      <c r="E179" s="287">
        <v>391255.53</v>
      </c>
      <c r="F179" s="237">
        <f t="shared" si="6"/>
        <v>-1508144.47</v>
      </c>
      <c r="G179" s="236">
        <f t="shared" si="7"/>
        <v>-0.79401098768032008</v>
      </c>
    </row>
    <row r="180" spans="1:7" ht="11.1" customHeight="1" outlineLevel="4" x14ac:dyDescent="0.2">
      <c r="A180" s="234" t="s">
        <v>178</v>
      </c>
      <c r="B180" s="285">
        <v>17201377.059999999</v>
      </c>
      <c r="C180" s="285">
        <v>21914962.120000001</v>
      </c>
      <c r="D180" s="285">
        <v>16003926.32</v>
      </c>
      <c r="E180" s="285">
        <v>16003926.32</v>
      </c>
      <c r="F180" s="229">
        <f t="shared" si="6"/>
        <v>-5911035.8000000007</v>
      </c>
      <c r="G180" s="228">
        <f t="shared" si="7"/>
        <v>-0.26972603318376165</v>
      </c>
    </row>
    <row r="181" spans="1:7" ht="11.1" customHeight="1" outlineLevel="5" x14ac:dyDescent="0.2">
      <c r="A181" s="235" t="s">
        <v>179</v>
      </c>
      <c r="B181" s="287">
        <v>2063417.6</v>
      </c>
      <c r="C181" s="287">
        <v>2959114.1</v>
      </c>
      <c r="D181" s="287">
        <v>1046983.33</v>
      </c>
      <c r="E181" s="287">
        <v>1046983.33</v>
      </c>
      <c r="F181" s="237">
        <f t="shared" si="6"/>
        <v>-1912130.77</v>
      </c>
      <c r="G181" s="236">
        <f t="shared" si="7"/>
        <v>-0.64618352161547277</v>
      </c>
    </row>
    <row r="182" spans="1:7" ht="11.1" customHeight="1" outlineLevel="5" x14ac:dyDescent="0.2">
      <c r="A182" s="235" t="s">
        <v>180</v>
      </c>
      <c r="B182" s="287">
        <v>38990.54</v>
      </c>
      <c r="C182" s="287">
        <v>200364</v>
      </c>
      <c r="D182" s="287">
        <v>19350.57</v>
      </c>
      <c r="E182" s="287">
        <v>19350.57</v>
      </c>
      <c r="F182" s="237">
        <f t="shared" si="6"/>
        <v>-181013.43</v>
      </c>
      <c r="G182" s="236">
        <f t="shared" si="7"/>
        <v>-0.9034229202850812</v>
      </c>
    </row>
    <row r="183" spans="1:7" ht="11.1" customHeight="1" outlineLevel="5" x14ac:dyDescent="0.2">
      <c r="A183" s="235" t="s">
        <v>181</v>
      </c>
      <c r="B183" s="287">
        <v>15098968.92</v>
      </c>
      <c r="C183" s="287">
        <v>18755484.02</v>
      </c>
      <c r="D183" s="287">
        <v>14937592.42</v>
      </c>
      <c r="E183" s="287">
        <v>14937592.42</v>
      </c>
      <c r="F183" s="237">
        <f t="shared" si="6"/>
        <v>-3817891.5999999996</v>
      </c>
      <c r="G183" s="236">
        <f t="shared" si="7"/>
        <v>-0.20356134749328636</v>
      </c>
    </row>
    <row r="184" spans="1:7" ht="11.1" customHeight="1" outlineLevel="4" x14ac:dyDescent="0.2">
      <c r="A184" s="240" t="s">
        <v>182</v>
      </c>
      <c r="B184" s="287">
        <v>0</v>
      </c>
      <c r="C184" s="287">
        <v>0</v>
      </c>
      <c r="D184" s="287">
        <v>0</v>
      </c>
      <c r="E184" s="287">
        <v>0</v>
      </c>
      <c r="F184" s="237">
        <f t="shared" ref="F184:F247" si="39">D184-C184</f>
        <v>0</v>
      </c>
      <c r="G184" s="236" t="e">
        <f t="shared" ref="G184:G247" si="40">D184/C184-1</f>
        <v>#DIV/0!</v>
      </c>
    </row>
    <row r="185" spans="1:7" ht="11.1" customHeight="1" outlineLevel="4" x14ac:dyDescent="0.2">
      <c r="A185" s="240" t="s">
        <v>183</v>
      </c>
      <c r="B185" s="287">
        <v>2680414.7200000002</v>
      </c>
      <c r="C185" s="287">
        <v>3210237.82</v>
      </c>
      <c r="D185" s="287">
        <v>399705.85</v>
      </c>
      <c r="E185" s="287">
        <v>399705.85</v>
      </c>
      <c r="F185" s="237">
        <f t="shared" si="39"/>
        <v>-2810531.9699999997</v>
      </c>
      <c r="G185" s="236">
        <f t="shared" si="40"/>
        <v>-0.87549026819452269</v>
      </c>
    </row>
    <row r="186" spans="1:7" ht="11.1" customHeight="1" outlineLevel="4" x14ac:dyDescent="0.2">
      <c r="A186" s="240" t="s">
        <v>184</v>
      </c>
      <c r="B186" s="287">
        <v>3472518.45</v>
      </c>
      <c r="C186" s="287">
        <v>2452134.1800000002</v>
      </c>
      <c r="D186" s="287">
        <v>1773014.97</v>
      </c>
      <c r="E186" s="287">
        <v>1773014.97</v>
      </c>
      <c r="F186" s="237">
        <f t="shared" si="39"/>
        <v>-679119.2100000002</v>
      </c>
      <c r="G186" s="236">
        <f t="shared" si="40"/>
        <v>-0.27695026460583005</v>
      </c>
    </row>
    <row r="187" spans="1:7" ht="11.1" customHeight="1" outlineLevel="3" x14ac:dyDescent="0.2">
      <c r="A187" s="246" t="s">
        <v>185</v>
      </c>
      <c r="B187" s="284">
        <v>130335672.28</v>
      </c>
      <c r="C187" s="284">
        <v>164231614.72999999</v>
      </c>
      <c r="D187" s="284">
        <v>135778866.97999999</v>
      </c>
      <c r="E187" s="284">
        <v>135778866.97999999</v>
      </c>
      <c r="F187" s="225">
        <f t="shared" si="39"/>
        <v>-28452747.75</v>
      </c>
      <c r="G187" s="224">
        <f t="shared" si="40"/>
        <v>-0.17324768922705214</v>
      </c>
    </row>
    <row r="188" spans="1:7" ht="11.1" customHeight="1" outlineLevel="4" x14ac:dyDescent="0.2">
      <c r="A188" s="240" t="s">
        <v>186</v>
      </c>
      <c r="B188" s="287">
        <v>3053686.96</v>
      </c>
      <c r="C188" s="287">
        <v>5474658</v>
      </c>
      <c r="D188" s="287">
        <v>4075133.95</v>
      </c>
      <c r="E188" s="287">
        <v>4075133.95</v>
      </c>
      <c r="F188" s="237">
        <f t="shared" si="39"/>
        <v>-1399524.0499999998</v>
      </c>
      <c r="G188" s="236">
        <f t="shared" si="40"/>
        <v>-0.2556367995955181</v>
      </c>
    </row>
    <row r="189" spans="1:7" ht="11.1" customHeight="1" outlineLevel="4" x14ac:dyDescent="0.2">
      <c r="A189" s="240" t="s">
        <v>172</v>
      </c>
      <c r="B189" s="287">
        <v>524871.91</v>
      </c>
      <c r="C189" s="287">
        <v>599345</v>
      </c>
      <c r="D189" s="287">
        <v>502451.54</v>
      </c>
      <c r="E189" s="287">
        <v>502451.54</v>
      </c>
      <c r="F189" s="237">
        <f t="shared" si="39"/>
        <v>-96893.460000000021</v>
      </c>
      <c r="G189" s="236">
        <f t="shared" si="40"/>
        <v>-0.16166558493021554</v>
      </c>
    </row>
    <row r="190" spans="1:7" ht="11.1" customHeight="1" outlineLevel="4" x14ac:dyDescent="0.2">
      <c r="A190" s="234" t="s">
        <v>173</v>
      </c>
      <c r="B190" s="285">
        <v>119409169.45</v>
      </c>
      <c r="C190" s="285">
        <v>148249332.88999999</v>
      </c>
      <c r="D190" s="285">
        <v>127991279.45</v>
      </c>
      <c r="E190" s="285">
        <v>127991279.45</v>
      </c>
      <c r="F190" s="229">
        <f t="shared" si="39"/>
        <v>-20258053.439999983</v>
      </c>
      <c r="G190" s="228">
        <f t="shared" si="40"/>
        <v>-0.13664853018280576</v>
      </c>
    </row>
    <row r="191" spans="1:7" ht="11.1" customHeight="1" outlineLevel="5" x14ac:dyDescent="0.2">
      <c r="A191" s="235" t="s">
        <v>174</v>
      </c>
      <c r="B191" s="287">
        <v>86738089.109999999</v>
      </c>
      <c r="C191" s="287">
        <v>103872577.16</v>
      </c>
      <c r="D191" s="287">
        <v>91420513.810000002</v>
      </c>
      <c r="E191" s="287">
        <v>91420513.810000002</v>
      </c>
      <c r="F191" s="237">
        <f t="shared" si="39"/>
        <v>-12452063.349999994</v>
      </c>
      <c r="G191" s="236">
        <f t="shared" si="40"/>
        <v>-0.11987825555554932</v>
      </c>
    </row>
    <row r="192" spans="1:7" ht="11.1" customHeight="1" outlineLevel="5" x14ac:dyDescent="0.2">
      <c r="A192" s="235" t="s">
        <v>175</v>
      </c>
      <c r="B192" s="287">
        <v>27625105.329999998</v>
      </c>
      <c r="C192" s="287">
        <v>34305561.25</v>
      </c>
      <c r="D192" s="287">
        <v>29362272.98</v>
      </c>
      <c r="E192" s="287">
        <v>29362272.98</v>
      </c>
      <c r="F192" s="237">
        <f t="shared" si="39"/>
        <v>-4943288.2699999996</v>
      </c>
      <c r="G192" s="236">
        <f t="shared" si="40"/>
        <v>-0.14409582848611757</v>
      </c>
    </row>
    <row r="193" spans="1:7" ht="11.1" customHeight="1" outlineLevel="5" x14ac:dyDescent="0.2">
      <c r="A193" s="235" t="s">
        <v>176</v>
      </c>
      <c r="B193" s="287">
        <v>5020929.01</v>
      </c>
      <c r="C193" s="287">
        <v>9891194.4800000004</v>
      </c>
      <c r="D193" s="287">
        <v>7147825.6600000001</v>
      </c>
      <c r="E193" s="287">
        <v>7147825.6600000001</v>
      </c>
      <c r="F193" s="237">
        <f t="shared" si="39"/>
        <v>-2743368.8200000003</v>
      </c>
      <c r="G193" s="236">
        <f t="shared" si="40"/>
        <v>-0.27735465373237711</v>
      </c>
    </row>
    <row r="194" spans="1:7" ht="11.1" customHeight="1" outlineLevel="5" x14ac:dyDescent="0.2">
      <c r="A194" s="235" t="s">
        <v>177</v>
      </c>
      <c r="B194" s="287">
        <v>25046</v>
      </c>
      <c r="C194" s="287">
        <v>180000</v>
      </c>
      <c r="D194" s="287">
        <v>60667</v>
      </c>
      <c r="E194" s="287">
        <v>60667</v>
      </c>
      <c r="F194" s="237">
        <f t="shared" si="39"/>
        <v>-119333</v>
      </c>
      <c r="G194" s="236">
        <f t="shared" si="40"/>
        <v>-0.66296111111111111</v>
      </c>
    </row>
    <row r="195" spans="1:7" ht="11.1" customHeight="1" outlineLevel="4" x14ac:dyDescent="0.2">
      <c r="A195" s="234" t="s">
        <v>178</v>
      </c>
      <c r="B195" s="285">
        <v>132853.73000000001</v>
      </c>
      <c r="C195" s="285">
        <v>31000</v>
      </c>
      <c r="D195" s="285">
        <v>44533.32</v>
      </c>
      <c r="E195" s="285">
        <v>44533.32</v>
      </c>
      <c r="F195" s="229">
        <f t="shared" si="39"/>
        <v>13533.32</v>
      </c>
      <c r="G195" s="228">
        <f t="shared" si="40"/>
        <v>0.43655870967741928</v>
      </c>
    </row>
    <row r="196" spans="1:7" ht="11.1" customHeight="1" outlineLevel="5" x14ac:dyDescent="0.2">
      <c r="A196" s="235" t="s">
        <v>179</v>
      </c>
      <c r="B196" s="287">
        <v>132853.73000000001</v>
      </c>
      <c r="C196" s="287">
        <v>31000</v>
      </c>
      <c r="D196" s="287">
        <v>44533.32</v>
      </c>
      <c r="E196" s="287">
        <v>44533.32</v>
      </c>
      <c r="F196" s="237">
        <f t="shared" si="39"/>
        <v>13533.32</v>
      </c>
      <c r="G196" s="236">
        <f t="shared" si="40"/>
        <v>0.43655870967741928</v>
      </c>
    </row>
    <row r="197" spans="1:7" ht="11.1" customHeight="1" outlineLevel="5" x14ac:dyDescent="0.2">
      <c r="A197" s="235" t="s">
        <v>180</v>
      </c>
      <c r="B197" s="287">
        <v>0</v>
      </c>
      <c r="C197" s="287">
        <v>0</v>
      </c>
      <c r="D197" s="287">
        <v>0</v>
      </c>
      <c r="E197" s="287">
        <v>0</v>
      </c>
      <c r="F197" s="237">
        <f t="shared" si="39"/>
        <v>0</v>
      </c>
      <c r="G197" s="236" t="e">
        <f t="shared" si="40"/>
        <v>#DIV/0!</v>
      </c>
    </row>
    <row r="198" spans="1:7" ht="11.1" customHeight="1" outlineLevel="4" x14ac:dyDescent="0.2">
      <c r="A198" s="240" t="s">
        <v>187</v>
      </c>
      <c r="B198" s="287">
        <v>13933.56</v>
      </c>
      <c r="C198" s="287">
        <v>845000</v>
      </c>
      <c r="D198" s="287">
        <v>174124.83</v>
      </c>
      <c r="E198" s="287">
        <v>174124.83</v>
      </c>
      <c r="F198" s="237">
        <f t="shared" si="39"/>
        <v>-670875.17000000004</v>
      </c>
      <c r="G198" s="236">
        <f t="shared" si="40"/>
        <v>-0.79393511242603554</v>
      </c>
    </row>
    <row r="199" spans="1:7" ht="11.1" customHeight="1" outlineLevel="4" x14ac:dyDescent="0.2">
      <c r="A199" s="234" t="s">
        <v>188</v>
      </c>
      <c r="B199" s="285">
        <v>4360882.9400000004</v>
      </c>
      <c r="C199" s="285">
        <v>7657278.8399999999</v>
      </c>
      <c r="D199" s="285">
        <v>2685417.89</v>
      </c>
      <c r="E199" s="285">
        <v>2685417.89</v>
      </c>
      <c r="F199" s="229">
        <f t="shared" si="39"/>
        <v>-4971860.9499999993</v>
      </c>
      <c r="G199" s="228">
        <f t="shared" si="40"/>
        <v>-0.649298667828061</v>
      </c>
    </row>
    <row r="200" spans="1:7" ht="11.1" customHeight="1" outlineLevel="5" x14ac:dyDescent="0.2">
      <c r="A200" s="235" t="s">
        <v>189</v>
      </c>
      <c r="B200" s="287">
        <v>237194</v>
      </c>
      <c r="C200" s="287">
        <v>615925.32999999996</v>
      </c>
      <c r="D200" s="287">
        <v>128999.62</v>
      </c>
      <c r="E200" s="287">
        <v>128999.62</v>
      </c>
      <c r="F200" s="237">
        <f t="shared" si="39"/>
        <v>-486925.70999999996</v>
      </c>
      <c r="G200" s="236">
        <f t="shared" si="40"/>
        <v>-0.79055964462445472</v>
      </c>
    </row>
    <row r="201" spans="1:7" ht="11.1" customHeight="1" outlineLevel="5" x14ac:dyDescent="0.2">
      <c r="A201" s="235" t="s">
        <v>190</v>
      </c>
      <c r="B201" s="287">
        <v>349608.88</v>
      </c>
      <c r="C201" s="287">
        <v>1591472.22</v>
      </c>
      <c r="D201" s="287">
        <v>1598050.94</v>
      </c>
      <c r="E201" s="287">
        <v>1598050.94</v>
      </c>
      <c r="F201" s="237">
        <f t="shared" si="39"/>
        <v>6578.7199999999721</v>
      </c>
      <c r="G201" s="236">
        <f t="shared" si="40"/>
        <v>4.1337322243677477E-3</v>
      </c>
    </row>
    <row r="202" spans="1:7" ht="11.1" customHeight="1" outlineLevel="5" x14ac:dyDescent="0.2">
      <c r="A202" s="235" t="s">
        <v>191</v>
      </c>
      <c r="B202" s="287">
        <v>0</v>
      </c>
      <c r="C202" s="287">
        <v>452360</v>
      </c>
      <c r="D202" s="287">
        <v>107390</v>
      </c>
      <c r="E202" s="287">
        <v>107390</v>
      </c>
      <c r="F202" s="237">
        <f t="shared" si="39"/>
        <v>-344970</v>
      </c>
      <c r="G202" s="236">
        <f t="shared" si="40"/>
        <v>-0.76260058360597749</v>
      </c>
    </row>
    <row r="203" spans="1:7" ht="11.1" customHeight="1" outlineLevel="5" x14ac:dyDescent="0.2">
      <c r="A203" s="235" t="s">
        <v>192</v>
      </c>
      <c r="B203" s="287">
        <v>730180</v>
      </c>
      <c r="C203" s="287">
        <v>1528000</v>
      </c>
      <c r="D203" s="287">
        <v>474463.17</v>
      </c>
      <c r="E203" s="287">
        <v>474463.17</v>
      </c>
      <c r="F203" s="237">
        <f t="shared" si="39"/>
        <v>-1053536.83</v>
      </c>
      <c r="G203" s="236">
        <f t="shared" si="40"/>
        <v>-0.68948745418848167</v>
      </c>
    </row>
    <row r="204" spans="1:7" ht="11.1" customHeight="1" outlineLevel="5" x14ac:dyDescent="0.2">
      <c r="A204" s="235" t="s">
        <v>193</v>
      </c>
      <c r="B204" s="287">
        <v>0</v>
      </c>
      <c r="C204" s="287">
        <v>94000</v>
      </c>
      <c r="D204" s="287">
        <v>0</v>
      </c>
      <c r="E204" s="287">
        <v>0</v>
      </c>
      <c r="F204" s="237">
        <f t="shared" si="39"/>
        <v>-94000</v>
      </c>
      <c r="G204" s="236">
        <f t="shared" si="40"/>
        <v>-1</v>
      </c>
    </row>
    <row r="205" spans="1:7" ht="11.1" customHeight="1" outlineLevel="5" x14ac:dyDescent="0.2">
      <c r="A205" s="235" t="s">
        <v>194</v>
      </c>
      <c r="B205" s="287">
        <v>3043900.06</v>
      </c>
      <c r="C205" s="287">
        <v>3255521.29</v>
      </c>
      <c r="D205" s="287">
        <v>376514.16</v>
      </c>
      <c r="E205" s="287">
        <v>376514.16</v>
      </c>
      <c r="F205" s="237">
        <f t="shared" si="39"/>
        <v>-2879007.13</v>
      </c>
      <c r="G205" s="236">
        <f t="shared" si="40"/>
        <v>-0.88434596905984297</v>
      </c>
    </row>
    <row r="206" spans="1:7" ht="11.1" customHeight="1" outlineLevel="5" x14ac:dyDescent="0.2">
      <c r="A206" s="235" t="s">
        <v>195</v>
      </c>
      <c r="B206" s="287">
        <v>0</v>
      </c>
      <c r="C206" s="287">
        <v>120000</v>
      </c>
      <c r="D206" s="287">
        <v>0</v>
      </c>
      <c r="E206" s="287">
        <v>0</v>
      </c>
      <c r="F206" s="237">
        <f t="shared" si="39"/>
        <v>-120000</v>
      </c>
      <c r="G206" s="236">
        <f t="shared" si="40"/>
        <v>-1</v>
      </c>
    </row>
    <row r="207" spans="1:7" ht="11.1" customHeight="1" outlineLevel="4" x14ac:dyDescent="0.2">
      <c r="A207" s="240" t="s">
        <v>196</v>
      </c>
      <c r="B207" s="287">
        <v>2840273.73</v>
      </c>
      <c r="C207" s="287">
        <v>1375000</v>
      </c>
      <c r="D207" s="287">
        <v>305926</v>
      </c>
      <c r="E207" s="287">
        <v>305926</v>
      </c>
      <c r="F207" s="237">
        <f t="shared" si="39"/>
        <v>-1069074</v>
      </c>
      <c r="G207" s="236">
        <f t="shared" si="40"/>
        <v>-0.77750836363636366</v>
      </c>
    </row>
    <row r="208" spans="1:7" ht="11.1" customHeight="1" outlineLevel="3" x14ac:dyDescent="0.2">
      <c r="A208" s="246" t="s">
        <v>197</v>
      </c>
      <c r="B208" s="284">
        <v>1195911273.2</v>
      </c>
      <c r="C208" s="284">
        <v>1258333481.04</v>
      </c>
      <c r="D208" s="284">
        <v>1294761496.29</v>
      </c>
      <c r="E208" s="284">
        <v>1293327391.9400001</v>
      </c>
      <c r="F208" s="225">
        <f t="shared" si="39"/>
        <v>36428015.25</v>
      </c>
      <c r="G208" s="224">
        <f t="shared" si="40"/>
        <v>2.8949412694552645E-2</v>
      </c>
    </row>
    <row r="209" spans="1:7" ht="11.1" customHeight="1" outlineLevel="4" x14ac:dyDescent="0.2">
      <c r="A209" s="234" t="s">
        <v>198</v>
      </c>
      <c r="B209" s="285">
        <v>18422224.25</v>
      </c>
      <c r="C209" s="285">
        <v>21916319.870000001</v>
      </c>
      <c r="D209" s="285">
        <v>20661874.629999999</v>
      </c>
      <c r="E209" s="285">
        <v>20661874.629999999</v>
      </c>
      <c r="F209" s="229">
        <f t="shared" si="39"/>
        <v>-1254445.2400000021</v>
      </c>
      <c r="G209" s="228">
        <f t="shared" si="40"/>
        <v>-5.7237950871356857E-2</v>
      </c>
    </row>
    <row r="210" spans="1:7" ht="11.1" customHeight="1" outlineLevel="5" x14ac:dyDescent="0.2">
      <c r="A210" s="235" t="s">
        <v>121</v>
      </c>
      <c r="B210" s="287">
        <v>572080.48</v>
      </c>
      <c r="C210" s="287">
        <v>1322756.69</v>
      </c>
      <c r="D210" s="287">
        <v>1126264.74</v>
      </c>
      <c r="E210" s="287">
        <v>1126264.74</v>
      </c>
      <c r="F210" s="237">
        <f t="shared" si="39"/>
        <v>-196491.94999999995</v>
      </c>
      <c r="G210" s="236">
        <f t="shared" si="40"/>
        <v>-0.1485473114484871</v>
      </c>
    </row>
    <row r="211" spans="1:7" ht="11.1" customHeight="1" outlineLevel="5" x14ac:dyDescent="0.2">
      <c r="A211" s="235" t="s">
        <v>122</v>
      </c>
      <c r="B211" s="287">
        <v>12840738.199999999</v>
      </c>
      <c r="C211" s="287">
        <v>12214650.619999999</v>
      </c>
      <c r="D211" s="287">
        <v>8503694.5800000001</v>
      </c>
      <c r="E211" s="287">
        <v>8503694.5800000001</v>
      </c>
      <c r="F211" s="237">
        <f t="shared" si="39"/>
        <v>-3710956.0399999991</v>
      </c>
      <c r="G211" s="236">
        <f t="shared" si="40"/>
        <v>-0.30381188586137386</v>
      </c>
    </row>
    <row r="212" spans="1:7" ht="11.1" customHeight="1" outlineLevel="5" x14ac:dyDescent="0.2">
      <c r="A212" s="235" t="s">
        <v>123</v>
      </c>
      <c r="B212" s="287">
        <v>2378573.89</v>
      </c>
      <c r="C212" s="287">
        <v>3582434.98</v>
      </c>
      <c r="D212" s="287">
        <v>7258520.3799999999</v>
      </c>
      <c r="E212" s="287">
        <v>7258520.3799999999</v>
      </c>
      <c r="F212" s="237">
        <f t="shared" si="39"/>
        <v>3676085.4</v>
      </c>
      <c r="G212" s="236">
        <f t="shared" si="40"/>
        <v>1.0261415547031087</v>
      </c>
    </row>
    <row r="213" spans="1:7" ht="11.1" customHeight="1" outlineLevel="5" x14ac:dyDescent="0.2">
      <c r="A213" s="235" t="s">
        <v>199</v>
      </c>
      <c r="B213" s="287">
        <v>106634.26</v>
      </c>
      <c r="C213" s="287">
        <v>440632.24</v>
      </c>
      <c r="D213" s="287">
        <v>920239.61</v>
      </c>
      <c r="E213" s="287">
        <v>920239.61</v>
      </c>
      <c r="F213" s="237">
        <f t="shared" si="39"/>
        <v>479607.37</v>
      </c>
      <c r="G213" s="236">
        <f t="shared" si="40"/>
        <v>1.0884527423594785</v>
      </c>
    </row>
    <row r="214" spans="1:7" ht="11.1" customHeight="1" outlineLevel="5" x14ac:dyDescent="0.2">
      <c r="A214" s="235" t="s">
        <v>126</v>
      </c>
      <c r="B214" s="287">
        <v>122910.48</v>
      </c>
      <c r="C214" s="287">
        <v>169912.1</v>
      </c>
      <c r="D214" s="287">
        <v>248450.71</v>
      </c>
      <c r="E214" s="287">
        <v>248450.71</v>
      </c>
      <c r="F214" s="237">
        <f t="shared" si="39"/>
        <v>78538.609999999986</v>
      </c>
      <c r="G214" s="236">
        <f t="shared" si="40"/>
        <v>0.46223082405549687</v>
      </c>
    </row>
    <row r="215" spans="1:7" ht="11.1" customHeight="1" outlineLevel="5" x14ac:dyDescent="0.2">
      <c r="A215" s="235" t="s">
        <v>127</v>
      </c>
      <c r="B215" s="287">
        <v>185356.18</v>
      </c>
      <c r="C215" s="287">
        <v>1383106.24</v>
      </c>
      <c r="D215" s="287">
        <v>1355257.98</v>
      </c>
      <c r="E215" s="287">
        <v>1355257.98</v>
      </c>
      <c r="F215" s="237">
        <f t="shared" si="39"/>
        <v>-27848.260000000009</v>
      </c>
      <c r="G215" s="236">
        <f t="shared" si="40"/>
        <v>-2.0134577659052466E-2</v>
      </c>
    </row>
    <row r="216" spans="1:7" ht="11.1" customHeight="1" outlineLevel="5" x14ac:dyDescent="0.2">
      <c r="A216" s="235" t="s">
        <v>200</v>
      </c>
      <c r="B216" s="287">
        <v>2215930.7599999998</v>
      </c>
      <c r="C216" s="287">
        <v>2802827</v>
      </c>
      <c r="D216" s="287">
        <v>1249446.6299999999</v>
      </c>
      <c r="E216" s="287">
        <v>1249446.6299999999</v>
      </c>
      <c r="F216" s="237">
        <f t="shared" si="39"/>
        <v>-1553380.37</v>
      </c>
      <c r="G216" s="236">
        <f t="shared" si="40"/>
        <v>-0.55421914017525875</v>
      </c>
    </row>
    <row r="217" spans="1:7" ht="11.1" customHeight="1" outlineLevel="4" x14ac:dyDescent="0.2">
      <c r="A217" s="234" t="s">
        <v>201</v>
      </c>
      <c r="B217" s="285">
        <v>26866737.609999999</v>
      </c>
      <c r="C217" s="285">
        <v>42037753.270000003</v>
      </c>
      <c r="D217" s="285">
        <v>43045081.770000003</v>
      </c>
      <c r="E217" s="285">
        <v>43045081.770000003</v>
      </c>
      <c r="F217" s="229">
        <f t="shared" si="39"/>
        <v>1007328.5</v>
      </c>
      <c r="G217" s="228">
        <f t="shared" si="40"/>
        <v>2.3962472340758323E-2</v>
      </c>
    </row>
    <row r="218" spans="1:7" ht="11.1" customHeight="1" outlineLevel="5" x14ac:dyDescent="0.2">
      <c r="A218" s="235" t="s">
        <v>202</v>
      </c>
      <c r="B218" s="287">
        <v>2913895.88</v>
      </c>
      <c r="C218" s="287">
        <v>3558582.92</v>
      </c>
      <c r="D218" s="287">
        <v>4069913.84</v>
      </c>
      <c r="E218" s="287">
        <v>4069913.84</v>
      </c>
      <c r="F218" s="237">
        <f t="shared" si="39"/>
        <v>511330.91999999993</v>
      </c>
      <c r="G218" s="236">
        <f t="shared" si="40"/>
        <v>0.1436894773833175</v>
      </c>
    </row>
    <row r="219" spans="1:7" ht="11.1" customHeight="1" outlineLevel="5" x14ac:dyDescent="0.2">
      <c r="A219" s="235" t="s">
        <v>203</v>
      </c>
      <c r="B219" s="287">
        <v>4213823.84</v>
      </c>
      <c r="C219" s="287">
        <v>6438897.8300000001</v>
      </c>
      <c r="D219" s="287">
        <v>5534915</v>
      </c>
      <c r="E219" s="287">
        <v>5534915</v>
      </c>
      <c r="F219" s="237">
        <f t="shared" si="39"/>
        <v>-903982.83000000007</v>
      </c>
      <c r="G219" s="236">
        <f t="shared" si="40"/>
        <v>-0.14039403231220393</v>
      </c>
    </row>
    <row r="220" spans="1:7" ht="11.1" customHeight="1" outlineLevel="5" x14ac:dyDescent="0.2">
      <c r="A220" s="235" t="s">
        <v>204</v>
      </c>
      <c r="B220" s="287">
        <v>4393553.42</v>
      </c>
      <c r="C220" s="287">
        <v>6287367.4100000001</v>
      </c>
      <c r="D220" s="287">
        <v>8847921.3499999996</v>
      </c>
      <c r="E220" s="287">
        <v>8847921.3499999996</v>
      </c>
      <c r="F220" s="237">
        <f t="shared" si="39"/>
        <v>2560553.9399999995</v>
      </c>
      <c r="G220" s="236">
        <f t="shared" si="40"/>
        <v>0.4072537475585507</v>
      </c>
    </row>
    <row r="221" spans="1:7" ht="11.1" customHeight="1" outlineLevel="5" x14ac:dyDescent="0.2">
      <c r="A221" s="235" t="s">
        <v>205</v>
      </c>
      <c r="B221" s="287">
        <v>5370972.4800000004</v>
      </c>
      <c r="C221" s="287">
        <v>6106083.4800000004</v>
      </c>
      <c r="D221" s="287">
        <v>5650490.3899999997</v>
      </c>
      <c r="E221" s="287">
        <v>5650490.3899999997</v>
      </c>
      <c r="F221" s="237">
        <f t="shared" si="39"/>
        <v>-455593.09000000078</v>
      </c>
      <c r="G221" s="236">
        <f t="shared" si="40"/>
        <v>-7.461298088902002E-2</v>
      </c>
    </row>
    <row r="222" spans="1:7" ht="11.1" customHeight="1" outlineLevel="5" x14ac:dyDescent="0.2">
      <c r="A222" s="238" t="s">
        <v>206</v>
      </c>
      <c r="B222" s="285">
        <v>2242270.96</v>
      </c>
      <c r="C222" s="285">
        <v>13031677.800000001</v>
      </c>
      <c r="D222" s="285">
        <v>13746854.77</v>
      </c>
      <c r="E222" s="285">
        <v>13746854.77</v>
      </c>
      <c r="F222" s="229">
        <f t="shared" si="39"/>
        <v>715176.96999999881</v>
      </c>
      <c r="G222" s="228">
        <f t="shared" si="40"/>
        <v>5.4879884307759585E-2</v>
      </c>
    </row>
    <row r="223" spans="1:7" ht="11.1" customHeight="1" outlineLevel="6" x14ac:dyDescent="0.2">
      <c r="A223" s="239" t="s">
        <v>207</v>
      </c>
      <c r="B223" s="287">
        <v>94364.78</v>
      </c>
      <c r="C223" s="287">
        <v>3856897.82</v>
      </c>
      <c r="D223" s="287">
        <v>180728.95999999999</v>
      </c>
      <c r="E223" s="287">
        <v>180728.95999999999</v>
      </c>
      <c r="F223" s="237">
        <f t="shared" si="39"/>
        <v>-3676168.86</v>
      </c>
      <c r="G223" s="236">
        <f t="shared" si="40"/>
        <v>-0.95314136686151563</v>
      </c>
    </row>
    <row r="224" spans="1:7" ht="11.1" customHeight="1" outlineLevel="6" x14ac:dyDescent="0.2">
      <c r="A224" s="239" t="s">
        <v>208</v>
      </c>
      <c r="B224" s="287">
        <v>253123.29</v>
      </c>
      <c r="C224" s="287">
        <v>4222745.71</v>
      </c>
      <c r="D224" s="287">
        <v>2701278.43</v>
      </c>
      <c r="E224" s="287">
        <v>2701278.43</v>
      </c>
      <c r="F224" s="237">
        <f t="shared" si="39"/>
        <v>-1521467.2799999998</v>
      </c>
      <c r="G224" s="236">
        <f t="shared" si="40"/>
        <v>-0.36030284191562167</v>
      </c>
    </row>
    <row r="225" spans="1:7" ht="11.1" customHeight="1" outlineLevel="6" x14ac:dyDescent="0.2">
      <c r="A225" s="239" t="s">
        <v>209</v>
      </c>
      <c r="B225" s="287">
        <v>1583349</v>
      </c>
      <c r="C225" s="287">
        <v>2507633.27</v>
      </c>
      <c r="D225" s="287">
        <v>10230784.73</v>
      </c>
      <c r="E225" s="287">
        <v>10230784.73</v>
      </c>
      <c r="F225" s="237">
        <f t="shared" si="39"/>
        <v>7723151.4600000009</v>
      </c>
      <c r="G225" s="236">
        <f t="shared" si="40"/>
        <v>3.0798568324944897</v>
      </c>
    </row>
    <row r="226" spans="1:7" ht="11.1" customHeight="1" outlineLevel="6" x14ac:dyDescent="0.2">
      <c r="A226" s="239" t="s">
        <v>210</v>
      </c>
      <c r="B226" s="287">
        <v>311433.89</v>
      </c>
      <c r="C226" s="287">
        <v>2444401</v>
      </c>
      <c r="D226" s="287">
        <v>634062.65</v>
      </c>
      <c r="E226" s="287">
        <v>634062.65</v>
      </c>
      <c r="F226" s="237">
        <f t="shared" si="39"/>
        <v>-1810338.35</v>
      </c>
      <c r="G226" s="236">
        <f t="shared" si="40"/>
        <v>-0.74060612395429393</v>
      </c>
    </row>
    <row r="227" spans="1:7" ht="11.1" customHeight="1" outlineLevel="5" x14ac:dyDescent="0.2">
      <c r="A227" s="235" t="s">
        <v>211</v>
      </c>
      <c r="B227" s="287">
        <v>1774206.09</v>
      </c>
      <c r="C227" s="287">
        <v>1650097.33</v>
      </c>
      <c r="D227" s="287">
        <v>1418265.55</v>
      </c>
      <c r="E227" s="287">
        <v>1418265.55</v>
      </c>
      <c r="F227" s="237">
        <f t="shared" si="39"/>
        <v>-231831.78000000003</v>
      </c>
      <c r="G227" s="236">
        <f t="shared" si="40"/>
        <v>-0.14049582154041784</v>
      </c>
    </row>
    <row r="228" spans="1:7" ht="11.1" customHeight="1" outlineLevel="5" x14ac:dyDescent="0.2">
      <c r="A228" s="235" t="s">
        <v>212</v>
      </c>
      <c r="B228" s="287">
        <v>4255188.83</v>
      </c>
      <c r="C228" s="287">
        <v>2577762.7599999998</v>
      </c>
      <c r="D228" s="287">
        <v>1982978.82</v>
      </c>
      <c r="E228" s="287">
        <v>1982978.82</v>
      </c>
      <c r="F228" s="237">
        <f t="shared" si="39"/>
        <v>-594783.93999999971</v>
      </c>
      <c r="G228" s="236">
        <f t="shared" si="40"/>
        <v>-0.2307364933769156</v>
      </c>
    </row>
    <row r="229" spans="1:7" ht="11.1" customHeight="1" outlineLevel="5" x14ac:dyDescent="0.2">
      <c r="A229" s="235" t="s">
        <v>213</v>
      </c>
      <c r="B229" s="287">
        <v>1702826.11</v>
      </c>
      <c r="C229" s="287">
        <v>2387283.7400000002</v>
      </c>
      <c r="D229" s="287">
        <v>1793742.05</v>
      </c>
      <c r="E229" s="287">
        <v>1793742.05</v>
      </c>
      <c r="F229" s="237">
        <f t="shared" si="39"/>
        <v>-593541.69000000018</v>
      </c>
      <c r="G229" s="236">
        <f t="shared" si="40"/>
        <v>-0.24862636981727193</v>
      </c>
    </row>
    <row r="230" spans="1:7" ht="11.1" customHeight="1" outlineLevel="4" x14ac:dyDescent="0.2">
      <c r="A230" s="234" t="s">
        <v>135</v>
      </c>
      <c r="B230" s="285">
        <v>25212055.550000001</v>
      </c>
      <c r="C230" s="285">
        <v>24328641.600000001</v>
      </c>
      <c r="D230" s="285">
        <v>36733371.850000001</v>
      </c>
      <c r="E230" s="285">
        <v>36733371.850000001</v>
      </c>
      <c r="F230" s="229">
        <f t="shared" si="39"/>
        <v>12404730.25</v>
      </c>
      <c r="G230" s="228">
        <f t="shared" si="40"/>
        <v>0.50988174571982681</v>
      </c>
    </row>
    <row r="231" spans="1:7" ht="11.1" customHeight="1" outlineLevel="5" x14ac:dyDescent="0.2">
      <c r="A231" s="235" t="s">
        <v>214</v>
      </c>
      <c r="B231" s="287">
        <v>18231121.59</v>
      </c>
      <c r="C231" s="287">
        <v>13180738.109999999</v>
      </c>
      <c r="D231" s="287">
        <v>28033313.420000002</v>
      </c>
      <c r="E231" s="287">
        <v>28033313.420000002</v>
      </c>
      <c r="F231" s="237">
        <f t="shared" si="39"/>
        <v>14852575.310000002</v>
      </c>
      <c r="G231" s="236">
        <f t="shared" si="40"/>
        <v>1.12683942174161</v>
      </c>
    </row>
    <row r="232" spans="1:7" ht="11.1" customHeight="1" outlineLevel="5" x14ac:dyDescent="0.2">
      <c r="A232" s="235" t="s">
        <v>215</v>
      </c>
      <c r="B232" s="287">
        <v>6980933.96</v>
      </c>
      <c r="C232" s="287">
        <v>8413759.0199999996</v>
      </c>
      <c r="D232" s="287">
        <v>6167074.6699999999</v>
      </c>
      <c r="E232" s="287">
        <v>6167074.6699999999</v>
      </c>
      <c r="F232" s="237">
        <f t="shared" si="39"/>
        <v>-2246684.3499999996</v>
      </c>
      <c r="G232" s="236">
        <f t="shared" si="40"/>
        <v>-0.26702504132332516</v>
      </c>
    </row>
    <row r="233" spans="1:7" ht="11.1" customHeight="1" outlineLevel="5" x14ac:dyDescent="0.2">
      <c r="A233" s="235" t="s">
        <v>818</v>
      </c>
      <c r="B233" s="287">
        <v>0</v>
      </c>
      <c r="C233" s="287">
        <v>2734144.47</v>
      </c>
      <c r="D233" s="287">
        <v>2532983.7599999998</v>
      </c>
      <c r="E233" s="287">
        <v>2532983.7599999998</v>
      </c>
      <c r="F233" s="237">
        <f t="shared" si="39"/>
        <v>-201160.71000000043</v>
      </c>
      <c r="G233" s="236">
        <f t="shared" si="40"/>
        <v>-7.3573548218540341E-2</v>
      </c>
    </row>
    <row r="234" spans="1:7" ht="11.1" customHeight="1" outlineLevel="4" x14ac:dyDescent="0.2">
      <c r="A234" s="234" t="s">
        <v>140</v>
      </c>
      <c r="B234" s="285">
        <v>187237560.56</v>
      </c>
      <c r="C234" s="285">
        <v>171944337.06999999</v>
      </c>
      <c r="D234" s="285">
        <v>154937003.66999999</v>
      </c>
      <c r="E234" s="285">
        <v>154937003.66999999</v>
      </c>
      <c r="F234" s="229">
        <f t="shared" si="39"/>
        <v>-17007333.400000006</v>
      </c>
      <c r="G234" s="228">
        <f t="shared" si="40"/>
        <v>-9.8911855370242163E-2</v>
      </c>
    </row>
    <row r="235" spans="1:7" ht="11.1" customHeight="1" outlineLevel="5" x14ac:dyDescent="0.2">
      <c r="A235" s="238" t="s">
        <v>216</v>
      </c>
      <c r="B235" s="285">
        <v>20919195.850000001</v>
      </c>
      <c r="C235" s="285">
        <v>25156729.93</v>
      </c>
      <c r="D235" s="285">
        <v>18993064.190000001</v>
      </c>
      <c r="E235" s="285">
        <v>18993064.190000001</v>
      </c>
      <c r="F235" s="229">
        <f t="shared" si="39"/>
        <v>-6163665.7399999984</v>
      </c>
      <c r="G235" s="228">
        <f t="shared" si="40"/>
        <v>-0.24501060977125166</v>
      </c>
    </row>
    <row r="236" spans="1:7" ht="11.1" customHeight="1" outlineLevel="6" x14ac:dyDescent="0.2">
      <c r="A236" s="239" t="s">
        <v>217</v>
      </c>
      <c r="B236" s="287">
        <v>13717543.1</v>
      </c>
      <c r="C236" s="287">
        <v>13750309</v>
      </c>
      <c r="D236" s="287">
        <v>13161452.890000001</v>
      </c>
      <c r="E236" s="287">
        <v>13161452.890000001</v>
      </c>
      <c r="F236" s="237">
        <f t="shared" si="39"/>
        <v>-588856.1099999994</v>
      </c>
      <c r="G236" s="236">
        <f t="shared" si="40"/>
        <v>-4.2824936515972079E-2</v>
      </c>
    </row>
    <row r="237" spans="1:7" ht="11.1" customHeight="1" outlineLevel="6" x14ac:dyDescent="0.2">
      <c r="A237" s="239" t="s">
        <v>218</v>
      </c>
      <c r="B237" s="287">
        <v>5848408.3300000001</v>
      </c>
      <c r="C237" s="287">
        <v>8837420.9299999997</v>
      </c>
      <c r="D237" s="287">
        <v>4842348.04</v>
      </c>
      <c r="E237" s="287">
        <v>4842348.04</v>
      </c>
      <c r="F237" s="237">
        <f t="shared" si="39"/>
        <v>-3995072.8899999997</v>
      </c>
      <c r="G237" s="236">
        <f t="shared" si="40"/>
        <v>-0.45206321184024445</v>
      </c>
    </row>
    <row r="238" spans="1:7" ht="11.1" customHeight="1" outlineLevel="6" x14ac:dyDescent="0.2">
      <c r="A238" s="239" t="s">
        <v>219</v>
      </c>
      <c r="B238" s="287">
        <v>1353244.42</v>
      </c>
      <c r="C238" s="287">
        <v>2569000</v>
      </c>
      <c r="D238" s="287">
        <v>989263.26</v>
      </c>
      <c r="E238" s="287">
        <v>989263.26</v>
      </c>
      <c r="F238" s="237">
        <f t="shared" si="39"/>
        <v>-1579736.74</v>
      </c>
      <c r="G238" s="236">
        <f t="shared" si="40"/>
        <v>-0.61492282600233561</v>
      </c>
    </row>
    <row r="239" spans="1:7" ht="11.1" customHeight="1" outlineLevel="5" x14ac:dyDescent="0.2">
      <c r="A239" s="235" t="s">
        <v>220</v>
      </c>
      <c r="B239" s="287">
        <v>18328235.670000002</v>
      </c>
      <c r="C239" s="287">
        <v>18305608.77</v>
      </c>
      <c r="D239" s="287">
        <v>15183447.66</v>
      </c>
      <c r="E239" s="287">
        <v>15183447.66</v>
      </c>
      <c r="F239" s="237">
        <f t="shared" si="39"/>
        <v>-3122161.1099999994</v>
      </c>
      <c r="G239" s="236">
        <f t="shared" si="40"/>
        <v>-0.17055762248763495</v>
      </c>
    </row>
    <row r="240" spans="1:7" ht="11.1" customHeight="1" outlineLevel="5" x14ac:dyDescent="0.2">
      <c r="A240" s="238" t="s">
        <v>221</v>
      </c>
      <c r="B240" s="285">
        <v>17847977.829999998</v>
      </c>
      <c r="C240" s="285">
        <v>18546829.379999999</v>
      </c>
      <c r="D240" s="285">
        <v>17298300.57</v>
      </c>
      <c r="E240" s="285">
        <v>17298300.57</v>
      </c>
      <c r="F240" s="229">
        <f t="shared" si="39"/>
        <v>-1248528.8099999987</v>
      </c>
      <c r="G240" s="228">
        <f t="shared" si="40"/>
        <v>-6.7317641437212528E-2</v>
      </c>
    </row>
    <row r="241" spans="1:7" ht="11.1" customHeight="1" outlineLevel="6" x14ac:dyDescent="0.2">
      <c r="A241" s="239" t="s">
        <v>222</v>
      </c>
      <c r="B241" s="287">
        <v>5684409.4299999997</v>
      </c>
      <c r="C241" s="287">
        <v>5523277.1100000003</v>
      </c>
      <c r="D241" s="287">
        <v>4977011.91</v>
      </c>
      <c r="E241" s="287">
        <v>4977011.91</v>
      </c>
      <c r="F241" s="237">
        <f t="shared" si="39"/>
        <v>-546265.20000000019</v>
      </c>
      <c r="G241" s="236">
        <f t="shared" si="40"/>
        <v>-9.8902370661608896E-2</v>
      </c>
    </row>
    <row r="242" spans="1:7" ht="11.1" customHeight="1" outlineLevel="6" x14ac:dyDescent="0.2">
      <c r="A242" s="239" t="s">
        <v>223</v>
      </c>
      <c r="B242" s="287">
        <v>4328309.59</v>
      </c>
      <c r="C242" s="287">
        <v>4906522.37</v>
      </c>
      <c r="D242" s="287">
        <v>4491073.3499999996</v>
      </c>
      <c r="E242" s="287">
        <v>4491073.3499999996</v>
      </c>
      <c r="F242" s="237">
        <f t="shared" si="39"/>
        <v>-415449.02000000048</v>
      </c>
      <c r="G242" s="236">
        <f t="shared" si="40"/>
        <v>-8.4672806658374733E-2</v>
      </c>
    </row>
    <row r="243" spans="1:7" ht="11.1" customHeight="1" outlineLevel="6" x14ac:dyDescent="0.2">
      <c r="A243" s="239" t="s">
        <v>224</v>
      </c>
      <c r="B243" s="287">
        <v>4178029.13</v>
      </c>
      <c r="C243" s="287">
        <v>5210233.2</v>
      </c>
      <c r="D243" s="287">
        <v>5227351.47</v>
      </c>
      <c r="E243" s="287">
        <v>5227351.47</v>
      </c>
      <c r="F243" s="237">
        <f t="shared" si="39"/>
        <v>17118.269999999553</v>
      </c>
      <c r="G243" s="236">
        <f t="shared" si="40"/>
        <v>3.2855093702905958E-3</v>
      </c>
    </row>
    <row r="244" spans="1:7" ht="11.1" customHeight="1" outlineLevel="6" x14ac:dyDescent="0.2">
      <c r="A244" s="239" t="s">
        <v>225</v>
      </c>
      <c r="B244" s="287">
        <v>3657229.68</v>
      </c>
      <c r="C244" s="287">
        <v>2906796.7</v>
      </c>
      <c r="D244" s="287">
        <v>2602863.84</v>
      </c>
      <c r="E244" s="287">
        <v>2602863.84</v>
      </c>
      <c r="F244" s="237">
        <f t="shared" si="39"/>
        <v>-303932.86000000034</v>
      </c>
      <c r="G244" s="236">
        <f t="shared" si="40"/>
        <v>-0.10455937974609653</v>
      </c>
    </row>
    <row r="245" spans="1:7" ht="11.1" customHeight="1" outlineLevel="5" x14ac:dyDescent="0.2">
      <c r="A245" s="238" t="s">
        <v>226</v>
      </c>
      <c r="B245" s="285">
        <v>28533226.559999999</v>
      </c>
      <c r="C245" s="285">
        <v>35277850.789999999</v>
      </c>
      <c r="D245" s="285">
        <v>29803425.300000001</v>
      </c>
      <c r="E245" s="285">
        <v>29803425.300000001</v>
      </c>
      <c r="F245" s="229">
        <f t="shared" si="39"/>
        <v>-5474425.4899999984</v>
      </c>
      <c r="G245" s="228">
        <f t="shared" si="40"/>
        <v>-0.15518024390396823</v>
      </c>
    </row>
    <row r="246" spans="1:7" ht="11.1" customHeight="1" outlineLevel="6" x14ac:dyDescent="0.2">
      <c r="A246" s="239" t="s">
        <v>227</v>
      </c>
      <c r="B246" s="287">
        <v>26287132.940000001</v>
      </c>
      <c r="C246" s="287">
        <v>30183851.879999999</v>
      </c>
      <c r="D246" s="287">
        <v>27056445.920000002</v>
      </c>
      <c r="E246" s="287">
        <v>27056445.920000002</v>
      </c>
      <c r="F246" s="237">
        <f t="shared" si="39"/>
        <v>-3127405.9599999972</v>
      </c>
      <c r="G246" s="236">
        <f t="shared" si="40"/>
        <v>-0.10361189063719978</v>
      </c>
    </row>
    <row r="247" spans="1:7" ht="11.1" customHeight="1" outlineLevel="6" x14ac:dyDescent="0.2">
      <c r="A247" s="239" t="s">
        <v>228</v>
      </c>
      <c r="B247" s="287">
        <v>2246093.62</v>
      </c>
      <c r="C247" s="287">
        <v>4465248.24</v>
      </c>
      <c r="D247" s="287">
        <v>2746979.38</v>
      </c>
      <c r="E247" s="287">
        <v>2746979.38</v>
      </c>
      <c r="F247" s="237">
        <f t="shared" si="39"/>
        <v>-1718268.8600000003</v>
      </c>
      <c r="G247" s="236">
        <f t="shared" si="40"/>
        <v>-0.38480925754757145</v>
      </c>
    </row>
    <row r="248" spans="1:7" ht="11.1" customHeight="1" outlineLevel="6" x14ac:dyDescent="0.2">
      <c r="A248" s="239" t="s">
        <v>229</v>
      </c>
      <c r="B248" s="287">
        <v>0</v>
      </c>
      <c r="C248" s="287">
        <v>628750.67000000004</v>
      </c>
      <c r="D248" s="287">
        <v>0</v>
      </c>
      <c r="E248" s="287">
        <v>0</v>
      </c>
      <c r="F248" s="237">
        <f t="shared" ref="F248:F307" si="41">D248-C248</f>
        <v>-628750.67000000004</v>
      </c>
      <c r="G248" s="236">
        <f t="shared" ref="G248:G307" si="42">D248/C248-1</f>
        <v>-1</v>
      </c>
    </row>
    <row r="249" spans="1:7" ht="11.1" customHeight="1" outlineLevel="5" x14ac:dyDescent="0.2">
      <c r="A249" s="238" t="s">
        <v>230</v>
      </c>
      <c r="B249" s="285">
        <v>6189007.2699999996</v>
      </c>
      <c r="C249" s="285">
        <v>1206900</v>
      </c>
      <c r="D249" s="285">
        <v>1719900</v>
      </c>
      <c r="E249" s="285">
        <v>1719900</v>
      </c>
      <c r="F249" s="229">
        <f t="shared" si="41"/>
        <v>513000</v>
      </c>
      <c r="G249" s="228">
        <f t="shared" si="42"/>
        <v>0.42505592841163309</v>
      </c>
    </row>
    <row r="250" spans="1:7" ht="11.1" customHeight="1" outlineLevel="6" x14ac:dyDescent="0.2">
      <c r="A250" s="239" t="s">
        <v>231</v>
      </c>
      <c r="B250" s="287">
        <v>2339007.27</v>
      </c>
      <c r="C250" s="287">
        <v>1206900</v>
      </c>
      <c r="D250" s="287">
        <v>1719900</v>
      </c>
      <c r="E250" s="287">
        <v>1719900</v>
      </c>
      <c r="F250" s="237">
        <f t="shared" si="41"/>
        <v>513000</v>
      </c>
      <c r="G250" s="236">
        <f t="shared" si="42"/>
        <v>0.42505592841163309</v>
      </c>
    </row>
    <row r="251" spans="1:7" ht="11.1" customHeight="1" outlineLevel="6" x14ac:dyDescent="0.2">
      <c r="A251" s="239" t="s">
        <v>232</v>
      </c>
      <c r="B251" s="287">
        <v>3850000</v>
      </c>
      <c r="C251" s="287">
        <v>0</v>
      </c>
      <c r="D251" s="287">
        <v>0</v>
      </c>
      <c r="E251" s="287">
        <v>0</v>
      </c>
      <c r="F251" s="237">
        <f t="shared" si="41"/>
        <v>0</v>
      </c>
      <c r="G251" s="236" t="e">
        <f t="shared" si="42"/>
        <v>#DIV/0!</v>
      </c>
    </row>
    <row r="252" spans="1:7" ht="11.1" customHeight="1" outlineLevel="5" x14ac:dyDescent="0.2">
      <c r="A252" s="238" t="s">
        <v>233</v>
      </c>
      <c r="B252" s="285">
        <v>29507027.030000001</v>
      </c>
      <c r="C252" s="285">
        <v>40496515.18</v>
      </c>
      <c r="D252" s="285">
        <v>40659836.200000003</v>
      </c>
      <c r="E252" s="285">
        <v>40659836.200000003</v>
      </c>
      <c r="F252" s="229">
        <f t="shared" si="41"/>
        <v>163321.02000000328</v>
      </c>
      <c r="G252" s="228">
        <f t="shared" si="42"/>
        <v>4.032964793984517E-3</v>
      </c>
    </row>
    <row r="253" spans="1:7" ht="11.1" customHeight="1" outlineLevel="6" x14ac:dyDescent="0.2">
      <c r="A253" s="239" t="s">
        <v>234</v>
      </c>
      <c r="B253" s="287">
        <v>2573322.2599999998</v>
      </c>
      <c r="C253" s="287">
        <v>2996515.18</v>
      </c>
      <c r="D253" s="287">
        <v>3010388.52</v>
      </c>
      <c r="E253" s="287">
        <v>3010388.52</v>
      </c>
      <c r="F253" s="237">
        <f t="shared" si="41"/>
        <v>13873.339999999851</v>
      </c>
      <c r="G253" s="236">
        <f t="shared" si="42"/>
        <v>4.6298247019058714E-3</v>
      </c>
    </row>
    <row r="254" spans="1:7" ht="11.1" customHeight="1" outlineLevel="6" x14ac:dyDescent="0.2">
      <c r="A254" s="239" t="s">
        <v>235</v>
      </c>
      <c r="B254" s="287">
        <v>1351055.43</v>
      </c>
      <c r="C254" s="287">
        <v>1600000</v>
      </c>
      <c r="D254" s="287">
        <v>1942078.97</v>
      </c>
      <c r="E254" s="287">
        <v>1942078.97</v>
      </c>
      <c r="F254" s="237">
        <f t="shared" si="41"/>
        <v>342078.97</v>
      </c>
      <c r="G254" s="236">
        <f t="shared" si="42"/>
        <v>0.21379935625000002</v>
      </c>
    </row>
    <row r="255" spans="1:7" ht="11.1" customHeight="1" outlineLevel="6" x14ac:dyDescent="0.2">
      <c r="A255" s="239" t="s">
        <v>236</v>
      </c>
      <c r="B255" s="287">
        <v>25582649.34</v>
      </c>
      <c r="C255" s="287">
        <v>35900000</v>
      </c>
      <c r="D255" s="287">
        <v>35707368.710000001</v>
      </c>
      <c r="E255" s="287">
        <v>35707368.710000001</v>
      </c>
      <c r="F255" s="237">
        <f t="shared" si="41"/>
        <v>-192631.28999999911</v>
      </c>
      <c r="G255" s="236">
        <f t="shared" si="42"/>
        <v>-5.3657740947075094E-3</v>
      </c>
    </row>
    <row r="256" spans="1:7" ht="11.1" customHeight="1" outlineLevel="5" x14ac:dyDescent="0.2">
      <c r="A256" s="235" t="s">
        <v>237</v>
      </c>
      <c r="B256" s="287">
        <v>540363.25</v>
      </c>
      <c r="C256" s="287">
        <v>622571.56000000006</v>
      </c>
      <c r="D256" s="287">
        <v>325230.09999999998</v>
      </c>
      <c r="E256" s="287">
        <v>325230.09999999998</v>
      </c>
      <c r="F256" s="237">
        <f t="shared" si="41"/>
        <v>-297341.46000000008</v>
      </c>
      <c r="G256" s="236">
        <f t="shared" si="42"/>
        <v>-0.47760206071732547</v>
      </c>
    </row>
    <row r="257" spans="1:7" ht="11.1" customHeight="1" outlineLevel="5" x14ac:dyDescent="0.2">
      <c r="A257" s="238" t="s">
        <v>238</v>
      </c>
      <c r="B257" s="285">
        <v>65372527.100000001</v>
      </c>
      <c r="C257" s="285">
        <v>32331331.460000001</v>
      </c>
      <c r="D257" s="285">
        <v>30953799.649999999</v>
      </c>
      <c r="E257" s="285">
        <v>30953799.649999999</v>
      </c>
      <c r="F257" s="229">
        <f t="shared" si="41"/>
        <v>-1377531.8100000024</v>
      </c>
      <c r="G257" s="228">
        <f t="shared" si="42"/>
        <v>-4.2606714533370504E-2</v>
      </c>
    </row>
    <row r="258" spans="1:7" ht="11.1" customHeight="1" outlineLevel="6" x14ac:dyDescent="0.2">
      <c r="A258" s="242" t="s">
        <v>239</v>
      </c>
      <c r="B258" s="285">
        <v>19928108.760000002</v>
      </c>
      <c r="C258" s="285">
        <v>14996711.99</v>
      </c>
      <c r="D258" s="285">
        <v>15731442.039999999</v>
      </c>
      <c r="E258" s="285">
        <v>15731442.039999999</v>
      </c>
      <c r="F258" s="229">
        <f t="shared" si="41"/>
        <v>734730.04999999888</v>
      </c>
      <c r="G258" s="228">
        <f t="shared" si="42"/>
        <v>4.8992742575167503E-2</v>
      </c>
    </row>
    <row r="259" spans="1:7" ht="11.1" customHeight="1" outlineLevel="7" x14ac:dyDescent="0.2">
      <c r="A259" s="243" t="s">
        <v>240</v>
      </c>
      <c r="B259" s="287">
        <v>16691905.48</v>
      </c>
      <c r="C259" s="287">
        <v>10620688.32</v>
      </c>
      <c r="D259" s="287">
        <v>13610620.65</v>
      </c>
      <c r="E259" s="287">
        <v>13610620.65</v>
      </c>
      <c r="F259" s="237">
        <f t="shared" si="41"/>
        <v>2989932.33</v>
      </c>
      <c r="G259" s="236">
        <f t="shared" si="42"/>
        <v>0.28151963789104029</v>
      </c>
    </row>
    <row r="260" spans="1:7" ht="11.1" customHeight="1" outlineLevel="7" x14ac:dyDescent="0.2">
      <c r="A260" s="243" t="s">
        <v>241</v>
      </c>
      <c r="B260" s="287">
        <v>3236203.28</v>
      </c>
      <c r="C260" s="287">
        <v>4376023.67</v>
      </c>
      <c r="D260" s="287">
        <v>2120821.39</v>
      </c>
      <c r="E260" s="287">
        <v>2120821.39</v>
      </c>
      <c r="F260" s="237">
        <f t="shared" si="41"/>
        <v>-2255202.2799999998</v>
      </c>
      <c r="G260" s="236">
        <f t="shared" si="42"/>
        <v>-0.51535422339248904</v>
      </c>
    </row>
    <row r="261" spans="1:7" ht="11.1" customHeight="1" outlineLevel="6" x14ac:dyDescent="0.2">
      <c r="A261" s="239" t="s">
        <v>242</v>
      </c>
      <c r="B261" s="287">
        <v>45444418.340000004</v>
      </c>
      <c r="C261" s="287">
        <v>17334619.469999999</v>
      </c>
      <c r="D261" s="287">
        <v>15222357.609999999</v>
      </c>
      <c r="E261" s="287">
        <v>15222357.609999999</v>
      </c>
      <c r="F261" s="237">
        <f t="shared" si="41"/>
        <v>-2112261.8599999994</v>
      </c>
      <c r="G261" s="236">
        <f t="shared" si="42"/>
        <v>-0.12185221969571158</v>
      </c>
    </row>
    <row r="262" spans="1:7" ht="11.1" customHeight="1" outlineLevel="4" x14ac:dyDescent="0.2">
      <c r="A262" s="234" t="s">
        <v>243</v>
      </c>
      <c r="B262" s="285">
        <v>61680563.270000003</v>
      </c>
      <c r="C262" s="285">
        <v>66359031.729999997</v>
      </c>
      <c r="D262" s="285">
        <v>59255736.130000003</v>
      </c>
      <c r="E262" s="285">
        <v>57821631.780000001</v>
      </c>
      <c r="F262" s="229">
        <f t="shared" si="41"/>
        <v>-7103295.599999994</v>
      </c>
      <c r="G262" s="228">
        <f t="shared" si="42"/>
        <v>-0.10704338828965598</v>
      </c>
    </row>
    <row r="263" spans="1:7" ht="11.1" customHeight="1" outlineLevel="5" x14ac:dyDescent="0.2">
      <c r="A263" s="235" t="s">
        <v>244</v>
      </c>
      <c r="B263" s="287">
        <v>1689275.8</v>
      </c>
      <c r="C263" s="287">
        <v>577062.55000000005</v>
      </c>
      <c r="D263" s="287">
        <v>987398.99</v>
      </c>
      <c r="E263" s="287">
        <v>987398.99</v>
      </c>
      <c r="F263" s="237">
        <f t="shared" si="41"/>
        <v>410336.43999999994</v>
      </c>
      <c r="G263" s="236">
        <f t="shared" si="42"/>
        <v>0.7110779238749767</v>
      </c>
    </row>
    <row r="264" spans="1:7" ht="11.1" customHeight="1" outlineLevel="5" x14ac:dyDescent="0.2">
      <c r="A264" s="235" t="s">
        <v>243</v>
      </c>
      <c r="B264" s="287">
        <v>332228.36</v>
      </c>
      <c r="C264" s="287">
        <v>1126018.32</v>
      </c>
      <c r="D264" s="287">
        <v>492225.08</v>
      </c>
      <c r="E264" s="287">
        <v>492225.08</v>
      </c>
      <c r="F264" s="237">
        <f t="shared" si="41"/>
        <v>-633793.24</v>
      </c>
      <c r="G264" s="236">
        <f t="shared" si="42"/>
        <v>-0.56286228096182311</v>
      </c>
    </row>
    <row r="265" spans="1:7" ht="11.1" customHeight="1" outlineLevel="5" x14ac:dyDescent="0.2">
      <c r="A265" s="235" t="s">
        <v>245</v>
      </c>
      <c r="B265" s="287">
        <v>22131145.34</v>
      </c>
      <c r="C265" s="287">
        <v>23859067.25</v>
      </c>
      <c r="D265" s="287">
        <v>22073051.77</v>
      </c>
      <c r="E265" s="287">
        <v>20638947.420000002</v>
      </c>
      <c r="F265" s="237">
        <f t="shared" si="41"/>
        <v>-1786015.4800000004</v>
      </c>
      <c r="G265" s="236">
        <f t="shared" si="42"/>
        <v>-7.4856886117373289E-2</v>
      </c>
    </row>
    <row r="266" spans="1:7" ht="11.1" customHeight="1" outlineLevel="5" x14ac:dyDescent="0.2">
      <c r="A266" s="235" t="s">
        <v>246</v>
      </c>
      <c r="B266" s="287">
        <v>2973515.6</v>
      </c>
      <c r="C266" s="287">
        <v>3814885.95</v>
      </c>
      <c r="D266" s="287">
        <v>3519661.18</v>
      </c>
      <c r="E266" s="287">
        <v>3519661.18</v>
      </c>
      <c r="F266" s="237">
        <f t="shared" si="41"/>
        <v>-295224.77</v>
      </c>
      <c r="G266" s="236">
        <f t="shared" si="42"/>
        <v>-7.7387574325780251E-2</v>
      </c>
    </row>
    <row r="267" spans="1:7" ht="11.1" customHeight="1" outlineLevel="5" x14ac:dyDescent="0.2">
      <c r="A267" s="235" t="s">
        <v>247</v>
      </c>
      <c r="B267" s="287">
        <v>26635006.920000002</v>
      </c>
      <c r="C267" s="287">
        <v>26254643.949999999</v>
      </c>
      <c r="D267" s="287">
        <v>23696795.600000001</v>
      </c>
      <c r="E267" s="287">
        <v>23696795.600000001</v>
      </c>
      <c r="F267" s="237">
        <f t="shared" si="41"/>
        <v>-2557848.3499999978</v>
      </c>
      <c r="G267" s="236">
        <f t="shared" si="42"/>
        <v>-9.7424606285700488E-2</v>
      </c>
    </row>
    <row r="268" spans="1:7" ht="11.1" customHeight="1" outlineLevel="5" x14ac:dyDescent="0.2">
      <c r="A268" s="235" t="s">
        <v>248</v>
      </c>
      <c r="B268" s="287">
        <v>135274.54</v>
      </c>
      <c r="C268" s="287">
        <v>234485</v>
      </c>
      <c r="D268" s="287">
        <v>141291.63</v>
      </c>
      <c r="E268" s="287">
        <v>141291.63</v>
      </c>
      <c r="F268" s="237">
        <f t="shared" si="41"/>
        <v>-93193.37</v>
      </c>
      <c r="G268" s="236">
        <f t="shared" si="42"/>
        <v>-0.39743851419067311</v>
      </c>
    </row>
    <row r="269" spans="1:7" ht="11.1" customHeight="1" outlineLevel="5" x14ac:dyDescent="0.2">
      <c r="A269" s="235" t="s">
        <v>249</v>
      </c>
      <c r="B269" s="287">
        <v>147209.89000000001</v>
      </c>
      <c r="C269" s="287">
        <v>221858.25</v>
      </c>
      <c r="D269" s="287">
        <v>108946.76</v>
      </c>
      <c r="E269" s="287">
        <v>108946.76</v>
      </c>
      <c r="F269" s="237">
        <f t="shared" si="41"/>
        <v>-112911.49</v>
      </c>
      <c r="G269" s="236">
        <f t="shared" si="42"/>
        <v>-0.50893527736741817</v>
      </c>
    </row>
    <row r="270" spans="1:7" ht="11.1" customHeight="1" outlineLevel="5" x14ac:dyDescent="0.2">
      <c r="A270" s="235" t="s">
        <v>250</v>
      </c>
      <c r="B270" s="287">
        <v>7636906.8200000003</v>
      </c>
      <c r="C270" s="287">
        <v>10271010.460000001</v>
      </c>
      <c r="D270" s="287">
        <v>8236365.1200000001</v>
      </c>
      <c r="E270" s="287">
        <v>8236365.1200000001</v>
      </c>
      <c r="F270" s="237">
        <f t="shared" si="41"/>
        <v>-2034645.3400000008</v>
      </c>
      <c r="G270" s="236">
        <f t="shared" si="42"/>
        <v>-0.19809592716547586</v>
      </c>
    </row>
    <row r="271" spans="1:7" ht="11.1" customHeight="1" outlineLevel="4" x14ac:dyDescent="0.2">
      <c r="A271" s="234" t="s">
        <v>251</v>
      </c>
      <c r="B271" s="285">
        <v>104713.76</v>
      </c>
      <c r="C271" s="285">
        <v>698740</v>
      </c>
      <c r="D271" s="285">
        <v>208928.36</v>
      </c>
      <c r="E271" s="285">
        <v>208928.36</v>
      </c>
      <c r="F271" s="229">
        <f t="shared" si="41"/>
        <v>-489811.64</v>
      </c>
      <c r="G271" s="228">
        <f t="shared" si="42"/>
        <v>-0.70099270114778034</v>
      </c>
    </row>
    <row r="272" spans="1:7" ht="11.1" customHeight="1" outlineLevel="5" x14ac:dyDescent="0.2">
      <c r="A272" s="235" t="s">
        <v>252</v>
      </c>
      <c r="B272" s="287">
        <v>27408.76</v>
      </c>
      <c r="C272" s="287">
        <v>300000</v>
      </c>
      <c r="D272" s="287">
        <v>2772</v>
      </c>
      <c r="E272" s="287">
        <v>2772</v>
      </c>
      <c r="F272" s="237">
        <f t="shared" si="41"/>
        <v>-297228</v>
      </c>
      <c r="G272" s="236">
        <f t="shared" si="42"/>
        <v>-0.99075999999999997</v>
      </c>
    </row>
    <row r="273" spans="1:10" ht="11.1" customHeight="1" outlineLevel="5" x14ac:dyDescent="0.2">
      <c r="A273" s="235" t="s">
        <v>253</v>
      </c>
      <c r="B273" s="287">
        <v>77305</v>
      </c>
      <c r="C273" s="287">
        <v>398740</v>
      </c>
      <c r="D273" s="287">
        <v>206156.36</v>
      </c>
      <c r="E273" s="287">
        <v>206156.36</v>
      </c>
      <c r="F273" s="237">
        <f t="shared" si="41"/>
        <v>-192583.64</v>
      </c>
      <c r="G273" s="236">
        <f t="shared" si="42"/>
        <v>-0.48298048853889752</v>
      </c>
    </row>
    <row r="274" spans="1:10" ht="11.1" customHeight="1" outlineLevel="4" x14ac:dyDescent="0.2">
      <c r="A274" s="240" t="s">
        <v>172</v>
      </c>
      <c r="B274" s="287">
        <v>5876051.5800000001</v>
      </c>
      <c r="C274" s="287">
        <v>10950259.880000001</v>
      </c>
      <c r="D274" s="287">
        <v>7000202.5599999996</v>
      </c>
      <c r="E274" s="287">
        <v>7000202.5599999996</v>
      </c>
      <c r="F274" s="237">
        <f t="shared" si="41"/>
        <v>-3950057.3200000012</v>
      </c>
      <c r="G274" s="236">
        <f t="shared" si="42"/>
        <v>-0.360727267050031</v>
      </c>
    </row>
    <row r="275" spans="1:10" ht="11.1" customHeight="1" outlineLevel="4" x14ac:dyDescent="0.2">
      <c r="A275" s="234" t="s">
        <v>173</v>
      </c>
      <c r="B275" s="285">
        <v>866744839.60000002</v>
      </c>
      <c r="C275" s="285">
        <v>914502620.50999999</v>
      </c>
      <c r="D275" s="285">
        <v>969413450.20000005</v>
      </c>
      <c r="E275" s="285">
        <v>969413450.20000005</v>
      </c>
      <c r="F275" s="229">
        <f t="shared" si="41"/>
        <v>54910829.690000057</v>
      </c>
      <c r="G275" s="228">
        <f t="shared" si="42"/>
        <v>6.0044474951178817E-2</v>
      </c>
      <c r="H275" s="226">
        <f>C275+C190+C175</f>
        <v>3408561462.6300001</v>
      </c>
      <c r="I275" s="226">
        <f>D275+D190+D175</f>
        <v>3233917012.6700001</v>
      </c>
      <c r="J275" s="221">
        <f>I275/H275*100-100</f>
        <v>-5.1236995980482192</v>
      </c>
    </row>
    <row r="276" spans="1:10" ht="11.1" customHeight="1" outlineLevel="5" x14ac:dyDescent="0.2">
      <c r="A276" s="235" t="s">
        <v>174</v>
      </c>
      <c r="B276" s="287">
        <v>632731216.5</v>
      </c>
      <c r="C276" s="287">
        <v>643780286.03999996</v>
      </c>
      <c r="D276" s="287">
        <v>698359579.54999995</v>
      </c>
      <c r="E276" s="287">
        <v>698359579.54999995</v>
      </c>
      <c r="F276" s="237">
        <f t="shared" si="41"/>
        <v>54579293.50999999</v>
      </c>
      <c r="G276" s="236">
        <f t="shared" si="42"/>
        <v>8.4779380005135518E-2</v>
      </c>
    </row>
    <row r="277" spans="1:10" ht="11.1" customHeight="1" outlineLevel="5" x14ac:dyDescent="0.2">
      <c r="A277" s="235" t="s">
        <v>175</v>
      </c>
      <c r="B277" s="287">
        <v>196646519.46000001</v>
      </c>
      <c r="C277" s="287">
        <v>207977952.02000001</v>
      </c>
      <c r="D277" s="287">
        <v>220227405.19999999</v>
      </c>
      <c r="E277" s="287">
        <v>220227405.19999999</v>
      </c>
      <c r="F277" s="237">
        <f t="shared" si="41"/>
        <v>12249453.179999977</v>
      </c>
      <c r="G277" s="236">
        <f t="shared" si="42"/>
        <v>5.8897844992829018E-2</v>
      </c>
    </row>
    <row r="278" spans="1:10" ht="11.1" customHeight="1" outlineLevel="5" x14ac:dyDescent="0.2">
      <c r="A278" s="235" t="s">
        <v>176</v>
      </c>
      <c r="B278" s="287">
        <v>37367103.640000001</v>
      </c>
      <c r="C278" s="287">
        <v>61517582.450000003</v>
      </c>
      <c r="D278" s="287">
        <v>50719614.049999997</v>
      </c>
      <c r="E278" s="287">
        <v>50719614.049999997</v>
      </c>
      <c r="F278" s="237">
        <f t="shared" si="41"/>
        <v>-10797968.400000006</v>
      </c>
      <c r="G278" s="236">
        <f t="shared" si="42"/>
        <v>-0.17552654005505386</v>
      </c>
    </row>
    <row r="279" spans="1:10" ht="11.1" customHeight="1" outlineLevel="5" x14ac:dyDescent="0.2">
      <c r="A279" s="235" t="s">
        <v>177</v>
      </c>
      <c r="B279" s="287">
        <v>0</v>
      </c>
      <c r="C279" s="287">
        <v>1226800</v>
      </c>
      <c r="D279" s="287">
        <v>106851.4</v>
      </c>
      <c r="E279" s="287">
        <v>106851.4</v>
      </c>
      <c r="F279" s="237">
        <f t="shared" si="41"/>
        <v>-1119948.6000000001</v>
      </c>
      <c r="G279" s="236">
        <f t="shared" si="42"/>
        <v>-0.91290234757091615</v>
      </c>
    </row>
    <row r="280" spans="1:10" ht="11.1" customHeight="1" outlineLevel="4" x14ac:dyDescent="0.2">
      <c r="A280" s="234" t="s">
        <v>178</v>
      </c>
      <c r="B280" s="285">
        <v>3766527.02</v>
      </c>
      <c r="C280" s="285">
        <v>5595777.1100000003</v>
      </c>
      <c r="D280" s="285">
        <v>3505847.12</v>
      </c>
      <c r="E280" s="285">
        <v>3505847.12</v>
      </c>
      <c r="F280" s="229">
        <f t="shared" si="41"/>
        <v>-2089929.9900000002</v>
      </c>
      <c r="G280" s="228">
        <f t="shared" si="42"/>
        <v>-0.37348342310939542</v>
      </c>
    </row>
    <row r="281" spans="1:10" ht="11.1" customHeight="1" outlineLevel="5" x14ac:dyDescent="0.2">
      <c r="A281" s="235" t="s">
        <v>179</v>
      </c>
      <c r="B281" s="287">
        <v>1454493.32</v>
      </c>
      <c r="C281" s="287">
        <v>3523161.94</v>
      </c>
      <c r="D281" s="287">
        <v>1413116.19</v>
      </c>
      <c r="E281" s="287">
        <v>1413116.19</v>
      </c>
      <c r="F281" s="237">
        <f t="shared" si="41"/>
        <v>-2110045.75</v>
      </c>
      <c r="G281" s="236">
        <f t="shared" si="42"/>
        <v>-0.59890683026622393</v>
      </c>
    </row>
    <row r="282" spans="1:10" ht="11.1" customHeight="1" outlineLevel="5" x14ac:dyDescent="0.2">
      <c r="A282" s="235" t="s">
        <v>180</v>
      </c>
      <c r="B282" s="287">
        <v>340075.49</v>
      </c>
      <c r="C282" s="287">
        <v>662838.80000000005</v>
      </c>
      <c r="D282" s="287">
        <v>372143.77</v>
      </c>
      <c r="E282" s="287">
        <v>372143.77</v>
      </c>
      <c r="F282" s="237">
        <f t="shared" si="41"/>
        <v>-290695.03000000003</v>
      </c>
      <c r="G282" s="236">
        <f t="shared" si="42"/>
        <v>-0.4385606726703386</v>
      </c>
    </row>
    <row r="283" spans="1:10" ht="11.1" customHeight="1" outlineLevel="5" x14ac:dyDescent="0.2">
      <c r="A283" s="235" t="s">
        <v>181</v>
      </c>
      <c r="B283" s="287">
        <v>1971958.21</v>
      </c>
      <c r="C283" s="287">
        <v>1409776.37</v>
      </c>
      <c r="D283" s="287">
        <v>1720587.16</v>
      </c>
      <c r="E283" s="287">
        <v>1720587.16</v>
      </c>
      <c r="F283" s="237">
        <f t="shared" si="41"/>
        <v>310810.7899999998</v>
      </c>
      <c r="G283" s="236">
        <f t="shared" si="42"/>
        <v>0.22046815127139618</v>
      </c>
    </row>
    <row r="284" spans="1:10" ht="11.1" customHeight="1" outlineLevel="3" x14ac:dyDescent="0.2">
      <c r="A284" s="246" t="s">
        <v>254</v>
      </c>
      <c r="B284" s="284">
        <v>72271979.200000003</v>
      </c>
      <c r="C284" s="284">
        <v>32731405.949999999</v>
      </c>
      <c r="D284" s="284">
        <v>65484853.359999999</v>
      </c>
      <c r="E284" s="284">
        <v>65484853.359999999</v>
      </c>
      <c r="F284" s="225">
        <f t="shared" si="41"/>
        <v>32753447.41</v>
      </c>
      <c r="G284" s="224">
        <f t="shared" si="42"/>
        <v>1.0006734040093992</v>
      </c>
    </row>
    <row r="285" spans="1:10" ht="11.1" customHeight="1" outlineLevel="4" x14ac:dyDescent="0.2">
      <c r="A285" s="240" t="s">
        <v>255</v>
      </c>
      <c r="B285" s="287">
        <v>312495.25</v>
      </c>
      <c r="C285" s="287">
        <v>214320</v>
      </c>
      <c r="D285" s="287">
        <v>94612.62</v>
      </c>
      <c r="E285" s="287">
        <v>94612.62</v>
      </c>
      <c r="F285" s="237">
        <f t="shared" si="41"/>
        <v>-119707.38</v>
      </c>
      <c r="G285" s="236">
        <f t="shared" si="42"/>
        <v>-0.55854507278835386</v>
      </c>
    </row>
    <row r="286" spans="1:10" ht="11.1" customHeight="1" outlineLevel="4" x14ac:dyDescent="0.2">
      <c r="A286" s="240" t="s">
        <v>256</v>
      </c>
      <c r="B286" s="287">
        <v>6323372.9699999997</v>
      </c>
      <c r="C286" s="287">
        <v>2288350</v>
      </c>
      <c r="D286" s="287">
        <v>8518999.3599999994</v>
      </c>
      <c r="E286" s="287">
        <v>8518999.3599999994</v>
      </c>
      <c r="F286" s="237">
        <f t="shared" si="41"/>
        <v>6230649.3599999994</v>
      </c>
      <c r="G286" s="236">
        <f t="shared" si="42"/>
        <v>2.7227694015338559</v>
      </c>
    </row>
    <row r="287" spans="1:10" ht="11.1" customHeight="1" outlineLevel="4" x14ac:dyDescent="0.2">
      <c r="A287" s="240" t="s">
        <v>257</v>
      </c>
      <c r="B287" s="287">
        <v>296657.88</v>
      </c>
      <c r="C287" s="287">
        <v>635560</v>
      </c>
      <c r="D287" s="287">
        <v>2180074.16</v>
      </c>
      <c r="E287" s="287">
        <v>2180074.16</v>
      </c>
      <c r="F287" s="237">
        <f t="shared" si="41"/>
        <v>1544514.1600000001</v>
      </c>
      <c r="G287" s="236">
        <f t="shared" si="42"/>
        <v>2.430162628233369</v>
      </c>
    </row>
    <row r="288" spans="1:10" ht="11.1" customHeight="1" outlineLevel="4" x14ac:dyDescent="0.2">
      <c r="A288" s="240" t="s">
        <v>258</v>
      </c>
      <c r="B288" s="287">
        <v>26010604.98</v>
      </c>
      <c r="C288" s="287">
        <v>170000</v>
      </c>
      <c r="D288" s="287">
        <v>26166080.969999999</v>
      </c>
      <c r="E288" s="287">
        <v>26166080.969999999</v>
      </c>
      <c r="F288" s="237">
        <f t="shared" si="41"/>
        <v>25996080.969999999</v>
      </c>
      <c r="G288" s="236">
        <f t="shared" si="42"/>
        <v>152.91812335294117</v>
      </c>
    </row>
    <row r="289" spans="1:7" ht="11.1" customHeight="1" outlineLevel="4" x14ac:dyDescent="0.2">
      <c r="A289" s="240" t="s">
        <v>53</v>
      </c>
      <c r="B289" s="287">
        <v>486211.65</v>
      </c>
      <c r="C289" s="287">
        <v>0</v>
      </c>
      <c r="D289" s="287">
        <v>3706580.73</v>
      </c>
      <c r="E289" s="287">
        <v>3706580.73</v>
      </c>
      <c r="F289" s="237">
        <f t="shared" si="41"/>
        <v>3706580.73</v>
      </c>
      <c r="G289" s="236" t="e">
        <f t="shared" si="42"/>
        <v>#DIV/0!</v>
      </c>
    </row>
    <row r="290" spans="1:7" ht="11.1" customHeight="1" outlineLevel="4" x14ac:dyDescent="0.2">
      <c r="A290" s="240" t="s">
        <v>259</v>
      </c>
      <c r="B290" s="287">
        <v>119493.03</v>
      </c>
      <c r="C290" s="287">
        <v>0</v>
      </c>
      <c r="D290" s="287">
        <v>333601.11</v>
      </c>
      <c r="E290" s="287">
        <v>333601.11</v>
      </c>
      <c r="F290" s="237">
        <f t="shared" si="41"/>
        <v>333601.11</v>
      </c>
      <c r="G290" s="236" t="e">
        <f t="shared" si="42"/>
        <v>#DIV/0!</v>
      </c>
    </row>
    <row r="291" spans="1:7" ht="11.1" customHeight="1" outlineLevel="4" x14ac:dyDescent="0.2">
      <c r="A291" s="234" t="s">
        <v>260</v>
      </c>
      <c r="B291" s="285">
        <v>26119906.91</v>
      </c>
      <c r="C291" s="285">
        <v>20755728.920000002</v>
      </c>
      <c r="D291" s="285">
        <v>18718886.68</v>
      </c>
      <c r="E291" s="285">
        <v>18718886.68</v>
      </c>
      <c r="F291" s="229">
        <f t="shared" si="41"/>
        <v>-2036842.2400000021</v>
      </c>
      <c r="G291" s="228">
        <f t="shared" si="42"/>
        <v>-9.8133977749021439E-2</v>
      </c>
    </row>
    <row r="292" spans="1:7" ht="11.1" customHeight="1" outlineLevel="5" x14ac:dyDescent="0.2">
      <c r="A292" s="235" t="s">
        <v>261</v>
      </c>
      <c r="B292" s="287">
        <v>0</v>
      </c>
      <c r="C292" s="287">
        <v>0</v>
      </c>
      <c r="D292" s="287">
        <v>0</v>
      </c>
      <c r="E292" s="287">
        <v>0</v>
      </c>
      <c r="F292" s="237">
        <f t="shared" si="41"/>
        <v>0</v>
      </c>
      <c r="G292" s="236" t="e">
        <f t="shared" si="42"/>
        <v>#DIV/0!</v>
      </c>
    </row>
    <row r="293" spans="1:7" ht="11.1" customHeight="1" outlineLevel="5" x14ac:dyDescent="0.2">
      <c r="A293" s="235" t="s">
        <v>262</v>
      </c>
      <c r="B293" s="287">
        <v>5823967.6699999999</v>
      </c>
      <c r="C293" s="287">
        <v>5940796.2199999997</v>
      </c>
      <c r="D293" s="287">
        <v>6034898</v>
      </c>
      <c r="E293" s="287">
        <v>6034898</v>
      </c>
      <c r="F293" s="237">
        <f t="shared" si="41"/>
        <v>94101.780000000261</v>
      </c>
      <c r="G293" s="236">
        <f t="shared" si="42"/>
        <v>1.5839927261467324E-2</v>
      </c>
    </row>
    <row r="294" spans="1:7" ht="11.1" customHeight="1" outlineLevel="5" x14ac:dyDescent="0.2">
      <c r="A294" s="235" t="s">
        <v>263</v>
      </c>
      <c r="B294" s="287">
        <v>-23844.85</v>
      </c>
      <c r="C294" s="287">
        <v>83786.34</v>
      </c>
      <c r="D294" s="287">
        <v>5018.05</v>
      </c>
      <c r="E294" s="287">
        <v>5018.05</v>
      </c>
      <c r="F294" s="237">
        <f t="shared" si="41"/>
        <v>-78768.289999999994</v>
      </c>
      <c r="G294" s="236">
        <f t="shared" si="42"/>
        <v>-0.94010897241722213</v>
      </c>
    </row>
    <row r="295" spans="1:7" ht="11.1" customHeight="1" outlineLevel="5" x14ac:dyDescent="0.2">
      <c r="A295" s="235" t="s">
        <v>264</v>
      </c>
      <c r="B295" s="287">
        <v>13321185.32</v>
      </c>
      <c r="C295" s="287">
        <v>8806938.3499999996</v>
      </c>
      <c r="D295" s="287">
        <v>4563902.18</v>
      </c>
      <c r="E295" s="287">
        <v>4563902.18</v>
      </c>
      <c r="F295" s="237">
        <f t="shared" si="41"/>
        <v>-4243036.17</v>
      </c>
      <c r="G295" s="236">
        <f t="shared" si="42"/>
        <v>-0.48178333960972941</v>
      </c>
    </row>
    <row r="296" spans="1:7" ht="11.1" customHeight="1" outlineLevel="5" x14ac:dyDescent="0.2">
      <c r="A296" s="235" t="s">
        <v>265</v>
      </c>
      <c r="B296" s="287">
        <v>6998598.7699999996</v>
      </c>
      <c r="C296" s="287">
        <v>5924208.0099999998</v>
      </c>
      <c r="D296" s="287">
        <v>8115068.4500000002</v>
      </c>
      <c r="E296" s="287">
        <v>8115068.4500000002</v>
      </c>
      <c r="F296" s="237">
        <f t="shared" si="41"/>
        <v>2190860.4400000004</v>
      </c>
      <c r="G296" s="236">
        <f t="shared" si="42"/>
        <v>0.36981490796775729</v>
      </c>
    </row>
    <row r="297" spans="1:7" ht="11.1" customHeight="1" outlineLevel="4" x14ac:dyDescent="0.2">
      <c r="A297" s="240" t="s">
        <v>266</v>
      </c>
      <c r="B297" s="287">
        <v>64936.33</v>
      </c>
      <c r="C297" s="287">
        <v>45998</v>
      </c>
      <c r="D297" s="287">
        <v>8776.84</v>
      </c>
      <c r="E297" s="287">
        <v>8776.84</v>
      </c>
      <c r="F297" s="237">
        <f t="shared" si="41"/>
        <v>-37221.160000000003</v>
      </c>
      <c r="G297" s="236">
        <f t="shared" si="42"/>
        <v>-0.80919083438410366</v>
      </c>
    </row>
    <row r="298" spans="1:7" ht="11.1" customHeight="1" outlineLevel="4" x14ac:dyDescent="0.2">
      <c r="A298" s="240" t="s">
        <v>254</v>
      </c>
      <c r="B298" s="287">
        <v>8728240.5899999999</v>
      </c>
      <c r="C298" s="287">
        <v>1290921.32</v>
      </c>
      <c r="D298" s="287">
        <v>9275340.5999999996</v>
      </c>
      <c r="E298" s="287">
        <v>9275340.5999999996</v>
      </c>
      <c r="F298" s="237">
        <f t="shared" si="41"/>
        <v>7984419.2799999993</v>
      </c>
      <c r="G298" s="236">
        <f t="shared" si="42"/>
        <v>6.185054934254242</v>
      </c>
    </row>
    <row r="299" spans="1:7" ht="11.1" customHeight="1" outlineLevel="4" x14ac:dyDescent="0.2">
      <c r="A299" s="240" t="s">
        <v>267</v>
      </c>
      <c r="B299" s="287">
        <v>0</v>
      </c>
      <c r="C299" s="287">
        <v>2130527.71</v>
      </c>
      <c r="D299" s="287">
        <v>1687727.52</v>
      </c>
      <c r="E299" s="287">
        <v>1687727.52</v>
      </c>
      <c r="F299" s="237">
        <f t="shared" si="41"/>
        <v>-442800.18999999994</v>
      </c>
      <c r="G299" s="236">
        <f t="shared" si="42"/>
        <v>-0.20783592155203645</v>
      </c>
    </row>
    <row r="300" spans="1:7" ht="11.1" customHeight="1" outlineLevel="4" x14ac:dyDescent="0.2">
      <c r="A300" s="240" t="s">
        <v>58</v>
      </c>
      <c r="B300" s="287">
        <v>2204378.98</v>
      </c>
      <c r="C300" s="287">
        <v>1300000</v>
      </c>
      <c r="D300" s="287">
        <v>-10629298.58</v>
      </c>
      <c r="E300" s="287">
        <v>-10629298.58</v>
      </c>
      <c r="F300" s="237">
        <f t="shared" si="41"/>
        <v>-11929298.58</v>
      </c>
      <c r="G300" s="236">
        <f t="shared" si="42"/>
        <v>-9.1763835230769235</v>
      </c>
    </row>
    <row r="301" spans="1:7" ht="11.1" customHeight="1" outlineLevel="4" x14ac:dyDescent="0.2">
      <c r="A301" s="240" t="s">
        <v>268</v>
      </c>
      <c r="B301" s="287">
        <v>1585147.06</v>
      </c>
      <c r="C301" s="287">
        <v>3900000</v>
      </c>
      <c r="D301" s="287">
        <v>3818443.27</v>
      </c>
      <c r="E301" s="287">
        <v>3818443.27</v>
      </c>
      <c r="F301" s="237">
        <f t="shared" si="41"/>
        <v>-81556.729999999981</v>
      </c>
      <c r="G301" s="236">
        <f t="shared" si="42"/>
        <v>-2.0911982051282085E-2</v>
      </c>
    </row>
    <row r="302" spans="1:7" ht="11.1" customHeight="1" outlineLevel="4" x14ac:dyDescent="0.2">
      <c r="A302" s="240" t="s">
        <v>269</v>
      </c>
      <c r="B302" s="287">
        <v>7500</v>
      </c>
      <c r="C302" s="287">
        <v>0</v>
      </c>
      <c r="D302" s="287">
        <v>15000</v>
      </c>
      <c r="E302" s="287">
        <v>15000</v>
      </c>
      <c r="F302" s="237">
        <f t="shared" si="41"/>
        <v>15000</v>
      </c>
      <c r="G302" s="236" t="e">
        <f t="shared" si="42"/>
        <v>#DIV/0!</v>
      </c>
    </row>
    <row r="303" spans="1:7" ht="11.1" customHeight="1" outlineLevel="4" x14ac:dyDescent="0.2">
      <c r="A303" s="240" t="s">
        <v>819</v>
      </c>
      <c r="B303" s="287">
        <v>0</v>
      </c>
      <c r="C303" s="287">
        <v>0</v>
      </c>
      <c r="D303" s="287">
        <v>1557200.14</v>
      </c>
      <c r="E303" s="287">
        <v>1557200.14</v>
      </c>
      <c r="F303" s="237">
        <f t="shared" si="41"/>
        <v>1557200.14</v>
      </c>
      <c r="G303" s="236" t="e">
        <f t="shared" si="42"/>
        <v>#DIV/0!</v>
      </c>
    </row>
    <row r="304" spans="1:7" ht="11.1" customHeight="1" outlineLevel="4" x14ac:dyDescent="0.2">
      <c r="A304" s="240" t="s">
        <v>271</v>
      </c>
      <c r="B304" s="287">
        <v>13033.57</v>
      </c>
      <c r="C304" s="287">
        <v>0</v>
      </c>
      <c r="D304" s="287">
        <v>32827.94</v>
      </c>
      <c r="E304" s="287">
        <v>32827.94</v>
      </c>
      <c r="F304" s="237">
        <f t="shared" si="41"/>
        <v>32827.94</v>
      </c>
      <c r="G304" s="236" t="e">
        <f t="shared" si="42"/>
        <v>#DIV/0!</v>
      </c>
    </row>
    <row r="305" spans="1:7" ht="11.1" customHeight="1" outlineLevel="4" x14ac:dyDescent="0.2">
      <c r="A305" s="240" t="s">
        <v>272</v>
      </c>
      <c r="B305" s="287">
        <v>0</v>
      </c>
      <c r="C305" s="287">
        <v>0</v>
      </c>
      <c r="D305" s="287">
        <v>0</v>
      </c>
      <c r="E305" s="287">
        <v>0</v>
      </c>
      <c r="F305" s="237">
        <f t="shared" si="41"/>
        <v>0</v>
      </c>
      <c r="G305" s="236" t="e">
        <f t="shared" si="42"/>
        <v>#DIV/0!</v>
      </c>
    </row>
    <row r="306" spans="1:7" ht="11.1" customHeight="1" outlineLevel="1" x14ac:dyDescent="0.2">
      <c r="A306" s="247" t="s">
        <v>273</v>
      </c>
      <c r="B306" s="287">
        <v>-17103263.199999999</v>
      </c>
      <c r="C306" s="287">
        <v>-31171899.48</v>
      </c>
      <c r="D306" s="287">
        <v>12729944.08</v>
      </c>
      <c r="E306" s="287">
        <v>5205037.22</v>
      </c>
      <c r="F306" s="237">
        <f t="shared" si="41"/>
        <v>43901843.560000002</v>
      </c>
      <c r="G306" s="236">
        <f t="shared" si="42"/>
        <v>-1.4083788377467203</v>
      </c>
    </row>
    <row r="307" spans="1:7" ht="11.1" customHeight="1" outlineLevel="1" x14ac:dyDescent="0.2">
      <c r="A307" s="247" t="s">
        <v>274</v>
      </c>
      <c r="B307" s="287">
        <v>500.77</v>
      </c>
      <c r="C307" s="287">
        <v>0</v>
      </c>
      <c r="D307" s="287">
        <v>-232145.42</v>
      </c>
      <c r="E307" s="287">
        <v>-232145.42</v>
      </c>
      <c r="F307" s="237">
        <f t="shared" si="41"/>
        <v>-232145.42</v>
      </c>
      <c r="G307" s="236" t="e">
        <f t="shared" si="42"/>
        <v>#DIV/0!</v>
      </c>
    </row>
    <row r="309" spans="1:7" ht="11.45" customHeight="1" x14ac:dyDescent="0.2">
      <c r="B309" s="219">
        <v>-1</v>
      </c>
    </row>
  </sheetData>
  <autoFilter ref="A118:G307"/>
  <mergeCells count="1">
    <mergeCell ref="C5:G5"/>
  </mergeCells>
  <conditionalFormatting sqref="G7:G43 G45:G59 G119">
    <cfRule type="cellIs" dxfId="54" priority="11" operator="lessThan">
      <formula>0</formula>
    </cfRule>
  </conditionalFormatting>
  <conditionalFormatting sqref="G118 G120:G307">
    <cfRule type="cellIs" dxfId="53" priority="6" operator="greaterThan">
      <formula>0</formula>
    </cfRule>
  </conditionalFormatting>
  <pageMargins left="0.75" right="1" top="0.75" bottom="1" header="0.5" footer="0.5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309"/>
  <sheetViews>
    <sheetView zoomScale="120" zoomScaleNormal="120" workbookViewId="0">
      <pane xSplit="1" ySplit="6" topLeftCell="I126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9" defaultRowHeight="11.45" customHeight="1" outlineLevelRow="7" x14ac:dyDescent="0.2"/>
  <cols>
    <col min="1" max="1" width="69.5703125" style="218" customWidth="1"/>
    <col min="2" max="2" width="11.85546875" style="219" customWidth="1"/>
    <col min="3" max="5" width="11.85546875" style="288" customWidth="1"/>
    <col min="6" max="6" width="16.85546875" style="218" customWidth="1"/>
    <col min="7" max="7" width="11.85546875" style="219" customWidth="1"/>
    <col min="8" max="8" width="10.85546875" style="221" bestFit="1" customWidth="1"/>
    <col min="9" max="10" width="25" style="221" customWidth="1"/>
    <col min="11" max="11" width="11.28515625" style="221" customWidth="1"/>
    <col min="12" max="12" width="10.7109375" style="221" customWidth="1"/>
    <col min="13" max="13" width="14" style="221" customWidth="1"/>
    <col min="14" max="16384" width="9" style="221"/>
  </cols>
  <sheetData>
    <row r="1" spans="1:13" s="218" customFormat="1" ht="9.9499999999999993" customHeight="1" x14ac:dyDescent="0.2">
      <c r="B1" s="219"/>
      <c r="C1" s="288"/>
      <c r="D1" s="288"/>
      <c r="E1" s="288"/>
      <c r="G1" s="219"/>
    </row>
    <row r="2" spans="1:13" ht="24.95" customHeight="1" x14ac:dyDescent="0.2">
      <c r="A2" s="220" t="s">
        <v>847</v>
      </c>
    </row>
    <row r="3" spans="1:13" s="218" customFormat="1" ht="9.9499999999999993" customHeight="1" x14ac:dyDescent="0.2">
      <c r="B3" s="219"/>
      <c r="C3" s="289"/>
      <c r="D3" s="288"/>
      <c r="E3" s="288"/>
      <c r="G3" s="219"/>
    </row>
    <row r="4" spans="1:13" s="218" customFormat="1" ht="9.9499999999999993" customHeight="1" x14ac:dyDescent="0.2">
      <c r="B4" s="219"/>
      <c r="C4" s="288"/>
      <c r="D4" s="288"/>
      <c r="E4" s="288"/>
      <c r="G4" s="219"/>
    </row>
    <row r="5" spans="1:13" ht="26.1" customHeight="1" x14ac:dyDescent="0.2">
      <c r="A5" s="222"/>
      <c r="B5" s="319" t="s">
        <v>867</v>
      </c>
      <c r="C5" s="469" t="s">
        <v>848</v>
      </c>
      <c r="D5" s="470"/>
      <c r="E5" s="470"/>
      <c r="F5" s="470"/>
      <c r="G5" s="471"/>
    </row>
    <row r="6" spans="1:13" ht="12.75" x14ac:dyDescent="0.2">
      <c r="A6" s="222" t="s">
        <v>3</v>
      </c>
      <c r="B6" s="290" t="s">
        <v>813</v>
      </c>
      <c r="C6" s="264" t="s">
        <v>408</v>
      </c>
      <c r="D6" s="290" t="s">
        <v>813</v>
      </c>
      <c r="E6" s="290" t="s">
        <v>855</v>
      </c>
      <c r="F6" s="290" t="s">
        <v>820</v>
      </c>
      <c r="G6" s="264" t="s">
        <v>821</v>
      </c>
    </row>
    <row r="7" spans="1:13" ht="11.1" customHeight="1" x14ac:dyDescent="0.2">
      <c r="A7" s="223" t="s">
        <v>7</v>
      </c>
      <c r="B7" s="284">
        <v>-196535887.50999999</v>
      </c>
      <c r="C7" s="284">
        <v>-124686975.92</v>
      </c>
      <c r="D7" s="284">
        <v>4314556.5</v>
      </c>
      <c r="E7" s="284">
        <v>-25785070.91</v>
      </c>
      <c r="F7" s="225">
        <f>D7-C7</f>
        <v>129001532.42</v>
      </c>
      <c r="G7" s="224">
        <f>(D7/C7-1)*-1</f>
        <v>1.0346031048404627</v>
      </c>
    </row>
    <row r="8" spans="1:13" ht="11.1" customHeight="1" outlineLevel="1" x14ac:dyDescent="0.2">
      <c r="A8" s="227" t="s">
        <v>8</v>
      </c>
      <c r="B8" s="285">
        <v>-213638649.94</v>
      </c>
      <c r="C8" s="285">
        <v>-155858875.40000001</v>
      </c>
      <c r="D8" s="285">
        <v>16812355.16</v>
      </c>
      <c r="E8" s="285">
        <v>-20812179.109999999</v>
      </c>
      <c r="F8" s="229">
        <f t="shared" ref="F8:F71" si="0">D8-C8</f>
        <v>172671230.56</v>
      </c>
      <c r="G8" s="228">
        <f>(D8/C8-1)*-1</f>
        <v>1.1078690906555841</v>
      </c>
    </row>
    <row r="9" spans="1:13" ht="11.1" customHeight="1" outlineLevel="2" x14ac:dyDescent="0.2">
      <c r="A9" s="230" t="s">
        <v>9</v>
      </c>
      <c r="B9" s="284">
        <v>4668466412.3999996</v>
      </c>
      <c r="C9" s="284">
        <v>5202238024.4900007</v>
      </c>
      <c r="D9" s="284">
        <v>5475557316.2299995</v>
      </c>
      <c r="E9" s="284">
        <v>5309442563.2300005</v>
      </c>
      <c r="F9" s="225">
        <f t="shared" si="0"/>
        <v>273319291.73999882</v>
      </c>
      <c r="G9" s="224">
        <f t="shared" ref="G9:G72" si="1">D9/C9-1</f>
        <v>5.2538790123274559E-2</v>
      </c>
    </row>
    <row r="10" spans="1:13" ht="11.1" customHeight="1" outlineLevel="3" x14ac:dyDescent="0.2">
      <c r="A10" s="231" t="s">
        <v>10</v>
      </c>
      <c r="B10" s="286">
        <v>4556519160.1400003</v>
      </c>
      <c r="C10" s="286">
        <v>5086810936.1400003</v>
      </c>
      <c r="D10" s="286">
        <v>5338714442.71</v>
      </c>
      <c r="E10" s="286">
        <v>5172599689.7099991</v>
      </c>
      <c r="F10" s="233">
        <f t="shared" si="0"/>
        <v>251903506.56999969</v>
      </c>
      <c r="G10" s="232">
        <f t="shared" si="1"/>
        <v>4.9520910002829766E-2</v>
      </c>
      <c r="J10" s="221" t="s">
        <v>389</v>
      </c>
      <c r="K10" s="221" t="s">
        <v>414</v>
      </c>
      <c r="L10" s="221" t="s">
        <v>754</v>
      </c>
      <c r="M10" s="221" t="s">
        <v>864</v>
      </c>
    </row>
    <row r="11" spans="1:13" ht="11.1" customHeight="1" outlineLevel="4" x14ac:dyDescent="0.2">
      <c r="A11" s="234" t="s">
        <v>11</v>
      </c>
      <c r="B11" s="285">
        <v>1126991360.5599999</v>
      </c>
      <c r="C11" s="285">
        <v>1175259548.5799999</v>
      </c>
      <c r="D11" s="285">
        <v>1245512255.0899999</v>
      </c>
      <c r="E11" s="285">
        <v>1245512255.0899999</v>
      </c>
      <c r="F11" s="229">
        <f t="shared" si="0"/>
        <v>70252706.50999999</v>
      </c>
      <c r="G11" s="228">
        <f t="shared" si="1"/>
        <v>5.9776333317080876E-2</v>
      </c>
      <c r="I11" s="221" t="s">
        <v>856</v>
      </c>
      <c r="J11" s="226">
        <f>ROUND(B11/1000,0)</f>
        <v>1126991</v>
      </c>
      <c r="K11" s="226">
        <f>ROUND(C11/1000,0)</f>
        <v>1175260</v>
      </c>
      <c r="L11" s="226">
        <f>ROUND(D11/1000,0)</f>
        <v>1245512</v>
      </c>
      <c r="M11" s="318">
        <f>L11/K11-100%</f>
        <v>5.977570920477171E-2</v>
      </c>
    </row>
    <row r="12" spans="1:13" ht="11.1" customHeight="1" outlineLevel="5" x14ac:dyDescent="0.2">
      <c r="A12" s="235" t="s">
        <v>12</v>
      </c>
      <c r="B12" s="287">
        <v>944670043.75999999</v>
      </c>
      <c r="C12" s="287">
        <v>962119227.33000004</v>
      </c>
      <c r="D12" s="287">
        <v>1036723058.4</v>
      </c>
      <c r="E12" s="287">
        <v>1036723058.4</v>
      </c>
      <c r="F12" s="237">
        <f t="shared" si="0"/>
        <v>74603831.069999933</v>
      </c>
      <c r="G12" s="236">
        <f t="shared" si="1"/>
        <v>7.7541149735708803E-2</v>
      </c>
      <c r="I12" s="221" t="s">
        <v>857</v>
      </c>
      <c r="J12" s="226">
        <f>ROUND(B16/1000,0)</f>
        <v>881007</v>
      </c>
      <c r="K12" s="226">
        <f>ROUND(C16/1000,0)</f>
        <v>924422</v>
      </c>
      <c r="L12" s="226">
        <f>ROUND(D16/1000,0)</f>
        <v>975326</v>
      </c>
      <c r="M12" s="318">
        <f t="shared" ref="M12:M25" si="2">L12/K12-100%</f>
        <v>5.50657600100386E-2</v>
      </c>
    </row>
    <row r="13" spans="1:13" ht="11.1" customHeight="1" outlineLevel="5" x14ac:dyDescent="0.2">
      <c r="A13" s="235" t="s">
        <v>13</v>
      </c>
      <c r="B13" s="287">
        <v>54798817.219999999</v>
      </c>
      <c r="C13" s="287">
        <v>77917508.060000002</v>
      </c>
      <c r="D13" s="287">
        <v>60289648.369999997</v>
      </c>
      <c r="E13" s="287">
        <v>60289648.369999997</v>
      </c>
      <c r="F13" s="237">
        <f t="shared" si="0"/>
        <v>-17627859.690000005</v>
      </c>
      <c r="G13" s="236">
        <f t="shared" si="1"/>
        <v>-0.22623746740496065</v>
      </c>
      <c r="I13" s="221" t="s">
        <v>863</v>
      </c>
      <c r="J13" s="226">
        <f>ROUND(B20/1000,0)</f>
        <v>837150</v>
      </c>
      <c r="K13" s="226">
        <f>ROUND(C20/1000,0)</f>
        <v>873614</v>
      </c>
      <c r="L13" s="226">
        <f>ROUND(D20/1000,0)</f>
        <v>758658</v>
      </c>
      <c r="M13" s="318">
        <f t="shared" si="2"/>
        <v>-0.13158671907730413</v>
      </c>
    </row>
    <row r="14" spans="1:13" ht="11.1" customHeight="1" outlineLevel="5" x14ac:dyDescent="0.2">
      <c r="A14" s="235" t="s">
        <v>14</v>
      </c>
      <c r="B14" s="287">
        <v>127522499.58</v>
      </c>
      <c r="C14" s="287">
        <v>135222813.19</v>
      </c>
      <c r="D14" s="287">
        <v>148499548.31999999</v>
      </c>
      <c r="E14" s="287">
        <v>148499548.31999999</v>
      </c>
      <c r="F14" s="237">
        <f t="shared" si="0"/>
        <v>13276735.129999995</v>
      </c>
      <c r="G14" s="236">
        <f t="shared" si="1"/>
        <v>9.8184136365695895E-2</v>
      </c>
      <c r="I14" s="221" t="s">
        <v>858</v>
      </c>
      <c r="J14" s="226">
        <f>ROUND(B25/1000,0)</f>
        <v>728666</v>
      </c>
      <c r="K14" s="226">
        <f>ROUND(C25/1000,0)</f>
        <v>993201</v>
      </c>
      <c r="L14" s="226">
        <f>ROUND(D25/1000,0)</f>
        <v>1301837</v>
      </c>
      <c r="M14" s="318">
        <f t="shared" si="2"/>
        <v>0.31074878096175906</v>
      </c>
    </row>
    <row r="15" spans="1:13" ht="11.1" customHeight="1" outlineLevel="4" x14ac:dyDescent="0.2">
      <c r="A15" s="234" t="s">
        <v>15</v>
      </c>
      <c r="B15" s="285">
        <v>1729430832.71</v>
      </c>
      <c r="C15" s="285">
        <v>1814172475.3500001</v>
      </c>
      <c r="D15" s="285">
        <v>1749286452.6400001</v>
      </c>
      <c r="E15" s="285">
        <v>1749286452.6400001</v>
      </c>
      <c r="F15" s="229">
        <f t="shared" si="0"/>
        <v>-64886022.710000038</v>
      </c>
      <c r="G15" s="228">
        <f t="shared" si="1"/>
        <v>-3.5766181877212033E-2</v>
      </c>
      <c r="I15" s="221" t="s">
        <v>865</v>
      </c>
      <c r="J15" s="226">
        <f>ROUND(B29/1000,0)</f>
        <v>685235</v>
      </c>
      <c r="K15" s="226">
        <f>ROUND(C29/1000,0)</f>
        <v>744548</v>
      </c>
      <c r="L15" s="226">
        <f>ROUND(D29/1000,0)</f>
        <v>717529</v>
      </c>
      <c r="M15" s="318">
        <f t="shared" si="2"/>
        <v>-3.6289131123849683E-2</v>
      </c>
    </row>
    <row r="16" spans="1:13" ht="11.1" customHeight="1" outlineLevel="5" x14ac:dyDescent="0.2">
      <c r="A16" s="238" t="s">
        <v>16</v>
      </c>
      <c r="B16" s="285">
        <v>881007146.47000003</v>
      </c>
      <c r="C16" s="285">
        <v>924421786.69000006</v>
      </c>
      <c r="D16" s="285">
        <v>975326393.23000002</v>
      </c>
      <c r="E16" s="285">
        <v>975326393.23000002</v>
      </c>
      <c r="F16" s="229">
        <f t="shared" si="0"/>
        <v>50904606.539999962</v>
      </c>
      <c r="G16" s="228">
        <f t="shared" si="1"/>
        <v>5.5066428845505611E-2</v>
      </c>
      <c r="I16" s="221" t="s">
        <v>859</v>
      </c>
      <c r="J16" s="226">
        <f>ROUND(B33/1000,0)</f>
        <v>218503</v>
      </c>
      <c r="K16" s="226">
        <f>ROUND(C33/1000,0)</f>
        <v>276664</v>
      </c>
      <c r="L16" s="226">
        <f>ROUND(D33/1000,0)</f>
        <v>246139</v>
      </c>
      <c r="M16" s="318">
        <f t="shared" si="2"/>
        <v>-0.11033238874591567</v>
      </c>
    </row>
    <row r="17" spans="1:13" ht="11.1" customHeight="1" outlineLevel="6" x14ac:dyDescent="0.2">
      <c r="A17" s="239" t="s">
        <v>17</v>
      </c>
      <c r="B17" s="287">
        <v>424835060.83999997</v>
      </c>
      <c r="C17" s="287">
        <v>457393633.01999998</v>
      </c>
      <c r="D17" s="287">
        <v>479087394</v>
      </c>
      <c r="E17" s="287">
        <v>479087394</v>
      </c>
      <c r="F17" s="237">
        <f t="shared" si="0"/>
        <v>21693760.980000019</v>
      </c>
      <c r="G17" s="236">
        <f t="shared" si="1"/>
        <v>4.7429083865387911E-2</v>
      </c>
      <c r="K17" s="226"/>
      <c r="L17" s="226"/>
      <c r="M17" s="318"/>
    </row>
    <row r="18" spans="1:13" ht="11.1" customHeight="1" outlineLevel="6" x14ac:dyDescent="0.2">
      <c r="A18" s="239" t="s">
        <v>18</v>
      </c>
      <c r="B18" s="287">
        <v>327783474.13</v>
      </c>
      <c r="C18" s="287">
        <v>341172693.81999999</v>
      </c>
      <c r="D18" s="287">
        <v>356035752.24000001</v>
      </c>
      <c r="E18" s="287">
        <v>356035752.24000001</v>
      </c>
      <c r="F18" s="237">
        <f t="shared" si="0"/>
        <v>14863058.420000017</v>
      </c>
      <c r="G18" s="236">
        <f t="shared" si="1"/>
        <v>4.3564619001547733E-2</v>
      </c>
      <c r="K18" s="226"/>
      <c r="L18" s="226"/>
      <c r="M18" s="318"/>
    </row>
    <row r="19" spans="1:13" ht="11.1" customHeight="1" outlineLevel="6" x14ac:dyDescent="0.2">
      <c r="A19" s="239" t="s">
        <v>19</v>
      </c>
      <c r="B19" s="287">
        <v>128388611.5</v>
      </c>
      <c r="C19" s="287">
        <v>125855459.84999999</v>
      </c>
      <c r="D19" s="287">
        <v>140203246.99000001</v>
      </c>
      <c r="E19" s="287">
        <v>140203246.99000001</v>
      </c>
      <c r="F19" s="237">
        <f t="shared" si="0"/>
        <v>14347787.140000015</v>
      </c>
      <c r="G19" s="236">
        <f t="shared" si="1"/>
        <v>0.11400210334220162</v>
      </c>
      <c r="K19" s="226"/>
      <c r="L19" s="226"/>
      <c r="M19" s="318"/>
    </row>
    <row r="20" spans="1:13" ht="11.1" customHeight="1" outlineLevel="5" x14ac:dyDescent="0.2">
      <c r="A20" s="238" t="s">
        <v>20</v>
      </c>
      <c r="B20" s="285">
        <v>837150061.39999998</v>
      </c>
      <c r="C20" s="285">
        <v>873614234.87</v>
      </c>
      <c r="D20" s="285">
        <v>758657811.23000002</v>
      </c>
      <c r="E20" s="285">
        <v>758657811.23000002</v>
      </c>
      <c r="F20" s="229">
        <f t="shared" si="0"/>
        <v>-114956423.63999999</v>
      </c>
      <c r="G20" s="228">
        <f t="shared" si="1"/>
        <v>-0.13158716862838926</v>
      </c>
      <c r="I20" s="221" t="s">
        <v>866</v>
      </c>
      <c r="J20" s="226">
        <f>ROUND(B34/1000,0)</f>
        <v>55765</v>
      </c>
      <c r="K20" s="226">
        <f>ROUND(C34/1000,0)</f>
        <v>62251</v>
      </c>
      <c r="L20" s="226">
        <f>ROUND(D34/1000,0)</f>
        <v>65229</v>
      </c>
      <c r="M20" s="318">
        <f t="shared" si="2"/>
        <v>4.7838588938330373E-2</v>
      </c>
    </row>
    <row r="21" spans="1:13" ht="11.1" customHeight="1" outlineLevel="6" x14ac:dyDescent="0.2">
      <c r="A21" s="239" t="s">
        <v>814</v>
      </c>
      <c r="B21" s="287">
        <v>194187568.28999999</v>
      </c>
      <c r="C21" s="287">
        <v>225679134.88</v>
      </c>
      <c r="D21" s="287">
        <v>174120892.74000001</v>
      </c>
      <c r="E21" s="287">
        <v>174120892.74000001</v>
      </c>
      <c r="F21" s="237">
        <f t="shared" si="0"/>
        <v>-51558242.139999986</v>
      </c>
      <c r="G21" s="236">
        <f t="shared" si="1"/>
        <v>-0.22845816990310142</v>
      </c>
      <c r="K21" s="226"/>
      <c r="L21" s="226"/>
      <c r="M21" s="318"/>
    </row>
    <row r="22" spans="1:13" ht="11.1" customHeight="1" outlineLevel="6" x14ac:dyDescent="0.2">
      <c r="A22" s="239" t="s">
        <v>815</v>
      </c>
      <c r="B22" s="287">
        <v>546694000.24000001</v>
      </c>
      <c r="C22" s="287">
        <v>564321720.01999998</v>
      </c>
      <c r="D22" s="287">
        <v>511931163.42000002</v>
      </c>
      <c r="E22" s="287">
        <v>511931163.42000002</v>
      </c>
      <c r="F22" s="237">
        <f t="shared" si="0"/>
        <v>-52390556.599999964</v>
      </c>
      <c r="G22" s="236">
        <f t="shared" si="1"/>
        <v>-9.2838100575223681E-2</v>
      </c>
      <c r="K22" s="226"/>
      <c r="L22" s="226"/>
      <c r="M22" s="318"/>
    </row>
    <row r="23" spans="1:13" ht="11.1" customHeight="1" outlineLevel="6" x14ac:dyDescent="0.2">
      <c r="A23" s="239" t="s">
        <v>23</v>
      </c>
      <c r="B23" s="287">
        <v>96268492.870000005</v>
      </c>
      <c r="C23" s="287">
        <v>83613379.969999999</v>
      </c>
      <c r="D23" s="287">
        <v>72605755.069999993</v>
      </c>
      <c r="E23" s="287">
        <v>72605755.069999993</v>
      </c>
      <c r="F23" s="237">
        <f t="shared" si="0"/>
        <v>-11007624.900000006</v>
      </c>
      <c r="G23" s="236">
        <f t="shared" si="1"/>
        <v>-0.13164908420099131</v>
      </c>
      <c r="K23" s="226"/>
      <c r="L23" s="226"/>
      <c r="M23" s="318"/>
    </row>
    <row r="24" spans="1:13" ht="11.1" customHeight="1" outlineLevel="5" x14ac:dyDescent="0.2">
      <c r="A24" s="235" t="s">
        <v>24</v>
      </c>
      <c r="B24" s="287">
        <v>11273624.84</v>
      </c>
      <c r="C24" s="287">
        <v>16136453.789999999</v>
      </c>
      <c r="D24" s="287">
        <v>15302248.18</v>
      </c>
      <c r="E24" s="287">
        <v>15302248.18</v>
      </c>
      <c r="F24" s="237">
        <f t="shared" si="0"/>
        <v>-834205.6099999994</v>
      </c>
      <c r="G24" s="236">
        <f t="shared" si="1"/>
        <v>-5.1696960240233736E-2</v>
      </c>
      <c r="I24" s="221" t="s">
        <v>860</v>
      </c>
      <c r="J24" s="226">
        <f>ROUND(B35/1000,0)</f>
        <v>11928</v>
      </c>
      <c r="K24" s="226">
        <f>ROUND(C35/1000,0)</f>
        <v>20715</v>
      </c>
      <c r="L24" s="226">
        <f>ROUND(D35/1000,0)</f>
        <v>13182</v>
      </c>
      <c r="M24" s="318">
        <f t="shared" si="2"/>
        <v>-0.36364952932657491</v>
      </c>
    </row>
    <row r="25" spans="1:13" ht="11.1" customHeight="1" outlineLevel="4" x14ac:dyDescent="0.2">
      <c r="A25" s="234" t="s">
        <v>25</v>
      </c>
      <c r="B25" s="285">
        <v>728666264.60000002</v>
      </c>
      <c r="C25" s="285">
        <v>993201222.09000003</v>
      </c>
      <c r="D25" s="285">
        <v>1301836644.48</v>
      </c>
      <c r="E25" s="285">
        <v>1135721891.48</v>
      </c>
      <c r="F25" s="229">
        <f t="shared" si="0"/>
        <v>308635422.38999999</v>
      </c>
      <c r="G25" s="228">
        <f t="shared" si="1"/>
        <v>0.31074812991121425</v>
      </c>
      <c r="I25" s="221" t="s">
        <v>44</v>
      </c>
      <c r="J25" s="226">
        <f>ROUND(B44/1000,0)</f>
        <v>56897</v>
      </c>
      <c r="K25" s="226">
        <f>ROUND(C44/1000,0)</f>
        <v>23737</v>
      </c>
      <c r="L25" s="226">
        <f>ROUND(D44/1000,0)</f>
        <v>44853</v>
      </c>
      <c r="M25" s="318">
        <f t="shared" si="2"/>
        <v>0.88958166575388642</v>
      </c>
    </row>
    <row r="26" spans="1:13" ht="11.1" customHeight="1" outlineLevel="5" x14ac:dyDescent="0.2">
      <c r="A26" s="235" t="s">
        <v>26</v>
      </c>
      <c r="B26" s="287">
        <v>158131316.19</v>
      </c>
      <c r="C26" s="287">
        <v>141436034.55000001</v>
      </c>
      <c r="D26" s="287">
        <v>282217588.77999997</v>
      </c>
      <c r="E26" s="287">
        <v>282217588.77999997</v>
      </c>
      <c r="F26" s="237">
        <f t="shared" si="0"/>
        <v>140781554.22999996</v>
      </c>
      <c r="G26" s="236">
        <f t="shared" si="1"/>
        <v>0.99537260555923823</v>
      </c>
    </row>
    <row r="27" spans="1:13" ht="11.1" customHeight="1" outlineLevel="5" x14ac:dyDescent="0.2">
      <c r="A27" s="235" t="s">
        <v>816</v>
      </c>
      <c r="B27" s="287">
        <v>295412528.76999998</v>
      </c>
      <c r="C27" s="287">
        <v>522220720.26999998</v>
      </c>
      <c r="D27" s="287">
        <v>691082751.86000001</v>
      </c>
      <c r="E27" s="287">
        <v>524967998.86000001</v>
      </c>
      <c r="F27" s="237">
        <f t="shared" si="0"/>
        <v>168862031.59000003</v>
      </c>
      <c r="G27" s="236">
        <f t="shared" si="1"/>
        <v>0.32335375643979525</v>
      </c>
    </row>
    <row r="28" spans="1:13" ht="11.1" customHeight="1" outlineLevel="5" x14ac:dyDescent="0.2">
      <c r="A28" s="235" t="s">
        <v>28</v>
      </c>
      <c r="B28" s="287">
        <v>275122419.63999999</v>
      </c>
      <c r="C28" s="287">
        <v>329544467.26999998</v>
      </c>
      <c r="D28" s="287">
        <v>328536303.83999997</v>
      </c>
      <c r="E28" s="287">
        <v>328536303.83999997</v>
      </c>
      <c r="F28" s="237">
        <f t="shared" si="0"/>
        <v>-1008163.4300000072</v>
      </c>
      <c r="G28" s="236">
        <f t="shared" si="1"/>
        <v>-3.0592637113643351E-3</v>
      </c>
    </row>
    <row r="29" spans="1:13" ht="11.1" customHeight="1" outlineLevel="4" x14ac:dyDescent="0.2">
      <c r="A29" s="234" t="s">
        <v>29</v>
      </c>
      <c r="B29" s="285">
        <v>685235037.65999997</v>
      </c>
      <c r="C29" s="285">
        <v>744547971.74000001</v>
      </c>
      <c r="D29" s="285">
        <v>717528768.99000001</v>
      </c>
      <c r="E29" s="285">
        <v>717528768.99000001</v>
      </c>
      <c r="F29" s="229">
        <f t="shared" si="0"/>
        <v>-27019202.75</v>
      </c>
      <c r="G29" s="228">
        <f t="shared" si="1"/>
        <v>-3.6289404814113468E-2</v>
      </c>
    </row>
    <row r="30" spans="1:13" ht="11.1" customHeight="1" outlineLevel="5" x14ac:dyDescent="0.2">
      <c r="A30" s="235" t="s">
        <v>30</v>
      </c>
      <c r="B30" s="287">
        <v>562413886.09000003</v>
      </c>
      <c r="C30" s="287">
        <v>611452809.23000002</v>
      </c>
      <c r="D30" s="287">
        <v>547779286.74000001</v>
      </c>
      <c r="E30" s="287">
        <v>547779286.74000001</v>
      </c>
      <c r="F30" s="237">
        <f t="shared" si="0"/>
        <v>-63673522.49000001</v>
      </c>
      <c r="G30" s="236">
        <f t="shared" si="1"/>
        <v>-0.10413481061634799</v>
      </c>
    </row>
    <row r="31" spans="1:13" ht="11.1" customHeight="1" outlineLevel="5" x14ac:dyDescent="0.2">
      <c r="A31" s="235" t="s">
        <v>31</v>
      </c>
      <c r="B31" s="287">
        <v>110600729.54000001</v>
      </c>
      <c r="C31" s="287">
        <v>122950003.06</v>
      </c>
      <c r="D31" s="287">
        <v>152793363.55000001</v>
      </c>
      <c r="E31" s="287">
        <v>152793363.55000001</v>
      </c>
      <c r="F31" s="237">
        <f t="shared" si="0"/>
        <v>29843360.49000001</v>
      </c>
      <c r="G31" s="236">
        <f t="shared" si="1"/>
        <v>0.24272761079506733</v>
      </c>
    </row>
    <row r="32" spans="1:13" ht="11.1" customHeight="1" outlineLevel="5" x14ac:dyDescent="0.2">
      <c r="A32" s="235" t="s">
        <v>817</v>
      </c>
      <c r="B32" s="287">
        <v>12220422.029999999</v>
      </c>
      <c r="C32" s="287">
        <v>10145159.449999999</v>
      </c>
      <c r="D32" s="287">
        <v>16956118.699999999</v>
      </c>
      <c r="E32" s="287">
        <v>16956118.699999999</v>
      </c>
      <c r="F32" s="237">
        <f t="shared" si="0"/>
        <v>6810959.25</v>
      </c>
      <c r="G32" s="236">
        <f t="shared" si="1"/>
        <v>0.67135063609079104</v>
      </c>
    </row>
    <row r="33" spans="1:7" ht="11.1" customHeight="1" outlineLevel="4" x14ac:dyDescent="0.2">
      <c r="A33" s="240" t="s">
        <v>33</v>
      </c>
      <c r="B33" s="287">
        <v>218502577.25</v>
      </c>
      <c r="C33" s="287">
        <v>276663761.44999999</v>
      </c>
      <c r="D33" s="287">
        <v>246139417.12</v>
      </c>
      <c r="E33" s="287">
        <v>246139417.12</v>
      </c>
      <c r="F33" s="237">
        <f t="shared" si="0"/>
        <v>-30524344.329999983</v>
      </c>
      <c r="G33" s="236">
        <f t="shared" si="1"/>
        <v>-0.11033011396223824</v>
      </c>
    </row>
    <row r="34" spans="1:7" ht="11.1" customHeight="1" outlineLevel="4" x14ac:dyDescent="0.2">
      <c r="A34" s="240" t="s">
        <v>34</v>
      </c>
      <c r="B34" s="287">
        <v>55765004.450000003</v>
      </c>
      <c r="C34" s="287">
        <v>62250571.579999998</v>
      </c>
      <c r="D34" s="287">
        <v>65228725.479999997</v>
      </c>
      <c r="E34" s="287">
        <v>65228725.479999997</v>
      </c>
      <c r="F34" s="237">
        <f t="shared" si="0"/>
        <v>2978153.8999999985</v>
      </c>
      <c r="G34" s="236">
        <f t="shared" si="1"/>
        <v>4.7841390438844167E-2</v>
      </c>
    </row>
    <row r="35" spans="1:7" ht="11.1" customHeight="1" outlineLevel="4" x14ac:dyDescent="0.2">
      <c r="A35" s="234" t="s">
        <v>35</v>
      </c>
      <c r="B35" s="285">
        <v>11928082.91</v>
      </c>
      <c r="C35" s="285">
        <v>20715385.350000001</v>
      </c>
      <c r="D35" s="285">
        <v>13182178.91</v>
      </c>
      <c r="E35" s="285">
        <v>13182178.91</v>
      </c>
      <c r="F35" s="229">
        <f t="shared" si="0"/>
        <v>-7533206.4400000013</v>
      </c>
      <c r="G35" s="228">
        <f t="shared" si="1"/>
        <v>-0.36365273021580558</v>
      </c>
    </row>
    <row r="36" spans="1:7" ht="11.1" customHeight="1" outlineLevel="5" x14ac:dyDescent="0.2">
      <c r="A36" s="235" t="s">
        <v>36</v>
      </c>
      <c r="B36" s="287">
        <v>1776783.08</v>
      </c>
      <c r="C36" s="287">
        <v>4994889.55</v>
      </c>
      <c r="D36" s="287">
        <v>1297946.28</v>
      </c>
      <c r="E36" s="287">
        <v>1297946.28</v>
      </c>
      <c r="F36" s="237">
        <f t="shared" si="0"/>
        <v>-3696943.2699999996</v>
      </c>
      <c r="G36" s="236">
        <f t="shared" si="1"/>
        <v>-0.74014514895529571</v>
      </c>
    </row>
    <row r="37" spans="1:7" ht="11.1" customHeight="1" outlineLevel="5" x14ac:dyDescent="0.2">
      <c r="A37" s="235" t="s">
        <v>37</v>
      </c>
      <c r="B37" s="287">
        <v>9819488.7799999993</v>
      </c>
      <c r="C37" s="287">
        <v>10020935.6</v>
      </c>
      <c r="D37" s="287">
        <v>9363755.1799999997</v>
      </c>
      <c r="E37" s="287">
        <v>9363755.1799999997</v>
      </c>
      <c r="F37" s="237">
        <f t="shared" si="0"/>
        <v>-657180.41999999993</v>
      </c>
      <c r="G37" s="236">
        <f t="shared" si="1"/>
        <v>-6.558074477596687E-2</v>
      </c>
    </row>
    <row r="38" spans="1:7" ht="11.1" customHeight="1" outlineLevel="5" x14ac:dyDescent="0.2">
      <c r="A38" s="235" t="s">
        <v>38</v>
      </c>
      <c r="B38" s="287">
        <v>331811.05</v>
      </c>
      <c r="C38" s="287">
        <v>5699560.2000000002</v>
      </c>
      <c r="D38" s="287">
        <v>2520477.4500000002</v>
      </c>
      <c r="E38" s="287">
        <v>2520477.4500000002</v>
      </c>
      <c r="F38" s="237">
        <f t="shared" si="0"/>
        <v>-3179082.75</v>
      </c>
      <c r="G38" s="236">
        <f t="shared" si="1"/>
        <v>-0.55777685267715915</v>
      </c>
    </row>
    <row r="39" spans="1:7" ht="11.1" customHeight="1" outlineLevel="3" x14ac:dyDescent="0.2">
      <c r="A39" s="241" t="s">
        <v>39</v>
      </c>
      <c r="B39" s="285">
        <v>55050693.789999999</v>
      </c>
      <c r="C39" s="285">
        <v>91690541.530000001</v>
      </c>
      <c r="D39" s="285">
        <v>91990220.579999998</v>
      </c>
      <c r="E39" s="285">
        <v>91990220.579999998</v>
      </c>
      <c r="F39" s="229">
        <f t="shared" si="0"/>
        <v>299679.04999999702</v>
      </c>
      <c r="G39" s="228">
        <f t="shared" si="1"/>
        <v>3.2683747418149611E-3</v>
      </c>
    </row>
    <row r="40" spans="1:7" ht="11.1" customHeight="1" outlineLevel="4" x14ac:dyDescent="0.2">
      <c r="A40" s="240" t="s">
        <v>40</v>
      </c>
      <c r="B40" s="287">
        <v>33842545.719999999</v>
      </c>
      <c r="C40" s="287">
        <v>73146541.549999997</v>
      </c>
      <c r="D40" s="287">
        <v>72094108.219999999</v>
      </c>
      <c r="E40" s="287">
        <v>72094108.219999999</v>
      </c>
      <c r="F40" s="237">
        <f t="shared" si="0"/>
        <v>-1052433.3299999982</v>
      </c>
      <c r="G40" s="236">
        <f t="shared" si="1"/>
        <v>-1.4388012169797459E-2</v>
      </c>
    </row>
    <row r="41" spans="1:7" ht="11.1" customHeight="1" outlineLevel="4" x14ac:dyDescent="0.2">
      <c r="A41" s="240" t="s">
        <v>41</v>
      </c>
      <c r="B41" s="287">
        <v>17953748.890000001</v>
      </c>
      <c r="C41" s="287">
        <v>16264000</v>
      </c>
      <c r="D41" s="287">
        <v>15367096.130000001</v>
      </c>
      <c r="E41" s="287">
        <v>15367096.130000001</v>
      </c>
      <c r="F41" s="237">
        <f t="shared" si="0"/>
        <v>-896903.86999999918</v>
      </c>
      <c r="G41" s="236">
        <f t="shared" si="1"/>
        <v>-5.5146573413674349E-2</v>
      </c>
    </row>
    <row r="42" spans="1:7" ht="11.1" customHeight="1" outlineLevel="4" x14ac:dyDescent="0.2">
      <c r="A42" s="240" t="s">
        <v>42</v>
      </c>
      <c r="B42" s="287">
        <v>160416.65</v>
      </c>
      <c r="C42" s="287">
        <v>252499.98</v>
      </c>
      <c r="D42" s="287">
        <v>192499.98</v>
      </c>
      <c r="E42" s="287">
        <v>192499.98</v>
      </c>
      <c r="F42" s="237">
        <f t="shared" si="0"/>
        <v>-60000</v>
      </c>
      <c r="G42" s="236">
        <f t="shared" si="1"/>
        <v>-0.23762378119792327</v>
      </c>
    </row>
    <row r="43" spans="1:7" ht="11.1" customHeight="1" outlineLevel="4" x14ac:dyDescent="0.2">
      <c r="A43" s="240" t="s">
        <v>43</v>
      </c>
      <c r="B43" s="287">
        <v>3093982.53</v>
      </c>
      <c r="C43" s="287">
        <v>2027500</v>
      </c>
      <c r="D43" s="287">
        <v>4336516.25</v>
      </c>
      <c r="E43" s="287">
        <v>4336516.25</v>
      </c>
      <c r="F43" s="237">
        <f t="shared" si="0"/>
        <v>2309016.25</v>
      </c>
      <c r="G43" s="236">
        <f t="shared" si="1"/>
        <v>1.1388489519112208</v>
      </c>
    </row>
    <row r="44" spans="1:7" ht="11.1" customHeight="1" outlineLevel="3" x14ac:dyDescent="0.2">
      <c r="A44" s="241" t="s">
        <v>44</v>
      </c>
      <c r="B44" s="285">
        <v>56896558.469999999</v>
      </c>
      <c r="C44" s="285">
        <v>23736546.82</v>
      </c>
      <c r="D44" s="285">
        <v>44852652.939999998</v>
      </c>
      <c r="E44" s="285">
        <v>44852652.939999998</v>
      </c>
      <c r="F44" s="229">
        <f t="shared" si="0"/>
        <v>21116106.119999997</v>
      </c>
    </row>
    <row r="45" spans="1:7" ht="11.1" customHeight="1" outlineLevel="4" x14ac:dyDescent="0.2">
      <c r="A45" s="234" t="s">
        <v>45</v>
      </c>
      <c r="B45" s="285">
        <v>7522763.7699999996</v>
      </c>
      <c r="C45" s="285">
        <v>17285601.239999998</v>
      </c>
      <c r="D45" s="285">
        <v>8447910.4600000009</v>
      </c>
      <c r="E45" s="285">
        <v>8447910.4600000009</v>
      </c>
      <c r="F45" s="229">
        <f t="shared" si="0"/>
        <v>-8837690.7799999975</v>
      </c>
      <c r="G45" s="228">
        <f t="shared" si="1"/>
        <v>-0.51127471109011879</v>
      </c>
    </row>
    <row r="46" spans="1:7" ht="11.1" customHeight="1" outlineLevel="5" x14ac:dyDescent="0.2">
      <c r="A46" s="235" t="s">
        <v>46</v>
      </c>
      <c r="B46" s="287">
        <v>6991965.5599999996</v>
      </c>
      <c r="C46" s="287">
        <v>9000000</v>
      </c>
      <c r="D46" s="287">
        <v>8372845.1100000003</v>
      </c>
      <c r="E46" s="287">
        <v>8372845.1100000003</v>
      </c>
      <c r="F46" s="237">
        <f t="shared" si="0"/>
        <v>-627154.88999999966</v>
      </c>
      <c r="G46" s="236">
        <f t="shared" si="1"/>
        <v>-6.9683876666666644E-2</v>
      </c>
    </row>
    <row r="47" spans="1:7" ht="11.1" customHeight="1" outlineLevel="5" x14ac:dyDescent="0.2">
      <c r="A47" s="235" t="s">
        <v>47</v>
      </c>
      <c r="B47" s="287">
        <v>18291.52</v>
      </c>
      <c r="C47" s="287">
        <v>17800</v>
      </c>
      <c r="D47" s="287">
        <v>62599.54</v>
      </c>
      <c r="E47" s="287">
        <v>62599.54</v>
      </c>
      <c r="F47" s="237">
        <f t="shared" si="0"/>
        <v>44799.54</v>
      </c>
      <c r="G47" s="236">
        <f t="shared" si="1"/>
        <v>2.5168280898876403</v>
      </c>
    </row>
    <row r="48" spans="1:7" ht="11.1" customHeight="1" outlineLevel="5" x14ac:dyDescent="0.2">
      <c r="A48" s="235" t="s">
        <v>48</v>
      </c>
      <c r="B48" s="287">
        <v>281166.67</v>
      </c>
      <c r="C48" s="287">
        <v>8267801.2400000002</v>
      </c>
      <c r="D48" s="287"/>
      <c r="E48" s="287"/>
      <c r="F48" s="237">
        <f t="shared" si="0"/>
        <v>-8267801.2400000002</v>
      </c>
      <c r="G48" s="236">
        <f t="shared" si="1"/>
        <v>-1</v>
      </c>
    </row>
    <row r="49" spans="1:7" ht="11.1" customHeight="1" outlineLevel="5" x14ac:dyDescent="0.2">
      <c r="A49" s="235" t="s">
        <v>49</v>
      </c>
      <c r="B49" s="287"/>
      <c r="C49" s="287"/>
      <c r="D49" s="287"/>
      <c r="E49" s="287"/>
      <c r="F49" s="237">
        <f t="shared" si="0"/>
        <v>0</v>
      </c>
      <c r="G49" s="236" t="e">
        <f t="shared" si="1"/>
        <v>#DIV/0!</v>
      </c>
    </row>
    <row r="50" spans="1:7" ht="11.1" customHeight="1" outlineLevel="5" x14ac:dyDescent="0.2">
      <c r="A50" s="235" t="s">
        <v>50</v>
      </c>
      <c r="B50" s="287">
        <v>231340.02</v>
      </c>
      <c r="C50" s="287"/>
      <c r="D50" s="287">
        <v>12465.81</v>
      </c>
      <c r="E50" s="287">
        <v>12465.81</v>
      </c>
      <c r="F50" s="237">
        <f t="shared" si="0"/>
        <v>12465.81</v>
      </c>
      <c r="G50" s="236" t="e">
        <f t="shared" si="1"/>
        <v>#DIV/0!</v>
      </c>
    </row>
    <row r="51" spans="1:7" ht="11.1" customHeight="1" outlineLevel="4" x14ac:dyDescent="0.2">
      <c r="A51" s="240" t="s">
        <v>51</v>
      </c>
      <c r="B51" s="287">
        <v>541714.51</v>
      </c>
      <c r="C51" s="287"/>
      <c r="D51" s="287">
        <v>289882.17</v>
      </c>
      <c r="E51" s="287">
        <v>289882.17</v>
      </c>
      <c r="F51" s="237">
        <f t="shared" si="0"/>
        <v>289882.17</v>
      </c>
      <c r="G51" s="236" t="e">
        <f t="shared" si="1"/>
        <v>#DIV/0!</v>
      </c>
    </row>
    <row r="52" spans="1:7" ht="11.1" customHeight="1" outlineLevel="4" x14ac:dyDescent="0.2">
      <c r="A52" s="240" t="s">
        <v>52</v>
      </c>
      <c r="B52" s="287">
        <v>3820722.81</v>
      </c>
      <c r="C52" s="287"/>
      <c r="D52" s="287">
        <v>4658070.1100000003</v>
      </c>
      <c r="E52" s="287">
        <v>4658070.1100000003</v>
      </c>
      <c r="F52" s="237">
        <f t="shared" si="0"/>
        <v>4658070.1100000003</v>
      </c>
      <c r="G52" s="236" t="e">
        <f t="shared" si="1"/>
        <v>#DIV/0!</v>
      </c>
    </row>
    <row r="53" spans="1:7" ht="11.1" customHeight="1" outlineLevel="4" x14ac:dyDescent="0.2">
      <c r="A53" s="240" t="s">
        <v>53</v>
      </c>
      <c r="B53" s="287">
        <v>211411.98</v>
      </c>
      <c r="C53" s="287"/>
      <c r="D53" s="287">
        <v>1505050.89</v>
      </c>
      <c r="E53" s="287">
        <v>1505050.89</v>
      </c>
      <c r="F53" s="237">
        <f t="shared" si="0"/>
        <v>1505050.89</v>
      </c>
      <c r="G53" s="236" t="e">
        <f t="shared" si="1"/>
        <v>#DIV/0!</v>
      </c>
    </row>
    <row r="54" spans="1:7" ht="11.1" customHeight="1" outlineLevel="4" x14ac:dyDescent="0.2">
      <c r="A54" s="240" t="s">
        <v>54</v>
      </c>
      <c r="B54" s="287">
        <v>645011.98</v>
      </c>
      <c r="C54" s="287">
        <v>572045.6</v>
      </c>
      <c r="D54" s="287">
        <v>15177322.390000001</v>
      </c>
      <c r="E54" s="287">
        <v>15177322.390000001</v>
      </c>
      <c r="F54" s="237">
        <f t="shared" si="0"/>
        <v>14605276.790000001</v>
      </c>
      <c r="G54" s="236">
        <f t="shared" si="1"/>
        <v>25.531665290319516</v>
      </c>
    </row>
    <row r="55" spans="1:7" ht="11.1" customHeight="1" outlineLevel="4" x14ac:dyDescent="0.2">
      <c r="A55" s="240" t="s">
        <v>55</v>
      </c>
      <c r="B55" s="287"/>
      <c r="C55" s="287"/>
      <c r="D55" s="287"/>
      <c r="E55" s="287"/>
      <c r="F55" s="237">
        <f t="shared" si="0"/>
        <v>0</v>
      </c>
      <c r="G55" s="236" t="e">
        <f t="shared" si="1"/>
        <v>#DIV/0!</v>
      </c>
    </row>
    <row r="56" spans="1:7" ht="11.1" customHeight="1" outlineLevel="4" x14ac:dyDescent="0.2">
      <c r="A56" s="240" t="s">
        <v>56</v>
      </c>
      <c r="B56" s="287">
        <v>44154247.75</v>
      </c>
      <c r="C56" s="287">
        <v>5878899.9800000004</v>
      </c>
      <c r="D56" s="287">
        <v>14306525.119999999</v>
      </c>
      <c r="E56" s="287">
        <v>14306525.119999999</v>
      </c>
      <c r="F56" s="237">
        <f t="shared" si="0"/>
        <v>8427625.1399999987</v>
      </c>
      <c r="G56" s="236">
        <f t="shared" si="1"/>
        <v>1.4335377653422841</v>
      </c>
    </row>
    <row r="57" spans="1:7" ht="11.1" customHeight="1" outlineLevel="4" x14ac:dyDescent="0.2">
      <c r="A57" s="240" t="s">
        <v>57</v>
      </c>
      <c r="B57" s="287"/>
      <c r="C57" s="287"/>
      <c r="D57" s="287"/>
      <c r="E57" s="287"/>
      <c r="F57" s="237">
        <f t="shared" si="0"/>
        <v>0</v>
      </c>
      <c r="G57" s="236" t="e">
        <f t="shared" si="1"/>
        <v>#DIV/0!</v>
      </c>
    </row>
    <row r="58" spans="1:7" ht="11.1" customHeight="1" outlineLevel="4" x14ac:dyDescent="0.2">
      <c r="A58" s="240" t="s">
        <v>58</v>
      </c>
      <c r="B58" s="287">
        <v>685.67</v>
      </c>
      <c r="C58" s="287"/>
      <c r="D58" s="287">
        <v>467891.8</v>
      </c>
      <c r="E58" s="287">
        <v>467891.8</v>
      </c>
      <c r="F58" s="237">
        <f t="shared" si="0"/>
        <v>467891.8</v>
      </c>
      <c r="G58" s="236" t="e">
        <f t="shared" si="1"/>
        <v>#DIV/0!</v>
      </c>
    </row>
    <row r="59" spans="1:7" ht="11.1" customHeight="1" outlineLevel="3" x14ac:dyDescent="0.2">
      <c r="A59" s="241" t="s">
        <v>59</v>
      </c>
      <c r="B59" s="285"/>
      <c r="C59" s="285"/>
      <c r="D59" s="285"/>
      <c r="E59" s="285"/>
      <c r="F59" s="229">
        <f t="shared" si="0"/>
        <v>0</v>
      </c>
      <c r="G59" s="228">
        <v>0</v>
      </c>
    </row>
    <row r="60" spans="1:7" ht="11.1" customHeight="1" outlineLevel="4" x14ac:dyDescent="0.2">
      <c r="A60" s="234" t="s">
        <v>60</v>
      </c>
      <c r="B60" s="285">
        <v>200261815.71000001</v>
      </c>
      <c r="C60" s="285">
        <v>114416252.66</v>
      </c>
      <c r="D60" s="285">
        <v>160376061.16999999</v>
      </c>
      <c r="E60" s="285">
        <v>156409394.16999999</v>
      </c>
      <c r="F60" s="229">
        <f t="shared" si="0"/>
        <v>45959808.50999999</v>
      </c>
      <c r="G60" s="228">
        <f t="shared" si="1"/>
        <v>0.40168951037554446</v>
      </c>
    </row>
    <row r="61" spans="1:7" ht="11.1" customHeight="1" outlineLevel="5" x14ac:dyDescent="0.2">
      <c r="A61" s="238" t="s">
        <v>61</v>
      </c>
      <c r="B61" s="285">
        <v>55519692.740000002</v>
      </c>
      <c r="C61" s="285">
        <v>3052716.94</v>
      </c>
      <c r="D61" s="285">
        <v>72549729.370000005</v>
      </c>
      <c r="E61" s="285">
        <v>68583062.370000005</v>
      </c>
      <c r="F61" s="229">
        <f t="shared" si="0"/>
        <v>69497012.430000007</v>
      </c>
      <c r="G61" s="228">
        <f t="shared" si="1"/>
        <v>22.765626095028647</v>
      </c>
    </row>
    <row r="62" spans="1:7" ht="11.1" customHeight="1" outlineLevel="6" x14ac:dyDescent="0.2">
      <c r="A62" s="239" t="s">
        <v>62</v>
      </c>
      <c r="B62" s="287">
        <v>21119845.280000001</v>
      </c>
      <c r="C62" s="287"/>
      <c r="D62" s="287">
        <v>5355704.3600000003</v>
      </c>
      <c r="E62" s="287">
        <v>5355704.3600000003</v>
      </c>
      <c r="F62" s="237">
        <f t="shared" si="0"/>
        <v>5355704.3600000003</v>
      </c>
      <c r="G62" s="236" t="e">
        <f t="shared" si="1"/>
        <v>#DIV/0!</v>
      </c>
    </row>
    <row r="63" spans="1:7" ht="11.1" customHeight="1" outlineLevel="6" x14ac:dyDescent="0.2">
      <c r="A63" s="239" t="s">
        <v>63</v>
      </c>
      <c r="B63" s="287">
        <v>10568985.529999999</v>
      </c>
      <c r="C63" s="287">
        <v>797702</v>
      </c>
      <c r="D63" s="287">
        <v>51104197.020000003</v>
      </c>
      <c r="E63" s="287">
        <v>47137530.020000003</v>
      </c>
      <c r="F63" s="237">
        <f t="shared" si="0"/>
        <v>50306495.020000003</v>
      </c>
      <c r="G63" s="236">
        <f t="shared" si="1"/>
        <v>63.064270893140545</v>
      </c>
    </row>
    <row r="64" spans="1:7" ht="11.1" customHeight="1" outlineLevel="6" x14ac:dyDescent="0.2">
      <c r="A64" s="239" t="s">
        <v>64</v>
      </c>
      <c r="B64" s="287">
        <v>23830861.93</v>
      </c>
      <c r="C64" s="287">
        <v>2255014.94</v>
      </c>
      <c r="D64" s="287">
        <v>16089827.99</v>
      </c>
      <c r="E64" s="287">
        <v>16089827.99</v>
      </c>
      <c r="F64" s="237">
        <f t="shared" si="0"/>
        <v>13834813.050000001</v>
      </c>
      <c r="G64" s="236">
        <f t="shared" si="1"/>
        <v>6.13513143731101</v>
      </c>
    </row>
    <row r="65" spans="1:7" ht="11.1" customHeight="1" outlineLevel="5" x14ac:dyDescent="0.2">
      <c r="A65" s="238" t="s">
        <v>65</v>
      </c>
      <c r="B65" s="285">
        <v>8543412.8900000006</v>
      </c>
      <c r="C65" s="285">
        <v>4475112</v>
      </c>
      <c r="D65" s="285">
        <v>6024006.1600000001</v>
      </c>
      <c r="E65" s="285">
        <v>6024006.1600000001</v>
      </c>
      <c r="F65" s="229">
        <f t="shared" si="0"/>
        <v>1548894.1600000001</v>
      </c>
      <c r="G65" s="228">
        <f t="shared" si="1"/>
        <v>0.34611293750860317</v>
      </c>
    </row>
    <row r="66" spans="1:7" ht="11.1" customHeight="1" outlineLevel="6" x14ac:dyDescent="0.2">
      <c r="A66" s="239" t="s">
        <v>66</v>
      </c>
      <c r="B66" s="287">
        <v>1285776.33</v>
      </c>
      <c r="C66" s="287">
        <v>517668</v>
      </c>
      <c r="D66" s="287">
        <v>1360219.93</v>
      </c>
      <c r="E66" s="287">
        <v>1360219.93</v>
      </c>
      <c r="F66" s="237">
        <f t="shared" si="0"/>
        <v>842551.92999999993</v>
      </c>
      <c r="G66" s="236">
        <f t="shared" si="1"/>
        <v>1.6275912940340138</v>
      </c>
    </row>
    <row r="67" spans="1:7" ht="11.1" customHeight="1" outlineLevel="6" x14ac:dyDescent="0.2">
      <c r="A67" s="239" t="s">
        <v>67</v>
      </c>
      <c r="B67" s="287">
        <v>5537516.8899999997</v>
      </c>
      <c r="C67" s="287">
        <v>2715390</v>
      </c>
      <c r="D67" s="287">
        <v>4572735.49</v>
      </c>
      <c r="E67" s="287">
        <v>4572735.49</v>
      </c>
      <c r="F67" s="237">
        <f t="shared" si="0"/>
        <v>1857345.4900000002</v>
      </c>
      <c r="G67" s="236">
        <f t="shared" si="1"/>
        <v>0.68400689772003287</v>
      </c>
    </row>
    <row r="68" spans="1:7" ht="11.1" customHeight="1" outlineLevel="6" x14ac:dyDescent="0.2">
      <c r="A68" s="239" t="s">
        <v>68</v>
      </c>
      <c r="B68" s="287">
        <v>1720119.67</v>
      </c>
      <c r="C68" s="287">
        <v>1242054</v>
      </c>
      <c r="D68" s="287">
        <v>91050.74</v>
      </c>
      <c r="E68" s="287">
        <v>91050.74</v>
      </c>
      <c r="F68" s="237">
        <f t="shared" si="0"/>
        <v>-1151003.26</v>
      </c>
      <c r="G68" s="236">
        <f t="shared" si="1"/>
        <v>-0.92669341268576089</v>
      </c>
    </row>
    <row r="69" spans="1:7" ht="11.1" customHeight="1" outlineLevel="5" x14ac:dyDescent="0.2">
      <c r="A69" s="238" t="s">
        <v>69</v>
      </c>
      <c r="B69" s="285">
        <v>5615550.3799999999</v>
      </c>
      <c r="C69" s="285">
        <v>768438</v>
      </c>
      <c r="D69" s="285">
        <v>4141753.91</v>
      </c>
      <c r="E69" s="285">
        <v>4141753.91</v>
      </c>
      <c r="F69" s="229">
        <f t="shared" si="0"/>
        <v>3373315.91</v>
      </c>
      <c r="G69" s="228">
        <f t="shared" si="1"/>
        <v>4.3898348467931054</v>
      </c>
    </row>
    <row r="70" spans="1:7" ht="11.1" customHeight="1" outlineLevel="6" x14ac:dyDescent="0.2">
      <c r="A70" s="239" t="s">
        <v>70</v>
      </c>
      <c r="B70" s="287">
        <v>428893.86</v>
      </c>
      <c r="C70" s="287"/>
      <c r="D70" s="287">
        <v>732085.41</v>
      </c>
      <c r="E70" s="287">
        <v>732085.41</v>
      </c>
      <c r="F70" s="237">
        <f t="shared" si="0"/>
        <v>732085.41</v>
      </c>
      <c r="G70" s="236" t="e">
        <f t="shared" si="1"/>
        <v>#DIV/0!</v>
      </c>
    </row>
    <row r="71" spans="1:7" ht="11.1" customHeight="1" outlineLevel="6" x14ac:dyDescent="0.2">
      <c r="A71" s="239" t="s">
        <v>71</v>
      </c>
      <c r="B71" s="287">
        <v>391433.58</v>
      </c>
      <c r="C71" s="287"/>
      <c r="D71" s="287">
        <v>937379.49</v>
      </c>
      <c r="E71" s="287">
        <v>937379.49</v>
      </c>
      <c r="F71" s="237">
        <f t="shared" si="0"/>
        <v>937379.49</v>
      </c>
      <c r="G71" s="236" t="e">
        <f t="shared" si="1"/>
        <v>#DIV/0!</v>
      </c>
    </row>
    <row r="72" spans="1:7" ht="11.1" customHeight="1" outlineLevel="6" x14ac:dyDescent="0.2">
      <c r="A72" s="239" t="s">
        <v>72</v>
      </c>
      <c r="B72" s="287">
        <v>4795222.9400000004</v>
      </c>
      <c r="C72" s="287">
        <v>768438</v>
      </c>
      <c r="D72" s="287">
        <v>2472289.0099999998</v>
      </c>
      <c r="E72" s="287">
        <v>2472289.0099999998</v>
      </c>
      <c r="F72" s="237">
        <f t="shared" ref="F72:F135" si="3">D72-C72</f>
        <v>1703851.0099999998</v>
      </c>
      <c r="G72" s="236">
        <f t="shared" si="1"/>
        <v>2.2172914535720509</v>
      </c>
    </row>
    <row r="73" spans="1:7" ht="11.1" customHeight="1" outlineLevel="5" x14ac:dyDescent="0.2">
      <c r="A73" s="238" t="s">
        <v>73</v>
      </c>
      <c r="B73" s="285">
        <v>126771974.66</v>
      </c>
      <c r="C73" s="285">
        <v>102752203.72</v>
      </c>
      <c r="D73" s="285">
        <v>74313229.689999998</v>
      </c>
      <c r="E73" s="285">
        <v>74313229.689999998</v>
      </c>
      <c r="F73" s="229">
        <f t="shared" si="3"/>
        <v>-28438974.030000001</v>
      </c>
      <c r="G73" s="228">
        <f t="shared" ref="G73:G118" si="4">D73/C73-1</f>
        <v>-0.27677240001096493</v>
      </c>
    </row>
    <row r="74" spans="1:7" ht="11.1" customHeight="1" outlineLevel="6" x14ac:dyDescent="0.2">
      <c r="A74" s="242" t="s">
        <v>74</v>
      </c>
      <c r="B74" s="285">
        <v>17939731.5</v>
      </c>
      <c r="C74" s="285">
        <v>39565808</v>
      </c>
      <c r="D74" s="285">
        <v>16126285.02</v>
      </c>
      <c r="E74" s="285">
        <v>16126285.02</v>
      </c>
      <c r="F74" s="229">
        <f t="shared" si="3"/>
        <v>-23439522.98</v>
      </c>
      <c r="G74" s="228">
        <f t="shared" si="4"/>
        <v>-0.59241866057682935</v>
      </c>
    </row>
    <row r="75" spans="1:7" ht="11.1" customHeight="1" outlineLevel="7" x14ac:dyDescent="0.2">
      <c r="A75" s="243" t="s">
        <v>75</v>
      </c>
      <c r="B75" s="287">
        <v>2813047.42</v>
      </c>
      <c r="C75" s="287">
        <v>6800628</v>
      </c>
      <c r="D75" s="287">
        <v>1672060.85</v>
      </c>
      <c r="E75" s="287">
        <v>1672060.85</v>
      </c>
      <c r="F75" s="237">
        <f t="shared" si="3"/>
        <v>-5128567.1500000004</v>
      </c>
      <c r="G75" s="236">
        <f t="shared" si="4"/>
        <v>-0.75413140521728284</v>
      </c>
    </row>
    <row r="76" spans="1:7" ht="11.1" customHeight="1" outlineLevel="7" x14ac:dyDescent="0.2">
      <c r="A76" s="243" t="s">
        <v>76</v>
      </c>
      <c r="B76" s="287">
        <v>7943079.3600000003</v>
      </c>
      <c r="C76" s="287">
        <v>3575496</v>
      </c>
      <c r="D76" s="287">
        <v>4295021.96</v>
      </c>
      <c r="E76" s="287">
        <v>4295021.96</v>
      </c>
      <c r="F76" s="237">
        <f t="shared" si="3"/>
        <v>719525.96</v>
      </c>
      <c r="G76" s="236">
        <f t="shared" si="4"/>
        <v>0.20123808277229238</v>
      </c>
    </row>
    <row r="77" spans="1:7" ht="11.1" customHeight="1" outlineLevel="7" x14ac:dyDescent="0.2">
      <c r="A77" s="243" t="s">
        <v>77</v>
      </c>
      <c r="B77" s="287">
        <v>7183604.7199999997</v>
      </c>
      <c r="C77" s="287">
        <v>29189684</v>
      </c>
      <c r="D77" s="287">
        <v>10159202.210000001</v>
      </c>
      <c r="E77" s="287">
        <v>10159202.210000001</v>
      </c>
      <c r="F77" s="237">
        <f t="shared" si="3"/>
        <v>-19030481.789999999</v>
      </c>
      <c r="G77" s="236">
        <f t="shared" si="4"/>
        <v>-0.65195915755716982</v>
      </c>
    </row>
    <row r="78" spans="1:7" ht="11.1" customHeight="1" outlineLevel="6" x14ac:dyDescent="0.2">
      <c r="A78" s="242" t="s">
        <v>78</v>
      </c>
      <c r="B78" s="285">
        <v>108803511.72</v>
      </c>
      <c r="C78" s="285">
        <v>63186395.719999999</v>
      </c>
      <c r="D78" s="285">
        <v>58186944.670000002</v>
      </c>
      <c r="E78" s="285">
        <v>58186944.670000002</v>
      </c>
      <c r="F78" s="229">
        <f t="shared" si="3"/>
        <v>-4999451.049999997</v>
      </c>
      <c r="G78" s="228">
        <f t="shared" si="4"/>
        <v>-7.9122269802414991E-2</v>
      </c>
    </row>
    <row r="79" spans="1:7" ht="11.1" customHeight="1" outlineLevel="7" x14ac:dyDescent="0.2">
      <c r="A79" s="243" t="s">
        <v>79</v>
      </c>
      <c r="B79" s="287">
        <v>35713823.649999999</v>
      </c>
      <c r="C79" s="287"/>
      <c r="D79" s="287">
        <v>366430.92</v>
      </c>
      <c r="E79" s="287">
        <v>366430.92</v>
      </c>
      <c r="F79" s="237">
        <f t="shared" si="3"/>
        <v>366430.92</v>
      </c>
      <c r="G79" s="236" t="e">
        <f t="shared" si="4"/>
        <v>#DIV/0!</v>
      </c>
    </row>
    <row r="80" spans="1:7" ht="11.1" customHeight="1" outlineLevel="7" x14ac:dyDescent="0.2">
      <c r="A80" s="243" t="s">
        <v>80</v>
      </c>
      <c r="B80" s="287">
        <v>70856510.680000007</v>
      </c>
      <c r="C80" s="287">
        <v>62938055.719999999</v>
      </c>
      <c r="D80" s="287">
        <v>54448916.729999997</v>
      </c>
      <c r="E80" s="287">
        <v>54448916.729999997</v>
      </c>
      <c r="F80" s="237">
        <f t="shared" si="3"/>
        <v>-8489138.9900000021</v>
      </c>
      <c r="G80" s="236">
        <f t="shared" si="4"/>
        <v>-0.1348808585344079</v>
      </c>
    </row>
    <row r="81" spans="1:7" ht="11.1" customHeight="1" outlineLevel="7" x14ac:dyDescent="0.2">
      <c r="A81" s="243" t="s">
        <v>81</v>
      </c>
      <c r="B81" s="287">
        <v>2233177.39</v>
      </c>
      <c r="C81" s="287">
        <v>248340</v>
      </c>
      <c r="D81" s="287">
        <v>3371597.02</v>
      </c>
      <c r="E81" s="287">
        <v>3371597.02</v>
      </c>
      <c r="F81" s="237">
        <f t="shared" si="3"/>
        <v>3123257.02</v>
      </c>
      <c r="G81" s="236">
        <f t="shared" si="4"/>
        <v>12.576536280905211</v>
      </c>
    </row>
    <row r="82" spans="1:7" ht="11.1" customHeight="1" outlineLevel="6" x14ac:dyDescent="0.2">
      <c r="A82" s="239" t="s">
        <v>82</v>
      </c>
      <c r="B82" s="287">
        <v>28731.439999999999</v>
      </c>
      <c r="C82" s="287"/>
      <c r="D82" s="287"/>
      <c r="E82" s="287"/>
      <c r="F82" s="237">
        <f t="shared" si="3"/>
        <v>0</v>
      </c>
      <c r="G82" s="236" t="e">
        <f t="shared" si="4"/>
        <v>#DIV/0!</v>
      </c>
    </row>
    <row r="83" spans="1:7" ht="11.1" customHeight="1" outlineLevel="5" x14ac:dyDescent="0.2">
      <c r="A83" s="238" t="s">
        <v>83</v>
      </c>
      <c r="B83" s="285">
        <v>2971198.25</v>
      </c>
      <c r="C83" s="285">
        <v>2898114</v>
      </c>
      <c r="D83" s="285">
        <v>1307884.5</v>
      </c>
      <c r="E83" s="285">
        <v>1307884.5</v>
      </c>
      <c r="F83" s="229">
        <f t="shared" si="3"/>
        <v>-1590229.5</v>
      </c>
      <c r="G83" s="228">
        <f t="shared" si="4"/>
        <v>-0.54871185191472804</v>
      </c>
    </row>
    <row r="84" spans="1:7" ht="11.1" customHeight="1" outlineLevel="6" x14ac:dyDescent="0.2">
      <c r="A84" s="239" t="s">
        <v>84</v>
      </c>
      <c r="B84" s="287">
        <v>151393.81</v>
      </c>
      <c r="C84" s="287"/>
      <c r="D84" s="287">
        <v>70060.009999999995</v>
      </c>
      <c r="E84" s="287">
        <v>70060.009999999995</v>
      </c>
      <c r="F84" s="237">
        <f t="shared" si="3"/>
        <v>70060.009999999995</v>
      </c>
      <c r="G84" s="236" t="e">
        <f t="shared" si="4"/>
        <v>#DIV/0!</v>
      </c>
    </row>
    <row r="85" spans="1:7" ht="11.1" customHeight="1" outlineLevel="6" x14ac:dyDescent="0.2">
      <c r="A85" s="239" t="s">
        <v>85</v>
      </c>
      <c r="B85" s="287">
        <v>2819804.44</v>
      </c>
      <c r="C85" s="287">
        <v>2898114</v>
      </c>
      <c r="D85" s="287">
        <v>1183956.77</v>
      </c>
      <c r="E85" s="287">
        <v>1183956.77</v>
      </c>
      <c r="F85" s="237">
        <f t="shared" si="3"/>
        <v>-1714157.23</v>
      </c>
      <c r="G85" s="236">
        <f t="shared" si="4"/>
        <v>-0.59147336164139852</v>
      </c>
    </row>
    <row r="86" spans="1:7" ht="11.1" customHeight="1" outlineLevel="6" x14ac:dyDescent="0.2">
      <c r="A86" s="239" t="s">
        <v>86</v>
      </c>
      <c r="B86" s="287"/>
      <c r="C86" s="287"/>
      <c r="D86" s="287">
        <v>53867.72</v>
      </c>
      <c r="E86" s="287">
        <v>53867.72</v>
      </c>
      <c r="F86" s="237">
        <f t="shared" si="3"/>
        <v>53867.72</v>
      </c>
      <c r="G86" s="236" t="e">
        <f t="shared" si="4"/>
        <v>#DIV/0!</v>
      </c>
    </row>
    <row r="87" spans="1:7" ht="11.1" customHeight="1" outlineLevel="5" x14ac:dyDescent="0.2">
      <c r="A87" s="235" t="s">
        <v>87</v>
      </c>
      <c r="B87" s="287">
        <v>785516.11</v>
      </c>
      <c r="C87" s="287">
        <v>469668</v>
      </c>
      <c r="D87" s="287">
        <v>1408887.41</v>
      </c>
      <c r="E87" s="287">
        <v>1408887.41</v>
      </c>
      <c r="F87" s="237">
        <f t="shared" si="3"/>
        <v>939219.40999999992</v>
      </c>
      <c r="G87" s="236">
        <f t="shared" si="4"/>
        <v>1.9997517608182798</v>
      </c>
    </row>
    <row r="88" spans="1:7" ht="11.1" customHeight="1" outlineLevel="5" x14ac:dyDescent="0.2">
      <c r="A88" s="235" t="s">
        <v>88</v>
      </c>
      <c r="B88" s="287">
        <v>54470.68</v>
      </c>
      <c r="C88" s="287"/>
      <c r="D88" s="287">
        <v>630570.13</v>
      </c>
      <c r="E88" s="287">
        <v>630570.13</v>
      </c>
      <c r="F88" s="237">
        <f t="shared" si="3"/>
        <v>630570.13</v>
      </c>
      <c r="G88" s="236" t="e">
        <f t="shared" si="4"/>
        <v>#DIV/0!</v>
      </c>
    </row>
    <row r="89" spans="1:7" ht="11.1" customHeight="1" outlineLevel="4" x14ac:dyDescent="0.2">
      <c r="A89" s="234" t="s">
        <v>89</v>
      </c>
      <c r="B89" s="285">
        <v>-200261815.71000001</v>
      </c>
      <c r="C89" s="285">
        <v>-114416252.66</v>
      </c>
      <c r="D89" s="285">
        <v>-160376061.16999999</v>
      </c>
      <c r="E89" s="285">
        <v>-156409394.16999999</v>
      </c>
      <c r="F89" s="229">
        <f t="shared" si="3"/>
        <v>-45959808.50999999</v>
      </c>
      <c r="G89" s="228">
        <f t="shared" si="4"/>
        <v>0.40168951037554446</v>
      </c>
    </row>
    <row r="90" spans="1:7" ht="11.1" customHeight="1" outlineLevel="5" x14ac:dyDescent="0.2">
      <c r="A90" s="238" t="s">
        <v>90</v>
      </c>
      <c r="B90" s="285">
        <v>-55519692.740000002</v>
      </c>
      <c r="C90" s="285">
        <v>-3052716.94</v>
      </c>
      <c r="D90" s="285">
        <v>-72549729.370000005</v>
      </c>
      <c r="E90" s="285">
        <v>-68583062.370000005</v>
      </c>
      <c r="F90" s="229">
        <f t="shared" si="3"/>
        <v>-69497012.430000007</v>
      </c>
      <c r="G90" s="228">
        <f t="shared" si="4"/>
        <v>22.765626095028647</v>
      </c>
    </row>
    <row r="91" spans="1:7" ht="11.1" customHeight="1" outlineLevel="6" x14ac:dyDescent="0.2">
      <c r="A91" s="239" t="s">
        <v>91</v>
      </c>
      <c r="B91" s="287">
        <v>-21119845.280000001</v>
      </c>
      <c r="C91" s="287"/>
      <c r="D91" s="287">
        <v>-5355704.3600000003</v>
      </c>
      <c r="E91" s="287">
        <v>-5355704.3600000003</v>
      </c>
      <c r="F91" s="237">
        <f t="shared" si="3"/>
        <v>-5355704.3600000003</v>
      </c>
      <c r="G91" s="236" t="e">
        <f t="shared" si="4"/>
        <v>#DIV/0!</v>
      </c>
    </row>
    <row r="92" spans="1:7" ht="11.1" customHeight="1" outlineLevel="6" x14ac:dyDescent="0.2">
      <c r="A92" s="239" t="s">
        <v>92</v>
      </c>
      <c r="B92" s="287">
        <v>-10568985.529999999</v>
      </c>
      <c r="C92" s="287">
        <v>-797702</v>
      </c>
      <c r="D92" s="287">
        <v>-51104197.020000003</v>
      </c>
      <c r="E92" s="287">
        <v>-47137530.020000003</v>
      </c>
      <c r="F92" s="237">
        <f t="shared" si="3"/>
        <v>-50306495.020000003</v>
      </c>
      <c r="G92" s="236">
        <f t="shared" si="4"/>
        <v>63.064270893140545</v>
      </c>
    </row>
    <row r="93" spans="1:7" ht="11.1" customHeight="1" outlineLevel="6" x14ac:dyDescent="0.2">
      <c r="A93" s="239" t="s">
        <v>93</v>
      </c>
      <c r="B93" s="287">
        <v>-23830861.93</v>
      </c>
      <c r="C93" s="287">
        <v>-2255014.94</v>
      </c>
      <c r="D93" s="287">
        <v>-16089827.99</v>
      </c>
      <c r="E93" s="287">
        <v>-16089827.99</v>
      </c>
      <c r="F93" s="237">
        <f t="shared" si="3"/>
        <v>-13834813.050000001</v>
      </c>
      <c r="G93" s="236">
        <f t="shared" si="4"/>
        <v>6.13513143731101</v>
      </c>
    </row>
    <row r="94" spans="1:7" ht="11.1" customHeight="1" outlineLevel="5" x14ac:dyDescent="0.2">
      <c r="A94" s="238" t="s">
        <v>94</v>
      </c>
      <c r="B94" s="285">
        <v>-8543412.8900000006</v>
      </c>
      <c r="C94" s="285">
        <v>-4475112</v>
      </c>
      <c r="D94" s="285">
        <v>-6024006.1600000001</v>
      </c>
      <c r="E94" s="285">
        <v>-6024006.1600000001</v>
      </c>
      <c r="F94" s="229">
        <f t="shared" si="3"/>
        <v>-1548894.1600000001</v>
      </c>
      <c r="G94" s="228">
        <f t="shared" si="4"/>
        <v>0.34611293750860317</v>
      </c>
    </row>
    <row r="95" spans="1:7" ht="11.1" customHeight="1" outlineLevel="6" x14ac:dyDescent="0.2">
      <c r="A95" s="239" t="s">
        <v>95</v>
      </c>
      <c r="B95" s="287">
        <v>-1285776.33</v>
      </c>
      <c r="C95" s="287">
        <v>-517668</v>
      </c>
      <c r="D95" s="287">
        <v>-1360219.93</v>
      </c>
      <c r="E95" s="287">
        <v>-1360219.93</v>
      </c>
      <c r="F95" s="237">
        <f t="shared" si="3"/>
        <v>-842551.92999999993</v>
      </c>
      <c r="G95" s="236">
        <f t="shared" si="4"/>
        <v>1.6275912940340138</v>
      </c>
    </row>
    <row r="96" spans="1:7" ht="11.1" customHeight="1" outlineLevel="6" x14ac:dyDescent="0.2">
      <c r="A96" s="239" t="s">
        <v>96</v>
      </c>
      <c r="B96" s="287">
        <v>-5537516.8899999997</v>
      </c>
      <c r="C96" s="287">
        <v>-2715390</v>
      </c>
      <c r="D96" s="287">
        <v>-4572735.49</v>
      </c>
      <c r="E96" s="287">
        <v>-4572735.49</v>
      </c>
      <c r="F96" s="237">
        <f t="shared" si="3"/>
        <v>-1857345.4900000002</v>
      </c>
      <c r="G96" s="236">
        <f t="shared" si="4"/>
        <v>0.68400689772003287</v>
      </c>
    </row>
    <row r="97" spans="1:7" ht="11.1" customHeight="1" outlineLevel="6" x14ac:dyDescent="0.2">
      <c r="A97" s="239" t="s">
        <v>97</v>
      </c>
      <c r="B97" s="287">
        <v>-1720119.67</v>
      </c>
      <c r="C97" s="287">
        <v>-1242054</v>
      </c>
      <c r="D97" s="287">
        <v>-91050.74</v>
      </c>
      <c r="E97" s="287">
        <v>-91050.74</v>
      </c>
      <c r="F97" s="237">
        <f t="shared" si="3"/>
        <v>1151003.26</v>
      </c>
      <c r="G97" s="236">
        <f t="shared" si="4"/>
        <v>-0.92669341268576089</v>
      </c>
    </row>
    <row r="98" spans="1:7" ht="11.1" customHeight="1" outlineLevel="5" x14ac:dyDescent="0.2">
      <c r="A98" s="238" t="s">
        <v>98</v>
      </c>
      <c r="B98" s="285">
        <v>-5615550.3799999999</v>
      </c>
      <c r="C98" s="285">
        <v>-768438</v>
      </c>
      <c r="D98" s="285">
        <v>-4141753.91</v>
      </c>
      <c r="E98" s="285">
        <v>-4141753.91</v>
      </c>
      <c r="F98" s="229">
        <f t="shared" si="3"/>
        <v>-3373315.91</v>
      </c>
      <c r="G98" s="228">
        <f t="shared" si="4"/>
        <v>4.3898348467931054</v>
      </c>
    </row>
    <row r="99" spans="1:7" ht="11.1" customHeight="1" outlineLevel="6" x14ac:dyDescent="0.2">
      <c r="A99" s="239" t="s">
        <v>99</v>
      </c>
      <c r="B99" s="287">
        <v>-428893.86</v>
      </c>
      <c r="C99" s="287"/>
      <c r="D99" s="287">
        <v>-732085.41</v>
      </c>
      <c r="E99" s="287">
        <v>-732085.41</v>
      </c>
      <c r="F99" s="237">
        <f t="shared" si="3"/>
        <v>-732085.41</v>
      </c>
      <c r="G99" s="236" t="e">
        <f t="shared" si="4"/>
        <v>#DIV/0!</v>
      </c>
    </row>
    <row r="100" spans="1:7" ht="11.1" customHeight="1" outlineLevel="6" x14ac:dyDescent="0.2">
      <c r="A100" s="239" t="s">
        <v>100</v>
      </c>
      <c r="B100" s="287">
        <v>-391433.58</v>
      </c>
      <c r="C100" s="287"/>
      <c r="D100" s="287">
        <v>-937379.49</v>
      </c>
      <c r="E100" s="287">
        <v>-937379.49</v>
      </c>
      <c r="F100" s="237">
        <f t="shared" si="3"/>
        <v>-937379.49</v>
      </c>
      <c r="G100" s="236" t="e">
        <f t="shared" si="4"/>
        <v>#DIV/0!</v>
      </c>
    </row>
    <row r="101" spans="1:7" ht="11.1" customHeight="1" outlineLevel="6" x14ac:dyDescent="0.2">
      <c r="A101" s="239" t="s">
        <v>101</v>
      </c>
      <c r="B101" s="287">
        <v>-4795222.9400000004</v>
      </c>
      <c r="C101" s="287">
        <v>-768438</v>
      </c>
      <c r="D101" s="287">
        <v>-2472289.0099999998</v>
      </c>
      <c r="E101" s="287">
        <v>-2472289.0099999998</v>
      </c>
      <c r="F101" s="237">
        <f t="shared" si="3"/>
        <v>-1703851.0099999998</v>
      </c>
      <c r="G101" s="236">
        <f t="shared" si="4"/>
        <v>2.2172914535720509</v>
      </c>
    </row>
    <row r="102" spans="1:7" ht="11.1" customHeight="1" outlineLevel="5" x14ac:dyDescent="0.2">
      <c r="A102" s="238" t="s">
        <v>102</v>
      </c>
      <c r="B102" s="285">
        <v>-126771974.66</v>
      </c>
      <c r="C102" s="285">
        <v>-102752203.72</v>
      </c>
      <c r="D102" s="285">
        <v>-74313229.689999998</v>
      </c>
      <c r="E102" s="285">
        <v>-74313229.689999998</v>
      </c>
      <c r="F102" s="229">
        <f t="shared" si="3"/>
        <v>28438974.030000001</v>
      </c>
      <c r="G102" s="228">
        <f t="shared" si="4"/>
        <v>-0.27677240001096493</v>
      </c>
    </row>
    <row r="103" spans="1:7" ht="11.1" customHeight="1" outlineLevel="6" x14ac:dyDescent="0.2">
      <c r="A103" s="242" t="s">
        <v>103</v>
      </c>
      <c r="B103" s="285">
        <v>-17939731.5</v>
      </c>
      <c r="C103" s="285">
        <v>-39565808</v>
      </c>
      <c r="D103" s="285">
        <v>-16126285.02</v>
      </c>
      <c r="E103" s="285">
        <v>-16126285.02</v>
      </c>
      <c r="F103" s="229">
        <f t="shared" si="3"/>
        <v>23439522.98</v>
      </c>
      <c r="G103" s="228">
        <f t="shared" si="4"/>
        <v>-0.59241866057682935</v>
      </c>
    </row>
    <row r="104" spans="1:7" ht="11.1" customHeight="1" outlineLevel="7" x14ac:dyDescent="0.2">
      <c r="A104" s="243" t="s">
        <v>104</v>
      </c>
      <c r="B104" s="287">
        <v>-2813047.42</v>
      </c>
      <c r="C104" s="287">
        <v>-6800628</v>
      </c>
      <c r="D104" s="287">
        <v>-1672060.85</v>
      </c>
      <c r="E104" s="287">
        <v>-1672060.85</v>
      </c>
      <c r="F104" s="237">
        <f t="shared" si="3"/>
        <v>5128567.1500000004</v>
      </c>
      <c r="G104" s="236">
        <f t="shared" si="4"/>
        <v>-0.75413140521728284</v>
      </c>
    </row>
    <row r="105" spans="1:7" ht="11.1" customHeight="1" outlineLevel="7" x14ac:dyDescent="0.2">
      <c r="A105" s="243" t="s">
        <v>105</v>
      </c>
      <c r="B105" s="287">
        <v>-7943079.3600000003</v>
      </c>
      <c r="C105" s="287">
        <v>-3575496</v>
      </c>
      <c r="D105" s="287">
        <v>-4295021.96</v>
      </c>
      <c r="E105" s="287">
        <v>-4295021.96</v>
      </c>
      <c r="F105" s="237">
        <f t="shared" si="3"/>
        <v>-719525.96</v>
      </c>
      <c r="G105" s="236">
        <f t="shared" si="4"/>
        <v>0.20123808277229238</v>
      </c>
    </row>
    <row r="106" spans="1:7" ht="11.1" customHeight="1" outlineLevel="7" x14ac:dyDescent="0.2">
      <c r="A106" s="243" t="s">
        <v>106</v>
      </c>
      <c r="B106" s="287">
        <v>-7183604.7199999997</v>
      </c>
      <c r="C106" s="287">
        <v>-29189684</v>
      </c>
      <c r="D106" s="287">
        <v>-10159202.210000001</v>
      </c>
      <c r="E106" s="287">
        <v>-10159202.210000001</v>
      </c>
      <c r="F106" s="237">
        <f t="shared" si="3"/>
        <v>19030481.789999999</v>
      </c>
      <c r="G106" s="236">
        <f t="shared" si="4"/>
        <v>-0.65195915755716982</v>
      </c>
    </row>
    <row r="107" spans="1:7" ht="11.1" customHeight="1" outlineLevel="6" x14ac:dyDescent="0.2">
      <c r="A107" s="242" t="s">
        <v>107</v>
      </c>
      <c r="B107" s="285">
        <v>-108803511.72</v>
      </c>
      <c r="C107" s="285">
        <v>-63186395.719999999</v>
      </c>
      <c r="D107" s="285">
        <v>-58186944.670000002</v>
      </c>
      <c r="E107" s="285">
        <v>-58186944.670000002</v>
      </c>
      <c r="F107" s="229">
        <f t="shared" si="3"/>
        <v>4999451.049999997</v>
      </c>
      <c r="G107" s="228">
        <f t="shared" si="4"/>
        <v>-7.9122269802414991E-2</v>
      </c>
    </row>
    <row r="108" spans="1:7" ht="11.1" customHeight="1" outlineLevel="7" x14ac:dyDescent="0.2">
      <c r="A108" s="243" t="s">
        <v>108</v>
      </c>
      <c r="B108" s="287">
        <v>-35713823.649999999</v>
      </c>
      <c r="C108" s="287"/>
      <c r="D108" s="287">
        <v>-366430.92</v>
      </c>
      <c r="E108" s="287">
        <v>-366430.92</v>
      </c>
      <c r="F108" s="237">
        <f t="shared" si="3"/>
        <v>-366430.92</v>
      </c>
      <c r="G108" s="236" t="e">
        <f t="shared" si="4"/>
        <v>#DIV/0!</v>
      </c>
    </row>
    <row r="109" spans="1:7" ht="11.1" customHeight="1" outlineLevel="7" x14ac:dyDescent="0.2">
      <c r="A109" s="243" t="s">
        <v>109</v>
      </c>
      <c r="B109" s="287">
        <v>-70856510.680000007</v>
      </c>
      <c r="C109" s="287">
        <v>-62938055.719999999</v>
      </c>
      <c r="D109" s="287">
        <v>-54448916.729999997</v>
      </c>
      <c r="E109" s="287">
        <v>-54448916.729999997</v>
      </c>
      <c r="F109" s="237">
        <f t="shared" si="3"/>
        <v>8489138.9900000021</v>
      </c>
      <c r="G109" s="236">
        <f t="shared" si="4"/>
        <v>-0.1348808585344079</v>
      </c>
    </row>
    <row r="110" spans="1:7" ht="11.1" customHeight="1" outlineLevel="7" x14ac:dyDescent="0.2">
      <c r="A110" s="243" t="s">
        <v>110</v>
      </c>
      <c r="B110" s="287">
        <v>-2233177.39</v>
      </c>
      <c r="C110" s="287">
        <v>-248340</v>
      </c>
      <c r="D110" s="287">
        <v>-3371597.02</v>
      </c>
      <c r="E110" s="287">
        <v>-3371597.02</v>
      </c>
      <c r="F110" s="237">
        <f t="shared" si="3"/>
        <v>-3123257.02</v>
      </c>
      <c r="G110" s="236">
        <f t="shared" si="4"/>
        <v>12.576536280905211</v>
      </c>
    </row>
    <row r="111" spans="1:7" ht="11.1" customHeight="1" outlineLevel="6" x14ac:dyDescent="0.2">
      <c r="A111" s="239" t="s">
        <v>111</v>
      </c>
      <c r="B111" s="287">
        <v>-28731.439999999999</v>
      </c>
      <c r="C111" s="287"/>
      <c r="D111" s="287"/>
      <c r="E111" s="287"/>
      <c r="F111" s="237">
        <f t="shared" si="3"/>
        <v>0</v>
      </c>
      <c r="G111" s="236" t="e">
        <f t="shared" si="4"/>
        <v>#DIV/0!</v>
      </c>
    </row>
    <row r="112" spans="1:7" ht="11.1" customHeight="1" outlineLevel="5" x14ac:dyDescent="0.2">
      <c r="A112" s="238" t="s">
        <v>112</v>
      </c>
      <c r="B112" s="285">
        <v>-2971198.25</v>
      </c>
      <c r="C112" s="285">
        <v>-2898114</v>
      </c>
      <c r="D112" s="285">
        <v>-1307884.5</v>
      </c>
      <c r="E112" s="285">
        <v>-1307884.5</v>
      </c>
      <c r="F112" s="229">
        <f t="shared" si="3"/>
        <v>1590229.5</v>
      </c>
      <c r="G112" s="228">
        <f t="shared" si="4"/>
        <v>-0.54871185191472804</v>
      </c>
    </row>
    <row r="113" spans="1:16" ht="11.1" customHeight="1" outlineLevel="6" x14ac:dyDescent="0.2">
      <c r="A113" s="239" t="s">
        <v>113</v>
      </c>
      <c r="B113" s="287">
        <v>-151393.81</v>
      </c>
      <c r="C113" s="287"/>
      <c r="D113" s="287">
        <v>-70060.009999999995</v>
      </c>
      <c r="E113" s="287">
        <v>-70060.009999999995</v>
      </c>
      <c r="F113" s="237">
        <f t="shared" si="3"/>
        <v>-70060.009999999995</v>
      </c>
      <c r="G113" s="236" t="e">
        <f t="shared" si="4"/>
        <v>#DIV/0!</v>
      </c>
    </row>
    <row r="114" spans="1:16" ht="11.1" customHeight="1" outlineLevel="6" x14ac:dyDescent="0.2">
      <c r="A114" s="239" t="s">
        <v>114</v>
      </c>
      <c r="B114" s="287">
        <v>-2819804.44</v>
      </c>
      <c r="C114" s="287">
        <v>-2898114</v>
      </c>
      <c r="D114" s="287">
        <v>-1183956.77</v>
      </c>
      <c r="E114" s="287">
        <v>-1183956.77</v>
      </c>
      <c r="F114" s="237">
        <f t="shared" si="3"/>
        <v>1714157.23</v>
      </c>
      <c r="G114" s="236">
        <f t="shared" si="4"/>
        <v>-0.59147336164139852</v>
      </c>
    </row>
    <row r="115" spans="1:16" ht="11.1" customHeight="1" outlineLevel="6" x14ac:dyDescent="0.2">
      <c r="A115" s="239" t="s">
        <v>115</v>
      </c>
      <c r="B115" s="287"/>
      <c r="C115" s="287"/>
      <c r="D115" s="287">
        <v>-53867.72</v>
      </c>
      <c r="E115" s="287">
        <v>-53867.72</v>
      </c>
      <c r="F115" s="237">
        <f t="shared" si="3"/>
        <v>-53867.72</v>
      </c>
      <c r="G115" s="236" t="e">
        <f t="shared" si="4"/>
        <v>#DIV/0!</v>
      </c>
    </row>
    <row r="116" spans="1:16" ht="11.1" customHeight="1" outlineLevel="5" x14ac:dyDescent="0.2">
      <c r="A116" s="235" t="s">
        <v>116</v>
      </c>
      <c r="B116" s="287">
        <v>-785516.11</v>
      </c>
      <c r="C116" s="287">
        <v>-469668</v>
      </c>
      <c r="D116" s="287">
        <v>-1408887.41</v>
      </c>
      <c r="E116" s="287">
        <v>-1408887.41</v>
      </c>
      <c r="F116" s="237">
        <f t="shared" si="3"/>
        <v>-939219.40999999992</v>
      </c>
      <c r="G116" s="236">
        <f t="shared" si="4"/>
        <v>1.9997517608182798</v>
      </c>
    </row>
    <row r="117" spans="1:16" ht="11.1" customHeight="1" outlineLevel="5" x14ac:dyDescent="0.2">
      <c r="A117" s="235" t="s">
        <v>117</v>
      </c>
      <c r="B117" s="287">
        <v>-54470.68</v>
      </c>
      <c r="C117" s="287"/>
      <c r="D117" s="287">
        <v>-630570.13</v>
      </c>
      <c r="E117" s="287">
        <v>-630570.13</v>
      </c>
      <c r="F117" s="237">
        <f t="shared" si="3"/>
        <v>-630570.13</v>
      </c>
      <c r="G117" s="236" t="e">
        <f t="shared" si="4"/>
        <v>#DIV/0!</v>
      </c>
    </row>
    <row r="118" spans="1:16" ht="11.1" customHeight="1" outlineLevel="2" x14ac:dyDescent="0.2">
      <c r="A118" s="230" t="s">
        <v>118</v>
      </c>
      <c r="B118" s="284">
        <v>4882105062.3400002</v>
      </c>
      <c r="C118" s="284">
        <v>5358096899.8900013</v>
      </c>
      <c r="D118" s="284">
        <v>5458744961.0699987</v>
      </c>
      <c r="E118" s="284">
        <v>5330254742.3400002</v>
      </c>
      <c r="F118" s="225">
        <f t="shared" si="3"/>
        <v>100648061.17999744</v>
      </c>
      <c r="G118" s="224">
        <f t="shared" si="4"/>
        <v>1.8784292830176907E-2</v>
      </c>
    </row>
    <row r="119" spans="1:16" ht="11.1" customHeight="1" outlineLevel="2" x14ac:dyDescent="0.2">
      <c r="A119" s="244" t="s">
        <v>173</v>
      </c>
      <c r="B119" s="245">
        <f>B175+B190+B275</f>
        <v>2935472994.4500003</v>
      </c>
      <c r="C119" s="245">
        <f t="shared" ref="C119:E119" si="5">C175+C190+C275</f>
        <v>3408561462.6300001</v>
      </c>
      <c r="D119" s="245">
        <f t="shared" si="5"/>
        <v>3233917012.6700001</v>
      </c>
      <c r="E119" s="245">
        <f t="shared" si="5"/>
        <v>3233917012.6700001</v>
      </c>
      <c r="F119" s="229">
        <f t="shared" si="3"/>
        <v>-174644449.96000004</v>
      </c>
      <c r="G119" s="228">
        <f>D119/C119-100%</f>
        <v>-5.1236995980482258E-2</v>
      </c>
      <c r="K119" s="221" t="s">
        <v>389</v>
      </c>
      <c r="L119" s="221" t="s">
        <v>414</v>
      </c>
      <c r="M119" s="221" t="s">
        <v>754</v>
      </c>
    </row>
    <row r="120" spans="1:16" ht="11.1" customHeight="1" outlineLevel="3" x14ac:dyDescent="0.2">
      <c r="A120" s="246" t="s">
        <v>119</v>
      </c>
      <c r="B120" s="284">
        <v>3483586137.6600003</v>
      </c>
      <c r="C120" s="284">
        <v>3902800398.1700001</v>
      </c>
      <c r="D120" s="284">
        <v>3962719744.4400001</v>
      </c>
      <c r="E120" s="284">
        <v>3835663630.0600004</v>
      </c>
      <c r="F120" s="225">
        <f t="shared" si="3"/>
        <v>59919346.269999981</v>
      </c>
      <c r="G120" s="224">
        <f t="shared" ref="G120:G183" si="6">D120/C120-1</f>
        <v>1.5352910770967343E-2</v>
      </c>
      <c r="I120" s="221" t="s">
        <v>870</v>
      </c>
      <c r="K120" s="226">
        <f>ROUND(B157/1000,0)</f>
        <v>160366</v>
      </c>
      <c r="L120" s="226">
        <f>ROUND(C157/1000,0)</f>
        <v>118083</v>
      </c>
      <c r="M120" s="226">
        <f>ROUND(D157/1000,0)</f>
        <v>341353</v>
      </c>
      <c r="N120" s="226">
        <f>M120-L120</f>
        <v>223270</v>
      </c>
      <c r="O120" s="320">
        <f>M120/L120-100%</f>
        <v>1.8907886825368596</v>
      </c>
      <c r="P120" s="320">
        <f>M120/K120-100%</f>
        <v>1.1285871069927542</v>
      </c>
    </row>
    <row r="121" spans="1:16" ht="11.1" customHeight="1" outlineLevel="4" x14ac:dyDescent="0.2">
      <c r="A121" s="234" t="s">
        <v>120</v>
      </c>
      <c r="B121" s="285">
        <v>443501033.42000002</v>
      </c>
      <c r="C121" s="285">
        <v>492776498.23000002</v>
      </c>
      <c r="D121" s="285">
        <v>528922989.11000001</v>
      </c>
      <c r="E121" s="285">
        <v>528922989.11000001</v>
      </c>
      <c r="F121" s="322">
        <f t="shared" si="3"/>
        <v>36146490.879999995</v>
      </c>
      <c r="G121" s="228">
        <f t="shared" si="6"/>
        <v>7.3352708600824768E-2</v>
      </c>
      <c r="I121" s="221" t="s">
        <v>871</v>
      </c>
      <c r="K121" s="226">
        <f>ROUND(B154/1000,0)</f>
        <v>44271</v>
      </c>
      <c r="L121" s="226">
        <f>ROUND(C154/1000,0)</f>
        <v>194169</v>
      </c>
      <c r="M121" s="226">
        <f>ROUND(D154/1000,0)</f>
        <v>230446</v>
      </c>
      <c r="N121" s="226">
        <f t="shared" ref="N121:N128" si="7">M121-L121</f>
        <v>36277</v>
      </c>
      <c r="O121" s="320">
        <f t="shared" ref="O121:O128" si="8">M121/L121-100%</f>
        <v>0.1868320895714557</v>
      </c>
      <c r="P121" s="320">
        <f t="shared" ref="P121:P128" si="9">M121/K121-100%</f>
        <v>4.2053488739807099</v>
      </c>
    </row>
    <row r="122" spans="1:16" ht="11.1" customHeight="1" outlineLevel="5" x14ac:dyDescent="0.2">
      <c r="A122" s="235" t="s">
        <v>121</v>
      </c>
      <c r="B122" s="287">
        <v>30240290.100000001</v>
      </c>
      <c r="C122" s="287">
        <v>44447644.009999998</v>
      </c>
      <c r="D122" s="287">
        <v>43661525.659999996</v>
      </c>
      <c r="E122" s="287">
        <v>43661525.659999996</v>
      </c>
      <c r="F122" s="237">
        <f t="shared" si="3"/>
        <v>-786118.35000000149</v>
      </c>
      <c r="G122" s="236">
        <f t="shared" si="6"/>
        <v>-1.7686389627831312E-2</v>
      </c>
      <c r="I122" s="221" t="s">
        <v>869</v>
      </c>
      <c r="K122" s="226">
        <f>ROUND((B138+B232)/1000,0)</f>
        <v>63763</v>
      </c>
      <c r="L122" s="226">
        <f>ROUND((C138+C232)/1000,0)</f>
        <v>68971</v>
      </c>
      <c r="M122" s="226">
        <f>ROUND((D138+D232)/1000,0)</f>
        <v>76853</v>
      </c>
      <c r="N122" s="226">
        <f t="shared" si="7"/>
        <v>7882</v>
      </c>
      <c r="O122" s="320">
        <f t="shared" si="8"/>
        <v>0.11427991474677768</v>
      </c>
      <c r="P122" s="320">
        <f t="shared" si="9"/>
        <v>0.20529146997475034</v>
      </c>
    </row>
    <row r="123" spans="1:16" ht="11.1" customHeight="1" outlineLevel="5" x14ac:dyDescent="0.2">
      <c r="A123" s="235" t="s">
        <v>122</v>
      </c>
      <c r="B123" s="287">
        <v>308144915.75</v>
      </c>
      <c r="C123" s="287">
        <v>313352819.36000001</v>
      </c>
      <c r="D123" s="287">
        <v>325908862.75999999</v>
      </c>
      <c r="E123" s="287">
        <v>325908862.75999999</v>
      </c>
      <c r="F123" s="237">
        <f t="shared" si="3"/>
        <v>12556043.399999976</v>
      </c>
      <c r="G123" s="236">
        <f t="shared" si="6"/>
        <v>4.0069987005844521E-2</v>
      </c>
      <c r="I123" s="221" t="s">
        <v>258</v>
      </c>
      <c r="K123" s="226">
        <f>ROUND(B288/1000,0)</f>
        <v>26011</v>
      </c>
      <c r="L123" s="226">
        <f>ROUND(C288/1000,0)</f>
        <v>170</v>
      </c>
      <c r="M123" s="226">
        <f>ROUND(D288/1000,0)</f>
        <v>26166</v>
      </c>
      <c r="N123" s="226">
        <f t="shared" si="7"/>
        <v>25996</v>
      </c>
      <c r="O123" s="320">
        <f t="shared" si="8"/>
        <v>152.91764705882352</v>
      </c>
      <c r="P123" s="320">
        <f t="shared" si="9"/>
        <v>5.9590173388182066E-3</v>
      </c>
    </row>
    <row r="124" spans="1:16" ht="11.1" customHeight="1" outlineLevel="5" x14ac:dyDescent="0.2">
      <c r="A124" s="235" t="s">
        <v>123</v>
      </c>
      <c r="B124" s="287">
        <v>79377212.780000001</v>
      </c>
      <c r="C124" s="287">
        <v>85534446.140000001</v>
      </c>
      <c r="D124" s="287">
        <v>112987155</v>
      </c>
      <c r="E124" s="287">
        <v>112987155</v>
      </c>
      <c r="F124" s="237">
        <f t="shared" si="3"/>
        <v>27452708.859999999</v>
      </c>
      <c r="G124" s="236">
        <f t="shared" si="6"/>
        <v>0.32095500817373979</v>
      </c>
      <c r="I124" s="221" t="s">
        <v>875</v>
      </c>
      <c r="K124" s="226">
        <f>ROUND((B122+B124+B127+B210+B212+B214)/1000,0)</f>
        <v>116947</v>
      </c>
      <c r="L124" s="226">
        <f>ROUND((C122+C124+C127+C210+C212+C214)/1000,0)</f>
        <v>139887</v>
      </c>
      <c r="M124" s="226">
        <f>ROUND((D122+D124+D127+D210+D212+D214)/1000,0)</f>
        <v>173212</v>
      </c>
      <c r="N124" s="226">
        <f t="shared" si="7"/>
        <v>33325</v>
      </c>
      <c r="O124" s="320">
        <f t="shared" si="8"/>
        <v>0.23822799831292407</v>
      </c>
      <c r="P124" s="320">
        <f t="shared" si="9"/>
        <v>0.48111537705114293</v>
      </c>
    </row>
    <row r="125" spans="1:16" ht="11.1" customHeight="1" outlineLevel="5" x14ac:dyDescent="0.2">
      <c r="A125" s="235" t="s">
        <v>124</v>
      </c>
      <c r="B125" s="287">
        <v>1047206.29</v>
      </c>
      <c r="C125" s="287">
        <v>4423750.38</v>
      </c>
      <c r="D125" s="287">
        <v>1217628.46</v>
      </c>
      <c r="E125" s="287">
        <v>1217628.46</v>
      </c>
      <c r="F125" s="237">
        <f t="shared" si="3"/>
        <v>-3206121.92</v>
      </c>
      <c r="G125" s="236">
        <f t="shared" si="6"/>
        <v>-0.72475199651748889</v>
      </c>
      <c r="I125" s="221" t="s">
        <v>122</v>
      </c>
      <c r="K125" s="226">
        <f>ROUND((B123+B211)/1000,0)</f>
        <v>320986</v>
      </c>
      <c r="L125" s="226">
        <f>ROUND((C123+C211)/1000,0)</f>
        <v>325567</v>
      </c>
      <c r="M125" s="226">
        <f>ROUND((D123+D211)/1000,0)</f>
        <v>334413</v>
      </c>
      <c r="N125" s="226">
        <f t="shared" si="7"/>
        <v>8846</v>
      </c>
      <c r="O125" s="320">
        <f t="shared" si="8"/>
        <v>2.7171058491800348E-2</v>
      </c>
      <c r="P125" s="320">
        <f t="shared" si="9"/>
        <v>4.1830484818652591E-2</v>
      </c>
    </row>
    <row r="126" spans="1:16" ht="11.1" customHeight="1" outlineLevel="5" x14ac:dyDescent="0.2">
      <c r="A126" s="235" t="s">
        <v>125</v>
      </c>
      <c r="B126" s="287">
        <v>6916289.4000000004</v>
      </c>
      <c r="C126" s="287">
        <v>6057197.9299999997</v>
      </c>
      <c r="D126" s="287">
        <v>5060677.28</v>
      </c>
      <c r="E126" s="287">
        <v>5060677.28</v>
      </c>
      <c r="F126" s="237">
        <f t="shared" si="3"/>
        <v>-996520.64999999944</v>
      </c>
      <c r="G126" s="236">
        <f t="shared" si="6"/>
        <v>-0.16451842279487794</v>
      </c>
      <c r="I126" s="221" t="s">
        <v>872</v>
      </c>
      <c r="K126" s="226">
        <f>ROUND(B139/1000,0)</f>
        <v>4025</v>
      </c>
      <c r="L126" s="226">
        <f>ROUND(C139/1000,0)</f>
        <v>3745</v>
      </c>
      <c r="M126" s="226">
        <f>ROUND(D139/1000,0)</f>
        <v>9327</v>
      </c>
      <c r="N126" s="226">
        <f t="shared" si="7"/>
        <v>5582</v>
      </c>
      <c r="O126" s="320">
        <f t="shared" si="8"/>
        <v>1.4905206942590121</v>
      </c>
      <c r="P126" s="320">
        <f t="shared" si="9"/>
        <v>1.3172670807453417</v>
      </c>
    </row>
    <row r="127" spans="1:16" ht="11.1" customHeight="1" outlineLevel="5" x14ac:dyDescent="0.2">
      <c r="A127" s="235" t="s">
        <v>126</v>
      </c>
      <c r="B127" s="287">
        <v>4255638.75</v>
      </c>
      <c r="C127" s="287">
        <v>4829695.5</v>
      </c>
      <c r="D127" s="287">
        <v>7930334.1600000001</v>
      </c>
      <c r="E127" s="287">
        <v>7930334.1600000001</v>
      </c>
      <c r="F127" s="237">
        <f t="shared" si="3"/>
        <v>3100638.66</v>
      </c>
      <c r="G127" s="236">
        <f t="shared" si="6"/>
        <v>0.64199464748864599</v>
      </c>
      <c r="I127" s="221" t="s">
        <v>873</v>
      </c>
      <c r="K127" s="226">
        <f>ROUND(B225/1000,0)</f>
        <v>1583</v>
      </c>
      <c r="L127" s="226">
        <f>ROUND(C225/1000,0)</f>
        <v>2508</v>
      </c>
      <c r="M127" s="226">
        <f>ROUND(D225/1000,0)</f>
        <v>10231</v>
      </c>
      <c r="N127" s="226">
        <f t="shared" si="7"/>
        <v>7723</v>
      </c>
      <c r="O127" s="320">
        <f t="shared" si="8"/>
        <v>3.0793460925039868</v>
      </c>
      <c r="P127" s="320">
        <f t="shared" si="9"/>
        <v>5.4630448515476946</v>
      </c>
    </row>
    <row r="128" spans="1:16" ht="11.1" customHeight="1" outlineLevel="5" x14ac:dyDescent="0.2">
      <c r="A128" s="235" t="s">
        <v>127</v>
      </c>
      <c r="B128" s="287">
        <v>9058774.5099999998</v>
      </c>
      <c r="C128" s="287">
        <v>27148889.760000002</v>
      </c>
      <c r="D128" s="287">
        <v>28744238.210000001</v>
      </c>
      <c r="E128" s="287">
        <v>28744238.210000001</v>
      </c>
      <c r="F128" s="237">
        <f t="shared" si="3"/>
        <v>1595348.4499999993</v>
      </c>
      <c r="G128" s="236">
        <f t="shared" si="6"/>
        <v>5.8762935210356693E-2</v>
      </c>
      <c r="I128" s="221" t="s">
        <v>874</v>
      </c>
      <c r="K128" s="226">
        <f>ROUND((B137+B231+B233)/1000,0)</f>
        <v>22714</v>
      </c>
      <c r="L128" s="226">
        <f>ROUND((C137+C231+C233)/1000,0)</f>
        <v>19545</v>
      </c>
      <c r="M128" s="226">
        <f>ROUND((D137+D231+D233)/1000,0)</f>
        <v>36547</v>
      </c>
      <c r="N128" s="226">
        <f t="shared" si="7"/>
        <v>17002</v>
      </c>
      <c r="O128" s="320">
        <f t="shared" si="8"/>
        <v>0.86988999744180107</v>
      </c>
      <c r="P128" s="320">
        <f t="shared" si="9"/>
        <v>0.60900766047371668</v>
      </c>
    </row>
    <row r="129" spans="1:16" ht="11.1" customHeight="1" outlineLevel="5" x14ac:dyDescent="0.2">
      <c r="A129" s="235" t="s">
        <v>128</v>
      </c>
      <c r="B129" s="287">
        <v>4460705.84</v>
      </c>
      <c r="C129" s="287">
        <v>6982055.1500000004</v>
      </c>
      <c r="D129" s="287">
        <v>3412567.58</v>
      </c>
      <c r="E129" s="287">
        <v>3412567.58</v>
      </c>
      <c r="F129" s="237">
        <f t="shared" si="3"/>
        <v>-3569487.5700000003</v>
      </c>
      <c r="G129" s="236">
        <f t="shared" si="6"/>
        <v>-0.51123737829541493</v>
      </c>
    </row>
    <row r="130" spans="1:16" ht="11.1" customHeight="1" outlineLevel="4" x14ac:dyDescent="0.2">
      <c r="A130" s="234" t="s">
        <v>129</v>
      </c>
      <c r="B130" s="285">
        <v>89048852</v>
      </c>
      <c r="C130" s="285">
        <v>74926741.590000004</v>
      </c>
      <c r="D130" s="285">
        <v>64423525.189999998</v>
      </c>
      <c r="E130" s="285">
        <v>64423525.189999998</v>
      </c>
      <c r="F130" s="229">
        <f t="shared" si="3"/>
        <v>-10503216.400000006</v>
      </c>
      <c r="G130" s="228">
        <f t="shared" si="6"/>
        <v>-0.14017980999992941</v>
      </c>
      <c r="K130" s="221" t="str">
        <f>K119</f>
        <v>факт 2021</v>
      </c>
      <c r="L130" s="221" t="str">
        <f t="shared" ref="L130:M130" si="10">L119</f>
        <v>план 2022</v>
      </c>
      <c r="M130" s="221" t="str">
        <f t="shared" si="10"/>
        <v>факт 2022</v>
      </c>
    </row>
    <row r="131" spans="1:16" ht="11.1" customHeight="1" outlineLevel="5" x14ac:dyDescent="0.2">
      <c r="A131" s="235" t="s">
        <v>130</v>
      </c>
      <c r="B131" s="287">
        <v>58723729.380000003</v>
      </c>
      <c r="C131" s="287">
        <v>45365660.229999997</v>
      </c>
      <c r="D131" s="287">
        <v>36280166.759999998</v>
      </c>
      <c r="E131" s="287">
        <v>36280166.759999998</v>
      </c>
      <c r="F131" s="237">
        <f t="shared" si="3"/>
        <v>-9085493.4699999988</v>
      </c>
      <c r="G131" s="236">
        <f t="shared" si="6"/>
        <v>-0.20027248416395416</v>
      </c>
      <c r="I131" s="221" t="str">
        <f>I125</f>
        <v>ГСМ</v>
      </c>
      <c r="K131" s="226">
        <f>K125</f>
        <v>320986</v>
      </c>
      <c r="L131" s="226">
        <f t="shared" ref="L131:P131" si="11">L125</f>
        <v>325567</v>
      </c>
      <c r="M131" s="226">
        <f t="shared" si="11"/>
        <v>334413</v>
      </c>
      <c r="N131" s="226">
        <f t="shared" si="11"/>
        <v>8846</v>
      </c>
      <c r="O131" s="317">
        <f t="shared" si="11"/>
        <v>2.7171058491800348E-2</v>
      </c>
      <c r="P131" s="317">
        <f t="shared" si="11"/>
        <v>4.1830484818652591E-2</v>
      </c>
    </row>
    <row r="132" spans="1:16" ht="11.1" customHeight="1" outlineLevel="5" x14ac:dyDescent="0.2">
      <c r="A132" s="235" t="s">
        <v>131</v>
      </c>
      <c r="B132" s="287">
        <v>3162071.3</v>
      </c>
      <c r="C132" s="287">
        <v>5365063.66</v>
      </c>
      <c r="D132" s="287">
        <v>3529825.43</v>
      </c>
      <c r="E132" s="287">
        <v>3529825.43</v>
      </c>
      <c r="F132" s="237">
        <f t="shared" si="3"/>
        <v>-1835238.23</v>
      </c>
      <c r="G132" s="236">
        <f t="shared" si="6"/>
        <v>-0.34207203237547412</v>
      </c>
      <c r="I132" s="221" t="str">
        <f>I120</f>
        <v>Автоперевозки</v>
      </c>
      <c r="K132" s="226">
        <f>K120</f>
        <v>160366</v>
      </c>
      <c r="L132" s="226">
        <f t="shared" ref="L132:P133" si="12">L120</f>
        <v>118083</v>
      </c>
      <c r="M132" s="226">
        <f t="shared" si="12"/>
        <v>341353</v>
      </c>
      <c r="N132" s="226">
        <f t="shared" si="12"/>
        <v>223270</v>
      </c>
      <c r="O132" s="317">
        <f t="shared" si="12"/>
        <v>1.8907886825368596</v>
      </c>
      <c r="P132" s="317">
        <f t="shared" si="12"/>
        <v>1.1285871069927542</v>
      </c>
    </row>
    <row r="133" spans="1:16" ht="11.1" customHeight="1" outlineLevel="5" x14ac:dyDescent="0.2">
      <c r="A133" s="235" t="s">
        <v>132</v>
      </c>
      <c r="B133" s="287">
        <v>23151866.879999999</v>
      </c>
      <c r="C133" s="287">
        <v>19521118.850000001</v>
      </c>
      <c r="D133" s="287">
        <v>21742045.829999998</v>
      </c>
      <c r="E133" s="287">
        <v>21742045.829999998</v>
      </c>
      <c r="F133" s="237">
        <f t="shared" si="3"/>
        <v>2220926.9799999967</v>
      </c>
      <c r="G133" s="236">
        <f t="shared" si="6"/>
        <v>0.11377047581470956</v>
      </c>
      <c r="I133" s="221" t="str">
        <f>I121</f>
        <v>Ж/д перевозки</v>
      </c>
      <c r="K133" s="221">
        <f t="shared" ref="K133:M133" si="13">K121</f>
        <v>44271</v>
      </c>
      <c r="L133" s="221">
        <f t="shared" si="13"/>
        <v>194169</v>
      </c>
      <c r="M133" s="221">
        <f t="shared" si="13"/>
        <v>230446</v>
      </c>
      <c r="N133" s="221">
        <f t="shared" si="12"/>
        <v>36277</v>
      </c>
      <c r="O133" s="317">
        <f t="shared" si="12"/>
        <v>0.1868320895714557</v>
      </c>
      <c r="P133" s="317">
        <f t="shared" si="12"/>
        <v>4.2053488739807099</v>
      </c>
    </row>
    <row r="134" spans="1:16" ht="11.1" customHeight="1" outlineLevel="5" x14ac:dyDescent="0.2">
      <c r="A134" s="235" t="s">
        <v>133</v>
      </c>
      <c r="B134" s="287">
        <v>4508.8900000000003</v>
      </c>
      <c r="C134" s="287">
        <v>1080970.04</v>
      </c>
      <c r="D134" s="287">
        <v>1538455.02</v>
      </c>
      <c r="E134" s="287">
        <v>1538455.02</v>
      </c>
      <c r="F134" s="237">
        <f t="shared" si="3"/>
        <v>457484.98</v>
      </c>
      <c r="G134" s="236">
        <f t="shared" si="6"/>
        <v>0.42321707639556783</v>
      </c>
      <c r="I134" s="221" t="str">
        <f>I124</f>
        <v>Ремонт, ТО и запчасти, масла</v>
      </c>
      <c r="K134" s="221">
        <f t="shared" ref="K134:P134" si="14">K124</f>
        <v>116947</v>
      </c>
      <c r="L134" s="221">
        <f t="shared" si="14"/>
        <v>139887</v>
      </c>
      <c r="M134" s="221">
        <f t="shared" si="14"/>
        <v>173212</v>
      </c>
      <c r="N134" s="221">
        <f t="shared" si="14"/>
        <v>33325</v>
      </c>
      <c r="O134" s="317">
        <f t="shared" si="14"/>
        <v>0.23822799831292407</v>
      </c>
      <c r="P134" s="317">
        <f t="shared" si="14"/>
        <v>0.48111537705114293</v>
      </c>
    </row>
    <row r="135" spans="1:16" ht="11.1" customHeight="1" outlineLevel="5" x14ac:dyDescent="0.2">
      <c r="A135" s="235" t="s">
        <v>134</v>
      </c>
      <c r="B135" s="287">
        <v>4006675.55</v>
      </c>
      <c r="C135" s="287">
        <v>3593928.81</v>
      </c>
      <c r="D135" s="287">
        <v>1333032.1499999999</v>
      </c>
      <c r="E135" s="287">
        <v>1333032.1499999999</v>
      </c>
      <c r="F135" s="237">
        <f t="shared" si="3"/>
        <v>-2260896.66</v>
      </c>
      <c r="G135" s="236">
        <f t="shared" si="6"/>
        <v>-0.62908776982702674</v>
      </c>
      <c r="I135" s="221" t="str">
        <f>I122</f>
        <v>Амортизация ТС</v>
      </c>
      <c r="K135" s="221">
        <f t="shared" ref="K135:P135" si="15">K122</f>
        <v>63763</v>
      </c>
      <c r="L135" s="221">
        <f t="shared" si="15"/>
        <v>68971</v>
      </c>
      <c r="M135" s="221">
        <f t="shared" si="15"/>
        <v>76853</v>
      </c>
      <c r="N135" s="221">
        <f t="shared" si="15"/>
        <v>7882</v>
      </c>
      <c r="O135" s="317">
        <f t="shared" si="15"/>
        <v>0.11427991474677768</v>
      </c>
      <c r="P135" s="317">
        <f t="shared" si="15"/>
        <v>0.20529146997475034</v>
      </c>
    </row>
    <row r="136" spans="1:16" ht="11.1" customHeight="1" outlineLevel="4" x14ac:dyDescent="0.2">
      <c r="A136" s="234" t="s">
        <v>135</v>
      </c>
      <c r="B136" s="285">
        <v>65289702.130000003</v>
      </c>
      <c r="C136" s="285">
        <v>67932478.719999999</v>
      </c>
      <c r="D136" s="285">
        <v>85993168.239999995</v>
      </c>
      <c r="E136" s="285">
        <v>85993168.239999995</v>
      </c>
      <c r="F136" s="322">
        <f t="shared" ref="F136:F199" si="16">D136-C136</f>
        <v>18060689.519999996</v>
      </c>
      <c r="G136" s="228">
        <f t="shared" si="6"/>
        <v>0.26586236598905</v>
      </c>
      <c r="I136" s="221" t="str">
        <f>I128</f>
        <v>Амортизация прочее</v>
      </c>
      <c r="K136" s="221">
        <f t="shared" ref="K136:P136" si="17">K128</f>
        <v>22714</v>
      </c>
      <c r="L136" s="221">
        <f t="shared" si="17"/>
        <v>19545</v>
      </c>
      <c r="M136" s="221">
        <f t="shared" si="17"/>
        <v>36547</v>
      </c>
      <c r="N136" s="221">
        <f t="shared" si="17"/>
        <v>17002</v>
      </c>
      <c r="O136" s="317">
        <f t="shared" si="17"/>
        <v>0.86988999744180107</v>
      </c>
      <c r="P136" s="317">
        <f t="shared" si="17"/>
        <v>0.60900766047371668</v>
      </c>
    </row>
    <row r="137" spans="1:16" ht="11.1" customHeight="1" outlineLevel="5" x14ac:dyDescent="0.2">
      <c r="A137" s="235" t="s">
        <v>136</v>
      </c>
      <c r="B137" s="287">
        <v>4482450.32</v>
      </c>
      <c r="C137" s="287">
        <v>3630489.08</v>
      </c>
      <c r="D137" s="287">
        <v>5980552.4199999999</v>
      </c>
      <c r="E137" s="287">
        <v>5980552.4199999999</v>
      </c>
      <c r="F137" s="237">
        <f t="shared" si="16"/>
        <v>2350063.34</v>
      </c>
      <c r="G137" s="236">
        <f t="shared" si="6"/>
        <v>0.64731315484358931</v>
      </c>
      <c r="I137" s="221" t="str">
        <f>I123</f>
        <v>Убытки прошлых лет</v>
      </c>
      <c r="K137" s="221">
        <f t="shared" ref="K137:P137" si="18">K123</f>
        <v>26011</v>
      </c>
      <c r="L137" s="221">
        <f t="shared" si="18"/>
        <v>170</v>
      </c>
      <c r="M137" s="221">
        <f t="shared" si="18"/>
        <v>26166</v>
      </c>
      <c r="N137" s="221">
        <f t="shared" si="18"/>
        <v>25996</v>
      </c>
      <c r="O137" s="317">
        <f t="shared" si="18"/>
        <v>152.91764705882352</v>
      </c>
      <c r="P137" s="317">
        <f t="shared" si="18"/>
        <v>5.9590173388182066E-3</v>
      </c>
    </row>
    <row r="138" spans="1:16" ht="11.1" customHeight="1" outlineLevel="5" x14ac:dyDescent="0.2">
      <c r="A138" s="235" t="s">
        <v>137</v>
      </c>
      <c r="B138" s="287">
        <v>56782189.090000004</v>
      </c>
      <c r="C138" s="287">
        <v>60557067.950000003</v>
      </c>
      <c r="D138" s="287">
        <v>70685502.650000006</v>
      </c>
      <c r="E138" s="287">
        <v>70685502.650000006</v>
      </c>
      <c r="F138" s="237">
        <f t="shared" si="16"/>
        <v>10128434.700000003</v>
      </c>
      <c r="G138" s="236">
        <f t="shared" si="6"/>
        <v>0.16725437744711691</v>
      </c>
      <c r="I138" s="221" t="str">
        <f>I127</f>
        <v>ОС (Техника связи)</v>
      </c>
      <c r="K138" s="221">
        <f t="shared" ref="K138:P138" si="19">K127</f>
        <v>1583</v>
      </c>
      <c r="L138" s="221">
        <f t="shared" si="19"/>
        <v>2508</v>
      </c>
      <c r="M138" s="221">
        <f t="shared" si="19"/>
        <v>10231</v>
      </c>
      <c r="N138" s="221">
        <f t="shared" si="19"/>
        <v>7723</v>
      </c>
      <c r="O138" s="317">
        <f t="shared" si="19"/>
        <v>3.0793460925039868</v>
      </c>
      <c r="P138" s="317">
        <f t="shared" si="19"/>
        <v>5.4630448515476946</v>
      </c>
    </row>
    <row r="139" spans="1:16" ht="11.1" customHeight="1" outlineLevel="5" x14ac:dyDescent="0.2">
      <c r="A139" s="235" t="s">
        <v>138</v>
      </c>
      <c r="B139" s="287">
        <v>4025062.72</v>
      </c>
      <c r="C139" s="287">
        <v>3744921.69</v>
      </c>
      <c r="D139" s="287">
        <v>9327113.1699999999</v>
      </c>
      <c r="E139" s="287">
        <v>9327113.1699999999</v>
      </c>
      <c r="F139" s="237">
        <f t="shared" si="16"/>
        <v>5582191.4800000004</v>
      </c>
      <c r="G139" s="236">
        <f t="shared" si="6"/>
        <v>1.4906029930895563</v>
      </c>
      <c r="I139" s="221" t="str">
        <f>I126</f>
        <v>Амортизация зданий</v>
      </c>
      <c r="K139" s="221">
        <f t="shared" ref="K139:P139" si="20">K126</f>
        <v>4025</v>
      </c>
      <c r="L139" s="221">
        <f t="shared" si="20"/>
        <v>3745</v>
      </c>
      <c r="M139" s="221">
        <f t="shared" si="20"/>
        <v>9327</v>
      </c>
      <c r="N139" s="221">
        <f t="shared" si="20"/>
        <v>5582</v>
      </c>
      <c r="O139" s="317">
        <f t="shared" si="20"/>
        <v>1.4905206942590121</v>
      </c>
      <c r="P139" s="317">
        <f t="shared" si="20"/>
        <v>1.3172670807453417</v>
      </c>
    </row>
    <row r="140" spans="1:16" ht="11.1" customHeight="1" outlineLevel="5" x14ac:dyDescent="0.2">
      <c r="A140" s="235" t="s">
        <v>139</v>
      </c>
      <c r="B140" s="287">
        <v>0</v>
      </c>
      <c r="C140" s="287">
        <v>0</v>
      </c>
      <c r="D140" s="287">
        <v>0</v>
      </c>
      <c r="E140" s="287">
        <v>0</v>
      </c>
      <c r="F140" s="237">
        <f t="shared" si="16"/>
        <v>0</v>
      </c>
      <c r="G140" s="236" t="e">
        <f t="shared" si="6"/>
        <v>#DIV/0!</v>
      </c>
      <c r="I140" s="221" t="str">
        <f>I171</f>
        <v>ФОТ</v>
      </c>
      <c r="K140" s="221">
        <f t="shared" ref="K140:P140" si="21">K171</f>
        <v>2935473</v>
      </c>
      <c r="L140" s="221">
        <f t="shared" si="21"/>
        <v>3408561</v>
      </c>
      <c r="M140" s="221">
        <f t="shared" si="21"/>
        <v>3233917</v>
      </c>
      <c r="N140" s="221">
        <f t="shared" si="21"/>
        <v>-174644</v>
      </c>
      <c r="O140" s="317">
        <f t="shared" si="21"/>
        <v>-5.123687092588336E-2</v>
      </c>
      <c r="P140" s="317">
        <f t="shared" si="21"/>
        <v>0.10166811277092314</v>
      </c>
    </row>
    <row r="141" spans="1:16" ht="11.1" customHeight="1" outlineLevel="4" x14ac:dyDescent="0.2">
      <c r="A141" s="234" t="s">
        <v>140</v>
      </c>
      <c r="B141" s="285">
        <v>821143820.87</v>
      </c>
      <c r="C141" s="285">
        <v>795299345.23000002</v>
      </c>
      <c r="D141" s="285">
        <v>1026132079.99</v>
      </c>
      <c r="E141" s="285">
        <v>899075965.61000001</v>
      </c>
      <c r="F141" s="229">
        <f t="shared" si="16"/>
        <v>230832734.75999999</v>
      </c>
      <c r="G141" s="228">
        <f t="shared" si="6"/>
        <v>0.29024635333157889</v>
      </c>
      <c r="I141" s="221" t="str">
        <f>I173</f>
        <v>Авиапревозки</v>
      </c>
      <c r="K141" s="221">
        <f t="shared" ref="K141:P141" si="22">K173</f>
        <v>220370</v>
      </c>
      <c r="L141" s="221">
        <f t="shared" si="22"/>
        <v>202922</v>
      </c>
      <c r="M141" s="221">
        <f t="shared" si="22"/>
        <v>191228</v>
      </c>
      <c r="N141" s="221">
        <f t="shared" si="22"/>
        <v>-11694</v>
      </c>
      <c r="O141" s="317">
        <f t="shared" si="22"/>
        <v>-5.7628054129172823E-2</v>
      </c>
      <c r="P141" s="317">
        <f t="shared" si="22"/>
        <v>-0.13224123065753046</v>
      </c>
    </row>
    <row r="142" spans="1:16" ht="11.1" customHeight="1" outlineLevel="5" x14ac:dyDescent="0.2">
      <c r="A142" s="238" t="s">
        <v>141</v>
      </c>
      <c r="B142" s="285">
        <v>28356297.73</v>
      </c>
      <c r="C142" s="285">
        <v>18575490.98</v>
      </c>
      <c r="D142" s="285">
        <v>16750194.83</v>
      </c>
      <c r="E142" s="285">
        <v>16750194.83</v>
      </c>
      <c r="F142" s="229">
        <f t="shared" si="16"/>
        <v>-1825296.1500000004</v>
      </c>
      <c r="G142" s="228">
        <f t="shared" si="6"/>
        <v>-9.8263682610880809E-2</v>
      </c>
      <c r="I142" s="221" t="str">
        <f>I178</f>
        <v>Содержание имущества</v>
      </c>
      <c r="K142" s="221">
        <f t="shared" ref="K142:P142" si="23">K178</f>
        <v>118630</v>
      </c>
      <c r="L142" s="221">
        <f t="shared" si="23"/>
        <v>127774</v>
      </c>
      <c r="M142" s="221">
        <f t="shared" si="23"/>
        <v>106409</v>
      </c>
      <c r="N142" s="221">
        <f t="shared" si="23"/>
        <v>-21365</v>
      </c>
      <c r="O142" s="317">
        <f t="shared" si="23"/>
        <v>-0.16720929140513718</v>
      </c>
      <c r="P142" s="317">
        <f t="shared" si="23"/>
        <v>-0.10301778639467252</v>
      </c>
    </row>
    <row r="143" spans="1:16" ht="11.1" customHeight="1" outlineLevel="6" x14ac:dyDescent="0.2">
      <c r="A143" s="239" t="s">
        <v>142</v>
      </c>
      <c r="B143" s="287">
        <v>11324.66</v>
      </c>
      <c r="C143" s="287">
        <v>43199.98</v>
      </c>
      <c r="D143" s="287">
        <v>17699.349999999999</v>
      </c>
      <c r="E143" s="287">
        <v>17699.349999999999</v>
      </c>
      <c r="F143" s="237">
        <f t="shared" si="16"/>
        <v>-25500.630000000005</v>
      </c>
      <c r="G143" s="236">
        <f t="shared" si="6"/>
        <v>-0.59029263439473822</v>
      </c>
      <c r="I143" s="221" t="str">
        <f>I174</f>
        <v>Пассажирские перевозки</v>
      </c>
      <c r="K143" s="221">
        <f t="shared" ref="K143:P143" si="24">K174</f>
        <v>56959</v>
      </c>
      <c r="L143" s="221">
        <f t="shared" si="24"/>
        <v>56828</v>
      </c>
      <c r="M143" s="221">
        <f t="shared" si="24"/>
        <v>51941</v>
      </c>
      <c r="N143" s="221">
        <f t="shared" si="24"/>
        <v>-4887</v>
      </c>
      <c r="O143" s="317">
        <f t="shared" si="24"/>
        <v>-8.5996339832476898E-2</v>
      </c>
      <c r="P143" s="317">
        <f t="shared" si="24"/>
        <v>-8.8098456784704737E-2</v>
      </c>
    </row>
    <row r="144" spans="1:16" ht="11.1" customHeight="1" outlineLevel="6" x14ac:dyDescent="0.2">
      <c r="A144" s="239" t="s">
        <v>143</v>
      </c>
      <c r="B144" s="287">
        <v>0</v>
      </c>
      <c r="C144" s="287">
        <v>0</v>
      </c>
      <c r="D144" s="287">
        <v>20207.54</v>
      </c>
      <c r="E144" s="287">
        <v>20207.54</v>
      </c>
      <c r="F144" s="237">
        <f t="shared" si="16"/>
        <v>20207.54</v>
      </c>
      <c r="G144" s="236" t="e">
        <f t="shared" si="6"/>
        <v>#DIV/0!</v>
      </c>
      <c r="I144" s="221" t="str">
        <f>I172</f>
        <v>Упаковка</v>
      </c>
      <c r="K144" s="221">
        <f t="shared" ref="K144:P144" si="25">K172</f>
        <v>58724</v>
      </c>
      <c r="L144" s="221">
        <f t="shared" si="25"/>
        <v>45366</v>
      </c>
      <c r="M144" s="221">
        <f t="shared" si="25"/>
        <v>36280</v>
      </c>
      <c r="N144" s="221">
        <f t="shared" si="25"/>
        <v>-9086</v>
      </c>
      <c r="O144" s="317">
        <f t="shared" si="25"/>
        <v>-0.20028214962747437</v>
      </c>
      <c r="P144" s="317">
        <f t="shared" si="25"/>
        <v>-0.38219467338737145</v>
      </c>
    </row>
    <row r="145" spans="1:16" ht="11.1" customHeight="1" outlineLevel="6" x14ac:dyDescent="0.2">
      <c r="A145" s="239" t="s">
        <v>144</v>
      </c>
      <c r="B145" s="287">
        <v>13960263.16</v>
      </c>
      <c r="C145" s="287">
        <v>6555372</v>
      </c>
      <c r="D145" s="287">
        <v>6506184.7599999998</v>
      </c>
      <c r="E145" s="287">
        <v>6506184.7599999998</v>
      </c>
      <c r="F145" s="237">
        <f t="shared" si="16"/>
        <v>-49187.240000000224</v>
      </c>
      <c r="G145" s="236">
        <f t="shared" si="6"/>
        <v>-7.5033483988399263E-3</v>
      </c>
      <c r="I145" s="221" t="str">
        <f>I176</f>
        <v>Безопасность</v>
      </c>
      <c r="K145" s="221">
        <f t="shared" ref="K145:P145" si="26">K176</f>
        <v>28533</v>
      </c>
      <c r="L145" s="221">
        <f t="shared" si="26"/>
        <v>35278</v>
      </c>
      <c r="M145" s="221">
        <f t="shared" si="26"/>
        <v>29803</v>
      </c>
      <c r="N145" s="221">
        <f t="shared" si="26"/>
        <v>-5475</v>
      </c>
      <c r="O145" s="317">
        <f t="shared" si="26"/>
        <v>-0.15519587278190372</v>
      </c>
      <c r="P145" s="317">
        <f t="shared" si="26"/>
        <v>4.4509865769460033E-2</v>
      </c>
    </row>
    <row r="146" spans="1:16" ht="11.1" customHeight="1" outlineLevel="6" x14ac:dyDescent="0.2">
      <c r="A146" s="239" t="s">
        <v>145</v>
      </c>
      <c r="B146" s="287">
        <v>14384709.91</v>
      </c>
      <c r="C146" s="287">
        <v>11976919</v>
      </c>
      <c r="D146" s="287">
        <v>10206103.18</v>
      </c>
      <c r="E146" s="287">
        <v>10206103.18</v>
      </c>
      <c r="F146" s="237">
        <f t="shared" si="16"/>
        <v>-1770815.8200000003</v>
      </c>
      <c r="G146" s="236">
        <f t="shared" si="6"/>
        <v>-0.14785236670632906</v>
      </c>
      <c r="I146" s="221" t="str">
        <f>I175</f>
        <v>Расходы на персонал</v>
      </c>
      <c r="K146" s="221">
        <f t="shared" ref="K146:P146" si="27">K175</f>
        <v>21101</v>
      </c>
      <c r="L146" s="221">
        <f t="shared" si="27"/>
        <v>27542</v>
      </c>
      <c r="M146" s="221">
        <f t="shared" si="27"/>
        <v>19554</v>
      </c>
      <c r="N146" s="221">
        <f t="shared" si="27"/>
        <v>-7988</v>
      </c>
      <c r="O146" s="317">
        <f t="shared" si="27"/>
        <v>-0.29002977271076902</v>
      </c>
      <c r="P146" s="317">
        <f t="shared" si="27"/>
        <v>-7.3314060944978943E-2</v>
      </c>
    </row>
    <row r="147" spans="1:16" ht="11.1" customHeight="1" outlineLevel="5" x14ac:dyDescent="0.2">
      <c r="A147" s="238" t="s">
        <v>146</v>
      </c>
      <c r="B147" s="285">
        <v>507857615.10000002</v>
      </c>
      <c r="C147" s="285">
        <v>587157068.05999994</v>
      </c>
      <c r="D147" s="285">
        <v>832521595.25</v>
      </c>
      <c r="E147" s="285">
        <v>705465480.87</v>
      </c>
      <c r="F147" s="229">
        <f t="shared" si="16"/>
        <v>245364527.19000006</v>
      </c>
      <c r="G147" s="228">
        <f t="shared" si="6"/>
        <v>0.41788567410198829</v>
      </c>
      <c r="I147" s="221" t="str">
        <f>I179</f>
        <v>Налог на имущество</v>
      </c>
      <c r="K147" s="221">
        <f t="shared" ref="K147:P147" si="28">K179</f>
        <v>13321</v>
      </c>
      <c r="L147" s="221">
        <f t="shared" si="28"/>
        <v>8807</v>
      </c>
      <c r="M147" s="221">
        <f t="shared" si="28"/>
        <v>4564</v>
      </c>
      <c r="N147" s="221">
        <f t="shared" si="28"/>
        <v>-4243</v>
      </c>
      <c r="O147" s="317">
        <f t="shared" si="28"/>
        <v>-0.48177586011127516</v>
      </c>
      <c r="P147" s="317">
        <f t="shared" si="28"/>
        <v>-0.65738307934839724</v>
      </c>
    </row>
    <row r="148" spans="1:16" ht="11.1" customHeight="1" outlineLevel="6" x14ac:dyDescent="0.2">
      <c r="A148" s="242" t="s">
        <v>147</v>
      </c>
      <c r="B148" s="285">
        <v>11404090.35</v>
      </c>
      <c r="C148" s="285">
        <v>8340818</v>
      </c>
      <c r="D148" s="285">
        <v>10295199.939999999</v>
      </c>
      <c r="E148" s="285">
        <v>10295199.939999999</v>
      </c>
      <c r="F148" s="322">
        <f t="shared" si="16"/>
        <v>1954381.9399999995</v>
      </c>
      <c r="G148" s="228">
        <f t="shared" si="6"/>
        <v>0.23431538009821096</v>
      </c>
      <c r="I148" s="221" t="str">
        <f>I177</f>
        <v>Расходы на рекламу и PR</v>
      </c>
      <c r="K148" s="221">
        <f t="shared" ref="K148:P148" si="29">K177</f>
        <v>4361</v>
      </c>
      <c r="L148" s="221">
        <f t="shared" si="29"/>
        <v>7657</v>
      </c>
      <c r="M148" s="221">
        <f t="shared" si="29"/>
        <v>2685</v>
      </c>
      <c r="N148" s="221">
        <f t="shared" si="29"/>
        <v>-4972</v>
      </c>
      <c r="O148" s="317">
        <f t="shared" si="29"/>
        <v>-0.64934047277001439</v>
      </c>
      <c r="P148" s="317">
        <f t="shared" si="29"/>
        <v>-0.38431552396239399</v>
      </c>
    </row>
    <row r="149" spans="1:16" ht="11.1" customHeight="1" outlineLevel="7" x14ac:dyDescent="0.2">
      <c r="A149" s="243" t="s">
        <v>148</v>
      </c>
      <c r="B149" s="287">
        <v>11390705.689999999</v>
      </c>
      <c r="C149" s="287">
        <v>8317418</v>
      </c>
      <c r="D149" s="287">
        <v>10279599.939999999</v>
      </c>
      <c r="E149" s="287">
        <v>10279599.939999999</v>
      </c>
      <c r="F149" s="237">
        <f t="shared" si="16"/>
        <v>1962181.9399999995</v>
      </c>
      <c r="G149" s="236">
        <f t="shared" si="6"/>
        <v>0.23591238771455281</v>
      </c>
      <c r="O149" s="317"/>
      <c r="P149" s="317"/>
    </row>
    <row r="150" spans="1:16" ht="11.1" customHeight="1" outlineLevel="7" x14ac:dyDescent="0.2">
      <c r="A150" s="243" t="s">
        <v>149</v>
      </c>
      <c r="B150" s="287">
        <v>13384.66</v>
      </c>
      <c r="C150" s="287">
        <v>23400</v>
      </c>
      <c r="D150" s="287">
        <v>15600</v>
      </c>
      <c r="E150" s="287">
        <v>15600</v>
      </c>
      <c r="F150" s="237">
        <f t="shared" si="16"/>
        <v>-7800</v>
      </c>
      <c r="G150" s="236">
        <f t="shared" si="6"/>
        <v>-0.33333333333333337</v>
      </c>
      <c r="O150" s="317"/>
      <c r="P150" s="317"/>
    </row>
    <row r="151" spans="1:16" ht="11.1" customHeight="1" outlineLevel="6" x14ac:dyDescent="0.2">
      <c r="A151" s="242" t="s">
        <v>150</v>
      </c>
      <c r="B151" s="285">
        <v>295306.89</v>
      </c>
      <c r="C151" s="285">
        <v>2845001</v>
      </c>
      <c r="D151" s="285">
        <v>1619900.94</v>
      </c>
      <c r="E151" s="285">
        <v>1619900.94</v>
      </c>
      <c r="F151" s="229">
        <f t="shared" si="16"/>
        <v>-1225100.06</v>
      </c>
      <c r="G151" s="228">
        <f t="shared" si="6"/>
        <v>-0.43061498396661368</v>
      </c>
      <c r="O151" s="317"/>
      <c r="P151" s="317"/>
    </row>
    <row r="152" spans="1:16" ht="11.1" customHeight="1" outlineLevel="7" x14ac:dyDescent="0.2">
      <c r="A152" s="243" t="s">
        <v>151</v>
      </c>
      <c r="B152" s="287">
        <v>276826.67</v>
      </c>
      <c r="C152" s="287">
        <v>2845001</v>
      </c>
      <c r="D152" s="287">
        <v>1579271.74</v>
      </c>
      <c r="E152" s="287">
        <v>1579271.74</v>
      </c>
      <c r="F152" s="237">
        <f t="shared" si="16"/>
        <v>-1265729.26</v>
      </c>
      <c r="G152" s="236">
        <f t="shared" si="6"/>
        <v>-0.44489589283096909</v>
      </c>
      <c r="O152" s="317"/>
      <c r="P152" s="317"/>
    </row>
    <row r="153" spans="1:16" ht="11.1" customHeight="1" outlineLevel="7" x14ac:dyDescent="0.2">
      <c r="A153" s="243" t="s">
        <v>152</v>
      </c>
      <c r="B153" s="287">
        <v>18480.22</v>
      </c>
      <c r="C153" s="287">
        <v>0</v>
      </c>
      <c r="D153" s="287">
        <v>40629.199999999997</v>
      </c>
      <c r="E153" s="287">
        <v>40629.199999999997</v>
      </c>
      <c r="F153" s="237">
        <f t="shared" si="16"/>
        <v>40629.199999999997</v>
      </c>
      <c r="G153" s="236" t="e">
        <f t="shared" si="6"/>
        <v>#DIV/0!</v>
      </c>
      <c r="O153" s="317"/>
      <c r="P153" s="317"/>
    </row>
    <row r="154" spans="1:16" ht="11.1" customHeight="1" outlineLevel="6" x14ac:dyDescent="0.2">
      <c r="A154" s="242" t="s">
        <v>153</v>
      </c>
      <c r="B154" s="285">
        <v>44270590.240000002</v>
      </c>
      <c r="C154" s="285">
        <v>194168568.74000001</v>
      </c>
      <c r="D154" s="285">
        <v>230446327.94</v>
      </c>
      <c r="E154" s="285">
        <v>225852448.5</v>
      </c>
      <c r="F154" s="322">
        <f t="shared" si="16"/>
        <v>36277759.199999988</v>
      </c>
      <c r="G154" s="228">
        <f t="shared" si="6"/>
        <v>0.18683641454131261</v>
      </c>
      <c r="O154" s="317"/>
      <c r="P154" s="317"/>
    </row>
    <row r="155" spans="1:16" ht="11.1" customHeight="1" outlineLevel="7" x14ac:dyDescent="0.2">
      <c r="A155" s="243" t="s">
        <v>154</v>
      </c>
      <c r="B155" s="287">
        <v>60159.77</v>
      </c>
      <c r="C155" s="287">
        <v>754310.24</v>
      </c>
      <c r="D155" s="287">
        <v>8549219.6799999997</v>
      </c>
      <c r="E155" s="287">
        <v>8175886.3499999996</v>
      </c>
      <c r="F155" s="237">
        <f t="shared" si="16"/>
        <v>7794909.4399999995</v>
      </c>
      <c r="G155" s="236">
        <f t="shared" si="6"/>
        <v>10.333824236563458</v>
      </c>
      <c r="O155" s="317"/>
      <c r="P155" s="317"/>
    </row>
    <row r="156" spans="1:16" ht="11.1" customHeight="1" outlineLevel="7" x14ac:dyDescent="0.2">
      <c r="A156" s="243" t="s">
        <v>155</v>
      </c>
      <c r="B156" s="287">
        <v>44210430.469999999</v>
      </c>
      <c r="C156" s="287">
        <v>193414258.5</v>
      </c>
      <c r="D156" s="287">
        <v>221897108.25999999</v>
      </c>
      <c r="E156" s="287">
        <v>217676562.15000001</v>
      </c>
      <c r="F156" s="237">
        <f t="shared" si="16"/>
        <v>28482849.75999999</v>
      </c>
      <c r="G156" s="236">
        <f t="shared" si="6"/>
        <v>0.14726344366178146</v>
      </c>
      <c r="O156" s="317"/>
      <c r="P156" s="317"/>
    </row>
    <row r="157" spans="1:16" ht="11.1" customHeight="1" outlineLevel="6" x14ac:dyDescent="0.2">
      <c r="A157" s="242" t="s">
        <v>156</v>
      </c>
      <c r="B157" s="285">
        <v>160365750.93000001</v>
      </c>
      <c r="C157" s="285">
        <v>118083154.05</v>
      </c>
      <c r="D157" s="285">
        <v>341353312.50999999</v>
      </c>
      <c r="E157" s="285">
        <v>223935312.50999999</v>
      </c>
      <c r="F157" s="322">
        <f t="shared" si="16"/>
        <v>223270158.45999998</v>
      </c>
      <c r="G157" s="228">
        <f t="shared" si="6"/>
        <v>1.8907875577701847</v>
      </c>
    </row>
    <row r="158" spans="1:16" ht="11.1" customHeight="1" outlineLevel="7" x14ac:dyDescent="0.2">
      <c r="A158" s="243" t="s">
        <v>157</v>
      </c>
      <c r="B158" s="287">
        <v>16539937.630000001</v>
      </c>
      <c r="C158" s="287">
        <v>1775600</v>
      </c>
      <c r="D158" s="287">
        <v>6331132.6399999997</v>
      </c>
      <c r="E158" s="287">
        <v>6331132.6399999997</v>
      </c>
      <c r="F158" s="237">
        <f t="shared" si="16"/>
        <v>4555532.6399999997</v>
      </c>
      <c r="G158" s="236">
        <f t="shared" si="6"/>
        <v>2.5656300067582789</v>
      </c>
    </row>
    <row r="159" spans="1:16" ht="11.1" customHeight="1" outlineLevel="7" x14ac:dyDescent="0.2">
      <c r="A159" s="243" t="s">
        <v>158</v>
      </c>
      <c r="B159" s="287">
        <v>143825813.30000001</v>
      </c>
      <c r="C159" s="287">
        <v>116307554.05</v>
      </c>
      <c r="D159" s="287">
        <v>335022179.87</v>
      </c>
      <c r="E159" s="287">
        <v>217604179.87</v>
      </c>
      <c r="F159" s="237">
        <f t="shared" si="16"/>
        <v>218714625.81999999</v>
      </c>
      <c r="G159" s="236">
        <f t="shared" si="6"/>
        <v>1.880485129331976</v>
      </c>
    </row>
    <row r="160" spans="1:16" ht="11.1" customHeight="1" outlineLevel="6" x14ac:dyDescent="0.2">
      <c r="A160" s="242" t="s">
        <v>159</v>
      </c>
      <c r="B160" s="285">
        <v>6332831.6100000003</v>
      </c>
      <c r="C160" s="285">
        <v>3130021.23</v>
      </c>
      <c r="D160" s="285">
        <v>3890685.29</v>
      </c>
      <c r="E160" s="285">
        <v>3890685.29</v>
      </c>
      <c r="F160" s="322">
        <f t="shared" si="16"/>
        <v>760664.06</v>
      </c>
      <c r="G160" s="228">
        <f t="shared" si="6"/>
        <v>0.2430220129848768</v>
      </c>
    </row>
    <row r="161" spans="1:16" ht="11.1" customHeight="1" outlineLevel="7" x14ac:dyDescent="0.2">
      <c r="A161" s="243" t="s">
        <v>160</v>
      </c>
      <c r="B161" s="287">
        <v>10653.34</v>
      </c>
      <c r="C161" s="287">
        <v>167400</v>
      </c>
      <c r="D161" s="287">
        <v>34666.699999999997</v>
      </c>
      <c r="E161" s="287">
        <v>34666.699999999997</v>
      </c>
      <c r="F161" s="237">
        <f t="shared" si="16"/>
        <v>-132733.29999999999</v>
      </c>
      <c r="G161" s="236">
        <f t="shared" si="6"/>
        <v>-0.79291099163679812</v>
      </c>
    </row>
    <row r="162" spans="1:16" ht="11.1" customHeight="1" outlineLevel="7" x14ac:dyDescent="0.2">
      <c r="A162" s="243" t="s">
        <v>161</v>
      </c>
      <c r="B162" s="287">
        <v>6322178.2699999996</v>
      </c>
      <c r="C162" s="287">
        <v>2962621.23</v>
      </c>
      <c r="D162" s="287">
        <v>3856018.59</v>
      </c>
      <c r="E162" s="287">
        <v>3856018.59</v>
      </c>
      <c r="F162" s="237">
        <f t="shared" si="16"/>
        <v>893397.35999999987</v>
      </c>
      <c r="G162" s="236">
        <f t="shared" si="6"/>
        <v>0.30155638896842718</v>
      </c>
    </row>
    <row r="163" spans="1:16" ht="11.1" customHeight="1" outlineLevel="6" x14ac:dyDescent="0.2">
      <c r="A163" s="242" t="s">
        <v>162</v>
      </c>
      <c r="B163" s="285">
        <v>220369513.16</v>
      </c>
      <c r="C163" s="285">
        <v>202921619.46000001</v>
      </c>
      <c r="D163" s="285">
        <v>191227700.00999999</v>
      </c>
      <c r="E163" s="285">
        <v>186183465.06999999</v>
      </c>
      <c r="F163" s="229">
        <f t="shared" si="16"/>
        <v>-11693919.450000018</v>
      </c>
      <c r="G163" s="228">
        <f t="shared" si="6"/>
        <v>-5.7627765248074669E-2</v>
      </c>
    </row>
    <row r="164" spans="1:16" ht="11.1" customHeight="1" outlineLevel="7" x14ac:dyDescent="0.2">
      <c r="A164" s="243" t="s">
        <v>163</v>
      </c>
      <c r="B164" s="287">
        <v>8897926.0399999991</v>
      </c>
      <c r="C164" s="287">
        <v>13546798.380000001</v>
      </c>
      <c r="D164" s="287">
        <v>6252589.5899999999</v>
      </c>
      <c r="E164" s="287">
        <v>6252589.5899999999</v>
      </c>
      <c r="F164" s="237">
        <f t="shared" si="16"/>
        <v>-7294208.790000001</v>
      </c>
      <c r="G164" s="236">
        <f t="shared" si="6"/>
        <v>-0.53844521675091173</v>
      </c>
    </row>
    <row r="165" spans="1:16" ht="11.1" customHeight="1" outlineLevel="7" x14ac:dyDescent="0.2">
      <c r="A165" s="243" t="s">
        <v>164</v>
      </c>
      <c r="B165" s="287">
        <v>211471587.12</v>
      </c>
      <c r="C165" s="287">
        <v>189374821.08000001</v>
      </c>
      <c r="D165" s="287">
        <v>184975110.41999999</v>
      </c>
      <c r="E165" s="287">
        <v>179930875.47999999</v>
      </c>
      <c r="F165" s="237">
        <f t="shared" si="16"/>
        <v>-4399710.6600000262</v>
      </c>
      <c r="G165" s="236">
        <f t="shared" si="6"/>
        <v>-2.323281751453854E-2</v>
      </c>
    </row>
    <row r="166" spans="1:16" ht="11.1" customHeight="1" outlineLevel="6" x14ac:dyDescent="0.2">
      <c r="A166" s="239" t="s">
        <v>165</v>
      </c>
      <c r="B166" s="287">
        <v>56959436.619999997</v>
      </c>
      <c r="C166" s="287">
        <v>56827803.32</v>
      </c>
      <c r="D166" s="287">
        <v>51940565.18</v>
      </c>
      <c r="E166" s="287">
        <v>51940565.18</v>
      </c>
      <c r="F166" s="237">
        <f t="shared" si="16"/>
        <v>-4887238.1400000006</v>
      </c>
      <c r="G166" s="236">
        <f t="shared" si="6"/>
        <v>-8.6000828018632625E-2</v>
      </c>
    </row>
    <row r="167" spans="1:16" ht="11.1" customHeight="1" outlineLevel="6" x14ac:dyDescent="0.2">
      <c r="A167" s="239" t="s">
        <v>166</v>
      </c>
      <c r="B167" s="287">
        <v>6407965.6200000001</v>
      </c>
      <c r="C167" s="287">
        <v>547667.86</v>
      </c>
      <c r="D167" s="287">
        <v>1184991.8</v>
      </c>
      <c r="E167" s="287">
        <v>1184991.8</v>
      </c>
      <c r="F167" s="321">
        <f t="shared" si="16"/>
        <v>637323.94000000006</v>
      </c>
      <c r="G167" s="236">
        <f t="shared" si="6"/>
        <v>1.1637052062905426</v>
      </c>
    </row>
    <row r="168" spans="1:16" ht="11.1" customHeight="1" outlineLevel="6" x14ac:dyDescent="0.2">
      <c r="A168" s="239" t="s">
        <v>167</v>
      </c>
      <c r="B168" s="287">
        <v>1452129.68</v>
      </c>
      <c r="C168" s="287">
        <v>292414.40000000002</v>
      </c>
      <c r="D168" s="287">
        <v>562911.64</v>
      </c>
      <c r="E168" s="287">
        <v>562911.64</v>
      </c>
      <c r="F168" s="321">
        <f t="shared" si="16"/>
        <v>270497.24</v>
      </c>
      <c r="G168" s="236">
        <f t="shared" si="6"/>
        <v>0.92504760367478478</v>
      </c>
    </row>
    <row r="169" spans="1:16" ht="11.1" customHeight="1" outlineLevel="5" x14ac:dyDescent="0.2">
      <c r="A169" s="238" t="s">
        <v>168</v>
      </c>
      <c r="B169" s="285">
        <v>233060321</v>
      </c>
      <c r="C169" s="285">
        <v>140966411.75</v>
      </c>
      <c r="D169" s="285">
        <v>138629866.72</v>
      </c>
      <c r="E169" s="285">
        <v>138629866.72</v>
      </c>
      <c r="F169" s="229">
        <f t="shared" si="16"/>
        <v>-2336545.0300000012</v>
      </c>
      <c r="G169" s="228">
        <f t="shared" si="6"/>
        <v>-1.657518979871464E-2</v>
      </c>
    </row>
    <row r="170" spans="1:16" ht="11.1" customHeight="1" outlineLevel="6" x14ac:dyDescent="0.2">
      <c r="A170" s="239" t="s">
        <v>168</v>
      </c>
      <c r="B170" s="287">
        <v>233060321</v>
      </c>
      <c r="C170" s="287">
        <v>138466411.75999999</v>
      </c>
      <c r="D170" s="287">
        <v>138629866.72</v>
      </c>
      <c r="E170" s="287">
        <v>138629866.72</v>
      </c>
      <c r="F170" s="237">
        <f t="shared" si="16"/>
        <v>163454.96000000834</v>
      </c>
      <c r="G170" s="236">
        <f t="shared" si="6"/>
        <v>1.1804664966932332E-3</v>
      </c>
      <c r="K170" s="221" t="s">
        <v>389</v>
      </c>
      <c r="L170" s="221" t="s">
        <v>414</v>
      </c>
      <c r="M170" s="221" t="s">
        <v>754</v>
      </c>
    </row>
    <row r="171" spans="1:16" ht="11.1" customHeight="1" outlineLevel="6" x14ac:dyDescent="0.2">
      <c r="A171" s="239" t="s">
        <v>169</v>
      </c>
      <c r="B171" s="287">
        <v>0</v>
      </c>
      <c r="C171" s="287">
        <v>2499999.9900000002</v>
      </c>
      <c r="D171" s="287">
        <v>0</v>
      </c>
      <c r="E171" s="287">
        <v>0</v>
      </c>
      <c r="F171" s="237">
        <f t="shared" si="16"/>
        <v>-2499999.9900000002</v>
      </c>
      <c r="G171" s="236">
        <f t="shared" si="6"/>
        <v>-1</v>
      </c>
      <c r="I171" s="221" t="s">
        <v>868</v>
      </c>
      <c r="K171" s="226">
        <f>ROUND(B119/1000,0)</f>
        <v>2935473</v>
      </c>
      <c r="L171" s="226">
        <f>ROUND(C119/1000,0)</f>
        <v>3408561</v>
      </c>
      <c r="M171" s="226">
        <f>ROUND(D119/1000,0)</f>
        <v>3233917</v>
      </c>
      <c r="N171" s="226">
        <f>M171-L171</f>
        <v>-174644</v>
      </c>
      <c r="O171" s="320">
        <f>M171/L171-100%</f>
        <v>-5.123687092588336E-2</v>
      </c>
      <c r="P171" s="320">
        <f>M171/K171-100%</f>
        <v>0.10166811277092314</v>
      </c>
    </row>
    <row r="172" spans="1:16" ht="11.1" customHeight="1" outlineLevel="5" x14ac:dyDescent="0.2">
      <c r="A172" s="235" t="s">
        <v>170</v>
      </c>
      <c r="B172" s="287">
        <v>40925275.020000003</v>
      </c>
      <c r="C172" s="287">
        <v>45269078.340000004</v>
      </c>
      <c r="D172" s="287">
        <v>33699750.719999999</v>
      </c>
      <c r="E172" s="287">
        <v>33699750.719999999</v>
      </c>
      <c r="F172" s="237">
        <f t="shared" si="16"/>
        <v>-11569327.620000005</v>
      </c>
      <c r="G172" s="236">
        <f t="shared" si="6"/>
        <v>-0.25556799573224986</v>
      </c>
      <c r="I172" s="221" t="s">
        <v>876</v>
      </c>
      <c r="K172" s="226">
        <f>ROUND(B131/1000,0)</f>
        <v>58724</v>
      </c>
      <c r="L172" s="226">
        <f>ROUND(C131/1000,0)</f>
        <v>45366</v>
      </c>
      <c r="M172" s="226">
        <f>ROUND(D131/1000,0)</f>
        <v>36280</v>
      </c>
      <c r="N172" s="226">
        <f t="shared" ref="N172:N179" si="30">M172-L172</f>
        <v>-9086</v>
      </c>
      <c r="O172" s="320">
        <f t="shared" ref="O172:O179" si="31">M172/L172-100%</f>
        <v>-0.20028214962747437</v>
      </c>
      <c r="P172" s="320">
        <f t="shared" ref="P172:P179" si="32">M172/K172-100%</f>
        <v>-0.38219467338737145</v>
      </c>
    </row>
    <row r="173" spans="1:16" ht="11.1" customHeight="1" outlineLevel="5" x14ac:dyDescent="0.2">
      <c r="A173" s="235" t="s">
        <v>171</v>
      </c>
      <c r="B173" s="287">
        <v>10944312.02</v>
      </c>
      <c r="C173" s="287">
        <v>3331296.1</v>
      </c>
      <c r="D173" s="287">
        <v>4530672.47</v>
      </c>
      <c r="E173" s="287">
        <v>4530672.47</v>
      </c>
      <c r="F173" s="321">
        <f t="shared" si="16"/>
        <v>1199376.3699999996</v>
      </c>
      <c r="G173" s="236">
        <f t="shared" si="6"/>
        <v>0.36003295233948118</v>
      </c>
      <c r="I173" s="221" t="s">
        <v>877</v>
      </c>
      <c r="K173" s="226">
        <f>ROUND(B163/1000,0)</f>
        <v>220370</v>
      </c>
      <c r="L173" s="226">
        <f>ROUND(C163/1000,0)</f>
        <v>202922</v>
      </c>
      <c r="M173" s="226">
        <f>ROUND(D163/1000,0)</f>
        <v>191228</v>
      </c>
      <c r="N173" s="226">
        <f t="shared" si="30"/>
        <v>-11694</v>
      </c>
      <c r="O173" s="320">
        <f t="shared" si="31"/>
        <v>-5.7628054129172823E-2</v>
      </c>
      <c r="P173" s="320">
        <f t="shared" si="32"/>
        <v>-0.13224123065753046</v>
      </c>
    </row>
    <row r="174" spans="1:16" ht="11.1" customHeight="1" outlineLevel="4" x14ac:dyDescent="0.2">
      <c r="A174" s="240" t="s">
        <v>172</v>
      </c>
      <c r="B174" s="287">
        <v>91929433.609999999</v>
      </c>
      <c r="C174" s="287">
        <v>98478491.049999997</v>
      </c>
      <c r="D174" s="287">
        <v>102559051.75</v>
      </c>
      <c r="E174" s="287">
        <v>102559051.75</v>
      </c>
      <c r="F174" s="321">
        <f t="shared" si="16"/>
        <v>4080560.700000003</v>
      </c>
      <c r="G174" s="236">
        <f t="shared" si="6"/>
        <v>4.1436060367011418E-2</v>
      </c>
      <c r="I174" s="221" t="s">
        <v>878</v>
      </c>
      <c r="K174" s="226">
        <f>ROUND(B166/1000,0)</f>
        <v>56959</v>
      </c>
      <c r="L174" s="226">
        <f>ROUND(C166/1000,0)</f>
        <v>56828</v>
      </c>
      <c r="M174" s="226">
        <f>ROUND(D166/1000,0)</f>
        <v>51941</v>
      </c>
      <c r="N174" s="226">
        <f t="shared" si="30"/>
        <v>-4887</v>
      </c>
      <c r="O174" s="320">
        <f t="shared" si="31"/>
        <v>-8.5996339832476898E-2</v>
      </c>
      <c r="P174" s="320">
        <f t="shared" si="32"/>
        <v>-8.8098456784704737E-2</v>
      </c>
    </row>
    <row r="175" spans="1:16" ht="11.1" customHeight="1" outlineLevel="4" x14ac:dyDescent="0.2">
      <c r="A175" s="234" t="s">
        <v>173</v>
      </c>
      <c r="B175" s="285">
        <v>1949318985.4000001</v>
      </c>
      <c r="C175" s="285">
        <v>2345809509.23</v>
      </c>
      <c r="D175" s="285">
        <v>2136512283.02</v>
      </c>
      <c r="E175" s="285">
        <v>2136512283.02</v>
      </c>
      <c r="F175" s="229">
        <f t="shared" si="16"/>
        <v>-209297226.21000004</v>
      </c>
      <c r="G175" s="228">
        <f t="shared" si="6"/>
        <v>-8.9221748563335312E-2</v>
      </c>
      <c r="I175" s="221" t="s">
        <v>178</v>
      </c>
      <c r="K175" s="226">
        <f>ROUND((B180+B195+B280)/1000,0)</f>
        <v>21101</v>
      </c>
      <c r="L175" s="226">
        <f>ROUND((C180+C195+C280)/1000,0)</f>
        <v>27542</v>
      </c>
      <c r="M175" s="226">
        <f>ROUND((D180+D195+D280)/1000,0)</f>
        <v>19554</v>
      </c>
      <c r="N175" s="226">
        <f t="shared" si="30"/>
        <v>-7988</v>
      </c>
      <c r="O175" s="320">
        <f t="shared" si="31"/>
        <v>-0.29002977271076902</v>
      </c>
      <c r="P175" s="320">
        <f t="shared" si="32"/>
        <v>-7.3314060944978943E-2</v>
      </c>
    </row>
    <row r="176" spans="1:16" ht="11.1" customHeight="1" outlineLevel="5" x14ac:dyDescent="0.2">
      <c r="A176" s="235" t="s">
        <v>174</v>
      </c>
      <c r="B176" s="287">
        <v>1385594833.5100002</v>
      </c>
      <c r="C176" s="287">
        <v>1639032593.71</v>
      </c>
      <c r="D176" s="287">
        <v>1511295225.0799999</v>
      </c>
      <c r="E176" s="287">
        <v>1511295225.0799999</v>
      </c>
      <c r="F176" s="237">
        <f t="shared" si="16"/>
        <v>-127737368.63000011</v>
      </c>
      <c r="G176" s="236">
        <f t="shared" si="6"/>
        <v>-7.7934611624081662E-2</v>
      </c>
      <c r="I176" s="221" t="str">
        <f>A245</f>
        <v>Безопасность</v>
      </c>
      <c r="K176" s="226">
        <f>ROUND(B245/1000,0)</f>
        <v>28533</v>
      </c>
      <c r="L176" s="226">
        <f>ROUND(C245/1000,0)</f>
        <v>35278</v>
      </c>
      <c r="M176" s="226">
        <f>ROUND(D245/1000,0)</f>
        <v>29803</v>
      </c>
      <c r="N176" s="226">
        <f t="shared" si="30"/>
        <v>-5475</v>
      </c>
      <c r="O176" s="320">
        <f t="shared" si="31"/>
        <v>-0.15519587278190372</v>
      </c>
      <c r="P176" s="320">
        <f t="shared" si="32"/>
        <v>4.4509865769460033E-2</v>
      </c>
    </row>
    <row r="177" spans="1:16" ht="11.1" customHeight="1" outlineLevel="5" x14ac:dyDescent="0.2">
      <c r="A177" s="235" t="s">
        <v>175</v>
      </c>
      <c r="B177" s="287">
        <v>455671434.92000002</v>
      </c>
      <c r="C177" s="287">
        <v>543707931.60000002</v>
      </c>
      <c r="D177" s="287">
        <v>492823745.54000002</v>
      </c>
      <c r="E177" s="287">
        <v>492823745.54000002</v>
      </c>
      <c r="F177" s="237">
        <f t="shared" si="16"/>
        <v>-50884186.060000002</v>
      </c>
      <c r="G177" s="236">
        <f t="shared" si="6"/>
        <v>-9.3587352883119146E-2</v>
      </c>
      <c r="I177" s="221" t="str">
        <f>A199</f>
        <v>Расходы на рекламу и PR</v>
      </c>
      <c r="K177" s="226">
        <f>ROUND(B199/1000,0)</f>
        <v>4361</v>
      </c>
      <c r="L177" s="226">
        <f>ROUND(C199/1000,0)</f>
        <v>7657</v>
      </c>
      <c r="M177" s="226">
        <f>ROUND(D199/1000,0)</f>
        <v>2685</v>
      </c>
      <c r="N177" s="226">
        <f t="shared" si="30"/>
        <v>-4972</v>
      </c>
      <c r="O177" s="320">
        <f t="shared" si="31"/>
        <v>-0.64934047277001439</v>
      </c>
      <c r="P177" s="320">
        <f t="shared" si="32"/>
        <v>-0.38431552396239399</v>
      </c>
    </row>
    <row r="178" spans="1:16" ht="11.1" customHeight="1" outlineLevel="5" x14ac:dyDescent="0.2">
      <c r="A178" s="235" t="s">
        <v>176</v>
      </c>
      <c r="B178" s="287">
        <v>108001058.87</v>
      </c>
      <c r="C178" s="287">
        <v>161169583.91999999</v>
      </c>
      <c r="D178" s="287">
        <v>132002056.87</v>
      </c>
      <c r="E178" s="287">
        <v>132002056.87</v>
      </c>
      <c r="F178" s="237">
        <f t="shared" si="16"/>
        <v>-29167527.049999982</v>
      </c>
      <c r="G178" s="236">
        <f t="shared" si="6"/>
        <v>-0.18097414127766143</v>
      </c>
      <c r="I178" s="221" t="s">
        <v>879</v>
      </c>
      <c r="K178" s="226">
        <f>ROUND((B172+B239+B265+B266+B267+B270)/1000,0)</f>
        <v>118630</v>
      </c>
      <c r="L178" s="226">
        <f>ROUND((C172+C239+C265+C266+C267+C270)/1000,0)</f>
        <v>127774</v>
      </c>
      <c r="M178" s="226">
        <f>ROUND((D172+D239+D265+D266+D267+D270)/1000,0)</f>
        <v>106409</v>
      </c>
      <c r="N178" s="226">
        <f t="shared" si="30"/>
        <v>-21365</v>
      </c>
      <c r="O178" s="320">
        <f t="shared" si="31"/>
        <v>-0.16720929140513718</v>
      </c>
      <c r="P178" s="320">
        <f t="shared" si="32"/>
        <v>-0.10301778639467252</v>
      </c>
    </row>
    <row r="179" spans="1:16" ht="11.1" customHeight="1" outlineLevel="5" x14ac:dyDescent="0.2">
      <c r="A179" s="235" t="s">
        <v>177</v>
      </c>
      <c r="B179" s="287">
        <v>51658.1</v>
      </c>
      <c r="C179" s="287">
        <v>1899400</v>
      </c>
      <c r="D179" s="287">
        <v>391255.53</v>
      </c>
      <c r="E179" s="287">
        <v>391255.53</v>
      </c>
      <c r="F179" s="237">
        <f t="shared" si="16"/>
        <v>-1508144.47</v>
      </c>
      <c r="G179" s="236">
        <f t="shared" si="6"/>
        <v>-0.79401098768032008</v>
      </c>
      <c r="I179" s="221" t="str">
        <f>A295</f>
        <v>Налог на имущество</v>
      </c>
      <c r="K179" s="226">
        <f>ROUND(B295/1000,0)</f>
        <v>13321</v>
      </c>
      <c r="L179" s="226">
        <f>ROUND(C295/1000,0)</f>
        <v>8807</v>
      </c>
      <c r="M179" s="226">
        <f>ROUND(D295/1000,0)</f>
        <v>4564</v>
      </c>
      <c r="N179" s="226">
        <f t="shared" si="30"/>
        <v>-4243</v>
      </c>
      <c r="O179" s="320">
        <f t="shared" si="31"/>
        <v>-0.48177586011127516</v>
      </c>
      <c r="P179" s="320">
        <f t="shared" si="32"/>
        <v>-0.65738307934839724</v>
      </c>
    </row>
    <row r="180" spans="1:16" ht="11.1" customHeight="1" outlineLevel="4" x14ac:dyDescent="0.2">
      <c r="A180" s="234" t="s">
        <v>178</v>
      </c>
      <c r="B180" s="285">
        <v>17201377.059999999</v>
      </c>
      <c r="C180" s="285">
        <v>21914962.120000001</v>
      </c>
      <c r="D180" s="285">
        <v>16003926.32</v>
      </c>
      <c r="E180" s="285">
        <v>16003926.32</v>
      </c>
      <c r="F180" s="229">
        <f t="shared" si="16"/>
        <v>-5911035.8000000007</v>
      </c>
      <c r="G180" s="228">
        <f t="shared" si="6"/>
        <v>-0.26972603318376165</v>
      </c>
    </row>
    <row r="181" spans="1:16" ht="11.1" customHeight="1" outlineLevel="5" x14ac:dyDescent="0.2">
      <c r="A181" s="235" t="s">
        <v>179</v>
      </c>
      <c r="B181" s="287">
        <v>2063417.6</v>
      </c>
      <c r="C181" s="287">
        <v>2959114.1</v>
      </c>
      <c r="D181" s="287">
        <v>1046983.33</v>
      </c>
      <c r="E181" s="287">
        <v>1046983.33</v>
      </c>
      <c r="F181" s="237">
        <f t="shared" si="16"/>
        <v>-1912130.77</v>
      </c>
      <c r="G181" s="236">
        <f t="shared" si="6"/>
        <v>-0.64618352161547277</v>
      </c>
    </row>
    <row r="182" spans="1:16" ht="11.1" customHeight="1" outlineLevel="5" x14ac:dyDescent="0.2">
      <c r="A182" s="235" t="s">
        <v>180</v>
      </c>
      <c r="B182" s="287">
        <v>38990.54</v>
      </c>
      <c r="C182" s="287">
        <v>200364</v>
      </c>
      <c r="D182" s="287">
        <v>19350.57</v>
      </c>
      <c r="E182" s="287">
        <v>19350.57</v>
      </c>
      <c r="F182" s="237">
        <f t="shared" si="16"/>
        <v>-181013.43</v>
      </c>
      <c r="G182" s="236">
        <f t="shared" si="6"/>
        <v>-0.9034229202850812</v>
      </c>
    </row>
    <row r="183" spans="1:16" ht="11.1" customHeight="1" outlineLevel="5" x14ac:dyDescent="0.2">
      <c r="A183" s="235" t="s">
        <v>181</v>
      </c>
      <c r="B183" s="287">
        <v>15098968.92</v>
      </c>
      <c r="C183" s="287">
        <v>18755484.02</v>
      </c>
      <c r="D183" s="287">
        <v>14937592.42</v>
      </c>
      <c r="E183" s="287">
        <v>14937592.42</v>
      </c>
      <c r="F183" s="237">
        <f t="shared" si="16"/>
        <v>-3817891.5999999996</v>
      </c>
      <c r="G183" s="236">
        <f t="shared" si="6"/>
        <v>-0.20356134749328636</v>
      </c>
    </row>
    <row r="184" spans="1:16" ht="11.1" customHeight="1" outlineLevel="4" x14ac:dyDescent="0.2">
      <c r="A184" s="240" t="s">
        <v>182</v>
      </c>
      <c r="B184" s="287">
        <v>0</v>
      </c>
      <c r="C184" s="287">
        <v>0</v>
      </c>
      <c r="D184" s="287">
        <v>0</v>
      </c>
      <c r="E184" s="287">
        <v>0</v>
      </c>
      <c r="F184" s="237">
        <f t="shared" si="16"/>
        <v>0</v>
      </c>
      <c r="G184" s="236" t="e">
        <f t="shared" ref="G184:G247" si="33">D184/C184-1</f>
        <v>#DIV/0!</v>
      </c>
    </row>
    <row r="185" spans="1:16" ht="11.1" customHeight="1" outlineLevel="4" x14ac:dyDescent="0.2">
      <c r="A185" s="240" t="s">
        <v>183</v>
      </c>
      <c r="B185" s="287">
        <v>2680414.7200000002</v>
      </c>
      <c r="C185" s="287">
        <v>3210237.82</v>
      </c>
      <c r="D185" s="287">
        <v>399705.85</v>
      </c>
      <c r="E185" s="287">
        <v>399705.85</v>
      </c>
      <c r="F185" s="237">
        <f t="shared" si="16"/>
        <v>-2810531.9699999997</v>
      </c>
      <c r="G185" s="236">
        <f t="shared" si="33"/>
        <v>-0.87549026819452269</v>
      </c>
    </row>
    <row r="186" spans="1:16" ht="11.1" customHeight="1" outlineLevel="4" x14ac:dyDescent="0.2">
      <c r="A186" s="240" t="s">
        <v>184</v>
      </c>
      <c r="B186" s="287">
        <v>3472518.45</v>
      </c>
      <c r="C186" s="287">
        <v>2452134.1800000002</v>
      </c>
      <c r="D186" s="287">
        <v>1773014.97</v>
      </c>
      <c r="E186" s="287">
        <v>1773014.97</v>
      </c>
      <c r="F186" s="237">
        <f t="shared" si="16"/>
        <v>-679119.2100000002</v>
      </c>
      <c r="G186" s="236">
        <f t="shared" si="33"/>
        <v>-0.27695026460583005</v>
      </c>
    </row>
    <row r="187" spans="1:16" ht="11.1" customHeight="1" outlineLevel="3" x14ac:dyDescent="0.2">
      <c r="A187" s="246" t="s">
        <v>185</v>
      </c>
      <c r="B187" s="284">
        <v>130335672.28</v>
      </c>
      <c r="C187" s="284">
        <v>164231614.72999999</v>
      </c>
      <c r="D187" s="284">
        <v>135778866.97999999</v>
      </c>
      <c r="E187" s="284">
        <v>135778866.97999999</v>
      </c>
      <c r="F187" s="225">
        <f t="shared" si="16"/>
        <v>-28452747.75</v>
      </c>
      <c r="G187" s="224">
        <f t="shared" si="33"/>
        <v>-0.17324768922705214</v>
      </c>
    </row>
    <row r="188" spans="1:16" ht="11.1" customHeight="1" outlineLevel="4" x14ac:dyDescent="0.2">
      <c r="A188" s="240" t="s">
        <v>186</v>
      </c>
      <c r="B188" s="287">
        <v>3053686.96</v>
      </c>
      <c r="C188" s="287">
        <v>5474658</v>
      </c>
      <c r="D188" s="287">
        <v>4075133.95</v>
      </c>
      <c r="E188" s="287">
        <v>4075133.95</v>
      </c>
      <c r="F188" s="237">
        <f t="shared" si="16"/>
        <v>-1399524.0499999998</v>
      </c>
      <c r="G188" s="236">
        <f t="shared" si="33"/>
        <v>-0.2556367995955181</v>
      </c>
    </row>
    <row r="189" spans="1:16" ht="11.1" customHeight="1" outlineLevel="4" x14ac:dyDescent="0.2">
      <c r="A189" s="240" t="s">
        <v>172</v>
      </c>
      <c r="B189" s="287">
        <v>524871.91</v>
      </c>
      <c r="C189" s="287">
        <v>599345</v>
      </c>
      <c r="D189" s="287">
        <v>502451.54</v>
      </c>
      <c r="E189" s="287">
        <v>502451.54</v>
      </c>
      <c r="F189" s="237">
        <f t="shared" si="16"/>
        <v>-96893.460000000021</v>
      </c>
      <c r="G189" s="236">
        <f t="shared" si="33"/>
        <v>-0.16166558493021554</v>
      </c>
    </row>
    <row r="190" spans="1:16" ht="11.1" customHeight="1" outlineLevel="4" x14ac:dyDescent="0.2">
      <c r="A190" s="234" t="s">
        <v>173</v>
      </c>
      <c r="B190" s="285">
        <v>119409169.45</v>
      </c>
      <c r="C190" s="285">
        <v>148249332.88999999</v>
      </c>
      <c r="D190" s="285">
        <v>127991279.45</v>
      </c>
      <c r="E190" s="285">
        <v>127991279.45</v>
      </c>
      <c r="F190" s="229">
        <f t="shared" si="16"/>
        <v>-20258053.439999983</v>
      </c>
      <c r="G190" s="228">
        <f t="shared" si="33"/>
        <v>-0.13664853018280576</v>
      </c>
    </row>
    <row r="191" spans="1:16" ht="11.1" customHeight="1" outlineLevel="5" x14ac:dyDescent="0.2">
      <c r="A191" s="235" t="s">
        <v>174</v>
      </c>
      <c r="B191" s="287">
        <v>86738089.109999999</v>
      </c>
      <c r="C191" s="287">
        <v>103872577.16</v>
      </c>
      <c r="D191" s="287">
        <v>91420513.810000002</v>
      </c>
      <c r="E191" s="287">
        <v>91420513.810000002</v>
      </c>
      <c r="F191" s="237">
        <f t="shared" si="16"/>
        <v>-12452063.349999994</v>
      </c>
      <c r="G191" s="236">
        <f t="shared" si="33"/>
        <v>-0.11987825555554932</v>
      </c>
    </row>
    <row r="192" spans="1:16" ht="11.1" customHeight="1" outlineLevel="5" x14ac:dyDescent="0.2">
      <c r="A192" s="235" t="s">
        <v>175</v>
      </c>
      <c r="B192" s="287">
        <v>27625105.329999998</v>
      </c>
      <c r="C192" s="287">
        <v>34305561.25</v>
      </c>
      <c r="D192" s="287">
        <v>29362272.98</v>
      </c>
      <c r="E192" s="287">
        <v>29362272.98</v>
      </c>
      <c r="F192" s="237">
        <f t="shared" si="16"/>
        <v>-4943288.2699999996</v>
      </c>
      <c r="G192" s="236">
        <f t="shared" si="33"/>
        <v>-0.14409582848611757</v>
      </c>
    </row>
    <row r="193" spans="1:7" ht="11.1" customHeight="1" outlineLevel="5" x14ac:dyDescent="0.2">
      <c r="A193" s="235" t="s">
        <v>176</v>
      </c>
      <c r="B193" s="287">
        <v>5020929.01</v>
      </c>
      <c r="C193" s="287">
        <v>9891194.4800000004</v>
      </c>
      <c r="D193" s="287">
        <v>7147825.6600000001</v>
      </c>
      <c r="E193" s="287">
        <v>7147825.6600000001</v>
      </c>
      <c r="F193" s="237">
        <f t="shared" si="16"/>
        <v>-2743368.8200000003</v>
      </c>
      <c r="G193" s="236">
        <f t="shared" si="33"/>
        <v>-0.27735465373237711</v>
      </c>
    </row>
    <row r="194" spans="1:7" ht="11.1" customHeight="1" outlineLevel="5" x14ac:dyDescent="0.2">
      <c r="A194" s="235" t="s">
        <v>177</v>
      </c>
      <c r="B194" s="287">
        <v>25046</v>
      </c>
      <c r="C194" s="287">
        <v>180000</v>
      </c>
      <c r="D194" s="287">
        <v>60667</v>
      </c>
      <c r="E194" s="287">
        <v>60667</v>
      </c>
      <c r="F194" s="237">
        <f t="shared" si="16"/>
        <v>-119333</v>
      </c>
      <c r="G194" s="236">
        <f t="shared" si="33"/>
        <v>-0.66296111111111111</v>
      </c>
    </row>
    <row r="195" spans="1:7" ht="11.1" customHeight="1" outlineLevel="4" x14ac:dyDescent="0.2">
      <c r="A195" s="234" t="s">
        <v>178</v>
      </c>
      <c r="B195" s="285">
        <v>132853.73000000001</v>
      </c>
      <c r="C195" s="285">
        <v>31000</v>
      </c>
      <c r="D195" s="285">
        <v>44533.32</v>
      </c>
      <c r="E195" s="285">
        <v>44533.32</v>
      </c>
      <c r="F195" s="229">
        <f t="shared" si="16"/>
        <v>13533.32</v>
      </c>
      <c r="G195" s="228">
        <f t="shared" si="33"/>
        <v>0.43655870967741928</v>
      </c>
    </row>
    <row r="196" spans="1:7" ht="11.1" customHeight="1" outlineLevel="5" x14ac:dyDescent="0.2">
      <c r="A196" s="235" t="s">
        <v>179</v>
      </c>
      <c r="B196" s="287">
        <v>132853.73000000001</v>
      </c>
      <c r="C196" s="287">
        <v>31000</v>
      </c>
      <c r="D196" s="287">
        <v>44533.32</v>
      </c>
      <c r="E196" s="287">
        <v>44533.32</v>
      </c>
      <c r="F196" s="237">
        <f t="shared" si="16"/>
        <v>13533.32</v>
      </c>
      <c r="G196" s="236">
        <f t="shared" si="33"/>
        <v>0.43655870967741928</v>
      </c>
    </row>
    <row r="197" spans="1:7" ht="11.1" customHeight="1" outlineLevel="5" x14ac:dyDescent="0.2">
      <c r="A197" s="235" t="s">
        <v>180</v>
      </c>
      <c r="B197" s="287">
        <v>0</v>
      </c>
      <c r="C197" s="287">
        <v>0</v>
      </c>
      <c r="D197" s="287">
        <v>0</v>
      </c>
      <c r="E197" s="287">
        <v>0</v>
      </c>
      <c r="F197" s="237">
        <f t="shared" si="16"/>
        <v>0</v>
      </c>
      <c r="G197" s="236" t="e">
        <f t="shared" si="33"/>
        <v>#DIV/0!</v>
      </c>
    </row>
    <row r="198" spans="1:7" ht="11.1" customHeight="1" outlineLevel="4" x14ac:dyDescent="0.2">
      <c r="A198" s="240" t="s">
        <v>187</v>
      </c>
      <c r="B198" s="287">
        <v>13933.56</v>
      </c>
      <c r="C198" s="287">
        <v>845000</v>
      </c>
      <c r="D198" s="287">
        <v>174124.83</v>
      </c>
      <c r="E198" s="287">
        <v>174124.83</v>
      </c>
      <c r="F198" s="237">
        <f t="shared" si="16"/>
        <v>-670875.17000000004</v>
      </c>
      <c r="G198" s="236">
        <f t="shared" si="33"/>
        <v>-0.79393511242603554</v>
      </c>
    </row>
    <row r="199" spans="1:7" ht="11.1" customHeight="1" outlineLevel="4" x14ac:dyDescent="0.2">
      <c r="A199" s="234" t="s">
        <v>188</v>
      </c>
      <c r="B199" s="285">
        <v>4360882.9400000004</v>
      </c>
      <c r="C199" s="285">
        <v>7657278.8399999999</v>
      </c>
      <c r="D199" s="285">
        <v>2685417.89</v>
      </c>
      <c r="E199" s="285">
        <v>2685417.89</v>
      </c>
      <c r="F199" s="229">
        <f t="shared" si="16"/>
        <v>-4971860.9499999993</v>
      </c>
      <c r="G199" s="228">
        <f t="shared" si="33"/>
        <v>-0.649298667828061</v>
      </c>
    </row>
    <row r="200" spans="1:7" ht="11.1" customHeight="1" outlineLevel="5" x14ac:dyDescent="0.2">
      <c r="A200" s="235" t="s">
        <v>189</v>
      </c>
      <c r="B200" s="287">
        <v>237194</v>
      </c>
      <c r="C200" s="287">
        <v>615925.32999999996</v>
      </c>
      <c r="D200" s="287">
        <v>128999.62</v>
      </c>
      <c r="E200" s="287">
        <v>128999.62</v>
      </c>
      <c r="F200" s="237">
        <f t="shared" ref="F200:F263" si="34">D200-C200</f>
        <v>-486925.70999999996</v>
      </c>
      <c r="G200" s="236">
        <f t="shared" si="33"/>
        <v>-0.79055964462445472</v>
      </c>
    </row>
    <row r="201" spans="1:7" ht="11.1" customHeight="1" outlineLevel="5" x14ac:dyDescent="0.2">
      <c r="A201" s="235" t="s">
        <v>190</v>
      </c>
      <c r="B201" s="287">
        <v>349608.88</v>
      </c>
      <c r="C201" s="287">
        <v>1591472.22</v>
      </c>
      <c r="D201" s="287">
        <v>1598050.94</v>
      </c>
      <c r="E201" s="287">
        <v>1598050.94</v>
      </c>
      <c r="F201" s="237">
        <f t="shared" si="34"/>
        <v>6578.7199999999721</v>
      </c>
      <c r="G201" s="236">
        <f t="shared" si="33"/>
        <v>4.1337322243677477E-3</v>
      </c>
    </row>
    <row r="202" spans="1:7" ht="11.1" customHeight="1" outlineLevel="5" x14ac:dyDescent="0.2">
      <c r="A202" s="235" t="s">
        <v>191</v>
      </c>
      <c r="B202" s="287">
        <v>0</v>
      </c>
      <c r="C202" s="287">
        <v>452360</v>
      </c>
      <c r="D202" s="287">
        <v>107390</v>
      </c>
      <c r="E202" s="287">
        <v>107390</v>
      </c>
      <c r="F202" s="237">
        <f t="shared" si="34"/>
        <v>-344970</v>
      </c>
      <c r="G202" s="236">
        <f t="shared" si="33"/>
        <v>-0.76260058360597749</v>
      </c>
    </row>
    <row r="203" spans="1:7" ht="11.1" customHeight="1" outlineLevel="5" x14ac:dyDescent="0.2">
      <c r="A203" s="235" t="s">
        <v>192</v>
      </c>
      <c r="B203" s="287">
        <v>730180</v>
      </c>
      <c r="C203" s="287">
        <v>1528000</v>
      </c>
      <c r="D203" s="287">
        <v>474463.17</v>
      </c>
      <c r="E203" s="287">
        <v>474463.17</v>
      </c>
      <c r="F203" s="237">
        <f t="shared" si="34"/>
        <v>-1053536.83</v>
      </c>
      <c r="G203" s="236">
        <f t="shared" si="33"/>
        <v>-0.68948745418848167</v>
      </c>
    </row>
    <row r="204" spans="1:7" ht="11.1" customHeight="1" outlineLevel="5" x14ac:dyDescent="0.2">
      <c r="A204" s="235" t="s">
        <v>193</v>
      </c>
      <c r="B204" s="287">
        <v>0</v>
      </c>
      <c r="C204" s="287">
        <v>94000</v>
      </c>
      <c r="D204" s="287">
        <v>0</v>
      </c>
      <c r="E204" s="287">
        <v>0</v>
      </c>
      <c r="F204" s="237">
        <f t="shared" si="34"/>
        <v>-94000</v>
      </c>
      <c r="G204" s="236">
        <f t="shared" si="33"/>
        <v>-1</v>
      </c>
    </row>
    <row r="205" spans="1:7" ht="11.1" customHeight="1" outlineLevel="5" x14ac:dyDescent="0.2">
      <c r="A205" s="235" t="s">
        <v>194</v>
      </c>
      <c r="B205" s="287">
        <v>3043900.06</v>
      </c>
      <c r="C205" s="287">
        <v>3255521.29</v>
      </c>
      <c r="D205" s="287">
        <v>376514.16</v>
      </c>
      <c r="E205" s="287">
        <v>376514.16</v>
      </c>
      <c r="F205" s="237">
        <f t="shared" si="34"/>
        <v>-2879007.13</v>
      </c>
      <c r="G205" s="236">
        <f t="shared" si="33"/>
        <v>-0.88434596905984297</v>
      </c>
    </row>
    <row r="206" spans="1:7" ht="11.1" customHeight="1" outlineLevel="5" x14ac:dyDescent="0.2">
      <c r="A206" s="235" t="s">
        <v>195</v>
      </c>
      <c r="B206" s="287">
        <v>0</v>
      </c>
      <c r="C206" s="287">
        <v>120000</v>
      </c>
      <c r="D206" s="287">
        <v>0</v>
      </c>
      <c r="E206" s="287">
        <v>0</v>
      </c>
      <c r="F206" s="237">
        <f t="shared" si="34"/>
        <v>-120000</v>
      </c>
      <c r="G206" s="236">
        <f t="shared" si="33"/>
        <v>-1</v>
      </c>
    </row>
    <row r="207" spans="1:7" ht="11.1" customHeight="1" outlineLevel="4" x14ac:dyDescent="0.2">
      <c r="A207" s="240" t="s">
        <v>196</v>
      </c>
      <c r="B207" s="287">
        <v>2840273.73</v>
      </c>
      <c r="C207" s="287">
        <v>1375000</v>
      </c>
      <c r="D207" s="287">
        <v>305926</v>
      </c>
      <c r="E207" s="287">
        <v>305926</v>
      </c>
      <c r="F207" s="237">
        <f t="shared" si="34"/>
        <v>-1069074</v>
      </c>
      <c r="G207" s="236">
        <f t="shared" si="33"/>
        <v>-0.77750836363636366</v>
      </c>
    </row>
    <row r="208" spans="1:7" ht="11.1" customHeight="1" outlineLevel="3" x14ac:dyDescent="0.2">
      <c r="A208" s="246" t="s">
        <v>197</v>
      </c>
      <c r="B208" s="284">
        <v>1195911273.2</v>
      </c>
      <c r="C208" s="284">
        <v>1258333481.04</v>
      </c>
      <c r="D208" s="284">
        <v>1294761496.29</v>
      </c>
      <c r="E208" s="284">
        <v>1293327391.9400001</v>
      </c>
      <c r="F208" s="225">
        <f t="shared" si="34"/>
        <v>36428015.25</v>
      </c>
      <c r="G208" s="224">
        <f t="shared" si="33"/>
        <v>2.8949412694552645E-2</v>
      </c>
    </row>
    <row r="209" spans="1:7" ht="11.1" customHeight="1" outlineLevel="4" x14ac:dyDescent="0.2">
      <c r="A209" s="234" t="s">
        <v>198</v>
      </c>
      <c r="B209" s="285">
        <v>18422224.25</v>
      </c>
      <c r="C209" s="285">
        <v>21916319.870000001</v>
      </c>
      <c r="D209" s="285">
        <v>20661874.629999999</v>
      </c>
      <c r="E209" s="285">
        <v>20661874.629999999</v>
      </c>
      <c r="F209" s="322">
        <f t="shared" si="34"/>
        <v>-1254445.2400000021</v>
      </c>
      <c r="G209" s="228">
        <f t="shared" si="33"/>
        <v>-5.7237950871356857E-2</v>
      </c>
    </row>
    <row r="210" spans="1:7" ht="11.1" customHeight="1" outlineLevel="5" x14ac:dyDescent="0.2">
      <c r="A210" s="235" t="s">
        <v>121</v>
      </c>
      <c r="B210" s="287">
        <v>572080.48</v>
      </c>
      <c r="C210" s="287">
        <v>1322756.69</v>
      </c>
      <c r="D210" s="287">
        <v>1126264.74</v>
      </c>
      <c r="E210" s="287">
        <v>1126264.74</v>
      </c>
      <c r="F210" s="237">
        <f t="shared" si="34"/>
        <v>-196491.94999999995</v>
      </c>
      <c r="G210" s="236">
        <f t="shared" si="33"/>
        <v>-0.1485473114484871</v>
      </c>
    </row>
    <row r="211" spans="1:7" ht="11.1" customHeight="1" outlineLevel="5" x14ac:dyDescent="0.2">
      <c r="A211" s="235" t="s">
        <v>122</v>
      </c>
      <c r="B211" s="287">
        <v>12840738.199999999</v>
      </c>
      <c r="C211" s="287">
        <v>12214650.619999999</v>
      </c>
      <c r="D211" s="287">
        <v>8503694.5800000001</v>
      </c>
      <c r="E211" s="287">
        <v>8503694.5800000001</v>
      </c>
      <c r="F211" s="237">
        <f t="shared" si="34"/>
        <v>-3710956.0399999991</v>
      </c>
      <c r="G211" s="236">
        <f t="shared" si="33"/>
        <v>-0.30381188586137386</v>
      </c>
    </row>
    <row r="212" spans="1:7" ht="11.1" customHeight="1" outlineLevel="5" x14ac:dyDescent="0.2">
      <c r="A212" s="235" t="s">
        <v>123</v>
      </c>
      <c r="B212" s="287">
        <v>2378573.89</v>
      </c>
      <c r="C212" s="287">
        <v>3582434.98</v>
      </c>
      <c r="D212" s="287">
        <v>7258520.3799999999</v>
      </c>
      <c r="E212" s="287">
        <v>7258520.3799999999</v>
      </c>
      <c r="F212" s="237">
        <f t="shared" si="34"/>
        <v>3676085.4</v>
      </c>
      <c r="G212" s="236">
        <f t="shared" si="33"/>
        <v>1.0261415547031087</v>
      </c>
    </row>
    <row r="213" spans="1:7" ht="11.1" customHeight="1" outlineLevel="5" x14ac:dyDescent="0.2">
      <c r="A213" s="235" t="s">
        <v>199</v>
      </c>
      <c r="B213" s="287">
        <v>106634.26</v>
      </c>
      <c r="C213" s="287">
        <v>440632.24</v>
      </c>
      <c r="D213" s="287">
        <v>920239.61</v>
      </c>
      <c r="E213" s="287">
        <v>920239.61</v>
      </c>
      <c r="F213" s="237">
        <f t="shared" si="34"/>
        <v>479607.37</v>
      </c>
      <c r="G213" s="236">
        <f t="shared" si="33"/>
        <v>1.0884527423594785</v>
      </c>
    </row>
    <row r="214" spans="1:7" ht="11.1" customHeight="1" outlineLevel="5" x14ac:dyDescent="0.2">
      <c r="A214" s="235" t="s">
        <v>126</v>
      </c>
      <c r="B214" s="287">
        <v>122910.48</v>
      </c>
      <c r="C214" s="287">
        <v>169912.1</v>
      </c>
      <c r="D214" s="287">
        <v>248450.71</v>
      </c>
      <c r="E214" s="287">
        <v>248450.71</v>
      </c>
      <c r="F214" s="237">
        <f t="shared" si="34"/>
        <v>78538.609999999986</v>
      </c>
      <c r="G214" s="236">
        <f t="shared" si="33"/>
        <v>0.46223082405549687</v>
      </c>
    </row>
    <row r="215" spans="1:7" ht="11.1" customHeight="1" outlineLevel="5" x14ac:dyDescent="0.2">
      <c r="A215" s="235" t="s">
        <v>127</v>
      </c>
      <c r="B215" s="287">
        <v>185356.18</v>
      </c>
      <c r="C215" s="287">
        <v>1383106.24</v>
      </c>
      <c r="D215" s="287">
        <v>1355257.98</v>
      </c>
      <c r="E215" s="287">
        <v>1355257.98</v>
      </c>
      <c r="F215" s="237">
        <f t="shared" si="34"/>
        <v>-27848.260000000009</v>
      </c>
      <c r="G215" s="236">
        <f t="shared" si="33"/>
        <v>-2.0134577659052466E-2</v>
      </c>
    </row>
    <row r="216" spans="1:7" ht="11.1" customHeight="1" outlineLevel="5" x14ac:dyDescent="0.2">
      <c r="A216" s="235" t="s">
        <v>200</v>
      </c>
      <c r="B216" s="287">
        <v>2215930.7599999998</v>
      </c>
      <c r="C216" s="287">
        <v>2802827</v>
      </c>
      <c r="D216" s="287">
        <v>1249446.6299999999</v>
      </c>
      <c r="E216" s="287">
        <v>1249446.6299999999</v>
      </c>
      <c r="F216" s="237">
        <f t="shared" si="34"/>
        <v>-1553380.37</v>
      </c>
      <c r="G216" s="236">
        <f t="shared" si="33"/>
        <v>-0.55421914017525875</v>
      </c>
    </row>
    <row r="217" spans="1:7" ht="11.1" customHeight="1" outlineLevel="4" x14ac:dyDescent="0.2">
      <c r="A217" s="234" t="s">
        <v>201</v>
      </c>
      <c r="B217" s="285">
        <v>26866737.609999999</v>
      </c>
      <c r="C217" s="285">
        <v>42037753.270000003</v>
      </c>
      <c r="D217" s="285">
        <v>43045081.770000003</v>
      </c>
      <c r="E217" s="285">
        <v>43045081.770000003</v>
      </c>
      <c r="F217" s="324">
        <f t="shared" si="34"/>
        <v>1007328.5</v>
      </c>
      <c r="G217" s="228">
        <f t="shared" si="33"/>
        <v>2.3962472340758323E-2</v>
      </c>
    </row>
    <row r="218" spans="1:7" ht="11.1" customHeight="1" outlineLevel="5" x14ac:dyDescent="0.2">
      <c r="A218" s="235" t="s">
        <v>202</v>
      </c>
      <c r="B218" s="287">
        <v>2913895.88</v>
      </c>
      <c r="C218" s="287">
        <v>3558582.92</v>
      </c>
      <c r="D218" s="287">
        <v>4069913.84</v>
      </c>
      <c r="E218" s="287">
        <v>4069913.84</v>
      </c>
      <c r="F218" s="321">
        <f t="shared" si="34"/>
        <v>511330.91999999993</v>
      </c>
      <c r="G218" s="236">
        <f t="shared" si="33"/>
        <v>0.1436894773833175</v>
      </c>
    </row>
    <row r="219" spans="1:7" ht="11.1" customHeight="1" outlineLevel="5" x14ac:dyDescent="0.2">
      <c r="A219" s="235" t="s">
        <v>203</v>
      </c>
      <c r="B219" s="287">
        <v>4213823.84</v>
      </c>
      <c r="C219" s="287">
        <v>6438897.8300000001</v>
      </c>
      <c r="D219" s="287">
        <v>5534915</v>
      </c>
      <c r="E219" s="287">
        <v>5534915</v>
      </c>
      <c r="F219" s="237">
        <f t="shared" si="34"/>
        <v>-903982.83000000007</v>
      </c>
      <c r="G219" s="236">
        <f t="shared" si="33"/>
        <v>-0.14039403231220393</v>
      </c>
    </row>
    <row r="220" spans="1:7" ht="11.1" customHeight="1" outlineLevel="5" x14ac:dyDescent="0.2">
      <c r="A220" s="235" t="s">
        <v>204</v>
      </c>
      <c r="B220" s="287">
        <v>4393553.42</v>
      </c>
      <c r="C220" s="287">
        <v>6287367.4100000001</v>
      </c>
      <c r="D220" s="287">
        <v>8847921.3499999996</v>
      </c>
      <c r="E220" s="287">
        <v>8847921.3499999996</v>
      </c>
      <c r="F220" s="321">
        <f t="shared" si="34"/>
        <v>2560553.9399999995</v>
      </c>
      <c r="G220" s="236">
        <f t="shared" si="33"/>
        <v>0.4072537475585507</v>
      </c>
    </row>
    <row r="221" spans="1:7" ht="11.1" customHeight="1" outlineLevel="5" x14ac:dyDescent="0.2">
      <c r="A221" s="235" t="s">
        <v>205</v>
      </c>
      <c r="B221" s="287">
        <v>5370972.4800000004</v>
      </c>
      <c r="C221" s="287">
        <v>6106083.4800000004</v>
      </c>
      <c r="D221" s="287">
        <v>5650490.3899999997</v>
      </c>
      <c r="E221" s="287">
        <v>5650490.3899999997</v>
      </c>
      <c r="F221" s="237">
        <f t="shared" si="34"/>
        <v>-455593.09000000078</v>
      </c>
      <c r="G221" s="236">
        <f t="shared" si="33"/>
        <v>-7.461298088902002E-2</v>
      </c>
    </row>
    <row r="222" spans="1:7" ht="11.1" customHeight="1" outlineLevel="5" x14ac:dyDescent="0.2">
      <c r="A222" s="238" t="s">
        <v>206</v>
      </c>
      <c r="B222" s="285">
        <v>2242270.96</v>
      </c>
      <c r="C222" s="285">
        <v>13031677.800000001</v>
      </c>
      <c r="D222" s="285">
        <v>13746854.77</v>
      </c>
      <c r="E222" s="285">
        <v>13746854.77</v>
      </c>
      <c r="F222" s="324">
        <f t="shared" si="34"/>
        <v>715176.96999999881</v>
      </c>
      <c r="G222" s="228">
        <f t="shared" si="33"/>
        <v>5.4879884307759585E-2</v>
      </c>
    </row>
    <row r="223" spans="1:7" ht="11.1" customHeight="1" outlineLevel="6" x14ac:dyDescent="0.2">
      <c r="A223" s="239" t="s">
        <v>207</v>
      </c>
      <c r="B223" s="287">
        <v>94364.78</v>
      </c>
      <c r="C223" s="287">
        <v>3856897.82</v>
      </c>
      <c r="D223" s="287">
        <v>180728.95999999999</v>
      </c>
      <c r="E223" s="287">
        <v>180728.95999999999</v>
      </c>
      <c r="F223" s="237">
        <f t="shared" si="34"/>
        <v>-3676168.86</v>
      </c>
      <c r="G223" s="236">
        <f t="shared" si="33"/>
        <v>-0.95314136686151563</v>
      </c>
    </row>
    <row r="224" spans="1:7" ht="11.1" customHeight="1" outlineLevel="6" x14ac:dyDescent="0.2">
      <c r="A224" s="239" t="s">
        <v>208</v>
      </c>
      <c r="B224" s="287">
        <v>253123.29</v>
      </c>
      <c r="C224" s="287">
        <v>4222745.71</v>
      </c>
      <c r="D224" s="287">
        <v>2701278.43</v>
      </c>
      <c r="E224" s="287">
        <v>2701278.43</v>
      </c>
      <c r="F224" s="237">
        <f t="shared" si="34"/>
        <v>-1521467.2799999998</v>
      </c>
      <c r="G224" s="236">
        <f t="shared" si="33"/>
        <v>-0.36030284191562167</v>
      </c>
    </row>
    <row r="225" spans="1:7" ht="11.1" customHeight="1" outlineLevel="6" x14ac:dyDescent="0.2">
      <c r="A225" s="239" t="s">
        <v>209</v>
      </c>
      <c r="B225" s="287">
        <v>1583349</v>
      </c>
      <c r="C225" s="287">
        <v>2507633.27</v>
      </c>
      <c r="D225" s="287">
        <v>10230784.73</v>
      </c>
      <c r="E225" s="287">
        <v>10230784.73</v>
      </c>
      <c r="F225" s="321">
        <f t="shared" si="34"/>
        <v>7723151.4600000009</v>
      </c>
      <c r="G225" s="236">
        <f t="shared" si="33"/>
        <v>3.0798568324944897</v>
      </c>
    </row>
    <row r="226" spans="1:7" ht="11.1" customHeight="1" outlineLevel="6" x14ac:dyDescent="0.2">
      <c r="A226" s="239" t="s">
        <v>210</v>
      </c>
      <c r="B226" s="287">
        <v>311433.89</v>
      </c>
      <c r="C226" s="287">
        <v>2444401</v>
      </c>
      <c r="D226" s="287">
        <v>634062.65</v>
      </c>
      <c r="E226" s="287">
        <v>634062.65</v>
      </c>
      <c r="F226" s="237">
        <f t="shared" si="34"/>
        <v>-1810338.35</v>
      </c>
      <c r="G226" s="236">
        <f t="shared" si="33"/>
        <v>-0.74060612395429393</v>
      </c>
    </row>
    <row r="227" spans="1:7" ht="11.1" customHeight="1" outlineLevel="5" x14ac:dyDescent="0.2">
      <c r="A227" s="235" t="s">
        <v>211</v>
      </c>
      <c r="B227" s="287">
        <v>1774206.09</v>
      </c>
      <c r="C227" s="287">
        <v>1650097.33</v>
      </c>
      <c r="D227" s="287">
        <v>1418265.55</v>
      </c>
      <c r="E227" s="287">
        <v>1418265.55</v>
      </c>
      <c r="F227" s="237">
        <f t="shared" si="34"/>
        <v>-231831.78000000003</v>
      </c>
      <c r="G227" s="236">
        <f t="shared" si="33"/>
        <v>-0.14049582154041784</v>
      </c>
    </row>
    <row r="228" spans="1:7" ht="11.1" customHeight="1" outlineLevel="5" x14ac:dyDescent="0.2">
      <c r="A228" s="235" t="s">
        <v>212</v>
      </c>
      <c r="B228" s="287">
        <v>4255188.83</v>
      </c>
      <c r="C228" s="287">
        <v>2577762.7599999998</v>
      </c>
      <c r="D228" s="287">
        <v>1982978.82</v>
      </c>
      <c r="E228" s="287">
        <v>1982978.82</v>
      </c>
      <c r="F228" s="237">
        <f t="shared" si="34"/>
        <v>-594783.93999999971</v>
      </c>
      <c r="G228" s="236">
        <f t="shared" si="33"/>
        <v>-0.2307364933769156</v>
      </c>
    </row>
    <row r="229" spans="1:7" ht="11.1" customHeight="1" outlineLevel="5" x14ac:dyDescent="0.2">
      <c r="A229" s="235" t="s">
        <v>213</v>
      </c>
      <c r="B229" s="287">
        <v>1702826.11</v>
      </c>
      <c r="C229" s="287">
        <v>2387283.7400000002</v>
      </c>
      <c r="D229" s="287">
        <v>1793742.05</v>
      </c>
      <c r="E229" s="287">
        <v>1793742.05</v>
      </c>
      <c r="F229" s="237">
        <f t="shared" si="34"/>
        <v>-593541.69000000018</v>
      </c>
      <c r="G229" s="236">
        <f t="shared" si="33"/>
        <v>-0.24862636981727193</v>
      </c>
    </row>
    <row r="230" spans="1:7" ht="11.1" customHeight="1" outlineLevel="4" x14ac:dyDescent="0.2">
      <c r="A230" s="234" t="s">
        <v>135</v>
      </c>
      <c r="B230" s="285">
        <v>25212055.550000001</v>
      </c>
      <c r="C230" s="285">
        <v>24328641.600000001</v>
      </c>
      <c r="D230" s="285">
        <v>36733371.850000001</v>
      </c>
      <c r="E230" s="285">
        <v>36733371.850000001</v>
      </c>
      <c r="F230" s="322">
        <f t="shared" si="34"/>
        <v>12404730.25</v>
      </c>
      <c r="G230" s="228">
        <f t="shared" si="33"/>
        <v>0.50988174571982681</v>
      </c>
    </row>
    <row r="231" spans="1:7" ht="11.1" customHeight="1" outlineLevel="5" x14ac:dyDescent="0.2">
      <c r="A231" s="235" t="s">
        <v>214</v>
      </c>
      <c r="B231" s="287">
        <v>18231121.59</v>
      </c>
      <c r="C231" s="287">
        <v>13180738.109999999</v>
      </c>
      <c r="D231" s="287">
        <v>28033313.420000002</v>
      </c>
      <c r="E231" s="287">
        <v>28033313.420000002</v>
      </c>
      <c r="F231" s="237">
        <f t="shared" si="34"/>
        <v>14852575.310000002</v>
      </c>
      <c r="G231" s="236">
        <f t="shared" si="33"/>
        <v>1.12683942174161</v>
      </c>
    </row>
    <row r="232" spans="1:7" ht="11.1" customHeight="1" outlineLevel="5" x14ac:dyDescent="0.2">
      <c r="A232" s="235" t="s">
        <v>215</v>
      </c>
      <c r="B232" s="287">
        <v>6980933.96</v>
      </c>
      <c r="C232" s="287">
        <v>8413759.0199999996</v>
      </c>
      <c r="D232" s="287">
        <v>6167074.6699999999</v>
      </c>
      <c r="E232" s="287">
        <v>6167074.6699999999</v>
      </c>
      <c r="F232" s="237">
        <f t="shared" si="34"/>
        <v>-2246684.3499999996</v>
      </c>
      <c r="G232" s="236">
        <f t="shared" si="33"/>
        <v>-0.26702504132332516</v>
      </c>
    </row>
    <row r="233" spans="1:7" ht="11.1" customHeight="1" outlineLevel="5" x14ac:dyDescent="0.2">
      <c r="A233" s="235" t="s">
        <v>818</v>
      </c>
      <c r="B233" s="287">
        <v>0</v>
      </c>
      <c r="C233" s="287">
        <v>2734144.47</v>
      </c>
      <c r="D233" s="287">
        <v>2532983.7599999998</v>
      </c>
      <c r="E233" s="287">
        <v>2532983.7599999998</v>
      </c>
      <c r="F233" s="237">
        <f t="shared" si="34"/>
        <v>-201160.71000000043</v>
      </c>
      <c r="G233" s="236">
        <f t="shared" si="33"/>
        <v>-7.3573548218540341E-2</v>
      </c>
    </row>
    <row r="234" spans="1:7" ht="11.1" customHeight="1" outlineLevel="4" x14ac:dyDescent="0.2">
      <c r="A234" s="234" t="s">
        <v>140</v>
      </c>
      <c r="B234" s="285">
        <v>187237560.56</v>
      </c>
      <c r="C234" s="285">
        <v>171944337.06999999</v>
      </c>
      <c r="D234" s="285">
        <v>154937003.66999999</v>
      </c>
      <c r="E234" s="285">
        <v>154937003.66999999</v>
      </c>
      <c r="F234" s="229">
        <f t="shared" si="34"/>
        <v>-17007333.400000006</v>
      </c>
      <c r="G234" s="228">
        <f t="shared" si="33"/>
        <v>-9.8911855370242163E-2</v>
      </c>
    </row>
    <row r="235" spans="1:7" ht="11.1" customHeight="1" outlineLevel="5" x14ac:dyDescent="0.2">
      <c r="A235" s="238" t="s">
        <v>216</v>
      </c>
      <c r="B235" s="285">
        <v>20919195.850000001</v>
      </c>
      <c r="C235" s="285">
        <v>25156729.93</v>
      </c>
      <c r="D235" s="285">
        <v>18993064.190000001</v>
      </c>
      <c r="E235" s="285">
        <v>18993064.190000001</v>
      </c>
      <c r="F235" s="229">
        <f t="shared" si="34"/>
        <v>-6163665.7399999984</v>
      </c>
      <c r="G235" s="228">
        <f t="shared" si="33"/>
        <v>-0.24501060977125166</v>
      </c>
    </row>
    <row r="236" spans="1:7" ht="11.1" customHeight="1" outlineLevel="6" x14ac:dyDescent="0.2">
      <c r="A236" s="239" t="s">
        <v>217</v>
      </c>
      <c r="B236" s="287">
        <v>13717543.1</v>
      </c>
      <c r="C236" s="287">
        <v>13750309</v>
      </c>
      <c r="D236" s="287">
        <v>13161452.890000001</v>
      </c>
      <c r="E236" s="287">
        <v>13161452.890000001</v>
      </c>
      <c r="F236" s="237">
        <f t="shared" si="34"/>
        <v>-588856.1099999994</v>
      </c>
      <c r="G236" s="236">
        <f t="shared" si="33"/>
        <v>-4.2824936515972079E-2</v>
      </c>
    </row>
    <row r="237" spans="1:7" ht="11.1" customHeight="1" outlineLevel="6" x14ac:dyDescent="0.2">
      <c r="A237" s="239" t="s">
        <v>218</v>
      </c>
      <c r="B237" s="287">
        <v>5848408.3300000001</v>
      </c>
      <c r="C237" s="287">
        <v>8837420.9299999997</v>
      </c>
      <c r="D237" s="287">
        <v>4842348.04</v>
      </c>
      <c r="E237" s="287">
        <v>4842348.04</v>
      </c>
      <c r="F237" s="237">
        <f t="shared" si="34"/>
        <v>-3995072.8899999997</v>
      </c>
      <c r="G237" s="236">
        <f t="shared" si="33"/>
        <v>-0.45206321184024445</v>
      </c>
    </row>
    <row r="238" spans="1:7" ht="11.1" customHeight="1" outlineLevel="6" x14ac:dyDescent="0.2">
      <c r="A238" s="239" t="s">
        <v>219</v>
      </c>
      <c r="B238" s="287">
        <v>1353244.42</v>
      </c>
      <c r="C238" s="287">
        <v>2569000</v>
      </c>
      <c r="D238" s="287">
        <v>989263.26</v>
      </c>
      <c r="E238" s="287">
        <v>989263.26</v>
      </c>
      <c r="F238" s="237">
        <f t="shared" si="34"/>
        <v>-1579736.74</v>
      </c>
      <c r="G238" s="236">
        <f t="shared" si="33"/>
        <v>-0.61492282600233561</v>
      </c>
    </row>
    <row r="239" spans="1:7" ht="11.1" customHeight="1" outlineLevel="5" x14ac:dyDescent="0.2">
      <c r="A239" s="235" t="s">
        <v>220</v>
      </c>
      <c r="B239" s="287">
        <v>18328235.670000002</v>
      </c>
      <c r="C239" s="287">
        <v>18305608.77</v>
      </c>
      <c r="D239" s="287">
        <v>15183447.66</v>
      </c>
      <c r="E239" s="287">
        <v>15183447.66</v>
      </c>
      <c r="F239" s="237">
        <f t="shared" si="34"/>
        <v>-3122161.1099999994</v>
      </c>
      <c r="G239" s="236">
        <f t="shared" si="33"/>
        <v>-0.17055762248763495</v>
      </c>
    </row>
    <row r="240" spans="1:7" ht="11.1" customHeight="1" outlineLevel="5" x14ac:dyDescent="0.2">
      <c r="A240" s="238" t="s">
        <v>221</v>
      </c>
      <c r="B240" s="285">
        <v>17847977.829999998</v>
      </c>
      <c r="C240" s="285">
        <v>18546829.379999999</v>
      </c>
      <c r="D240" s="285">
        <v>17298300.57</v>
      </c>
      <c r="E240" s="285">
        <v>17298300.57</v>
      </c>
      <c r="F240" s="229">
        <f t="shared" si="34"/>
        <v>-1248528.8099999987</v>
      </c>
      <c r="G240" s="228">
        <f t="shared" si="33"/>
        <v>-6.7317641437212528E-2</v>
      </c>
    </row>
    <row r="241" spans="1:7" ht="11.1" customHeight="1" outlineLevel="6" x14ac:dyDescent="0.2">
      <c r="A241" s="239" t="s">
        <v>222</v>
      </c>
      <c r="B241" s="287">
        <v>5684409.4299999997</v>
      </c>
      <c r="C241" s="287">
        <v>5523277.1100000003</v>
      </c>
      <c r="D241" s="287">
        <v>4977011.91</v>
      </c>
      <c r="E241" s="287">
        <v>4977011.91</v>
      </c>
      <c r="F241" s="237">
        <f t="shared" si="34"/>
        <v>-546265.20000000019</v>
      </c>
      <c r="G241" s="236">
        <f t="shared" si="33"/>
        <v>-9.8902370661608896E-2</v>
      </c>
    </row>
    <row r="242" spans="1:7" ht="11.1" customHeight="1" outlineLevel="6" x14ac:dyDescent="0.2">
      <c r="A242" s="239" t="s">
        <v>223</v>
      </c>
      <c r="B242" s="287">
        <v>4328309.59</v>
      </c>
      <c r="C242" s="287">
        <v>4906522.37</v>
      </c>
      <c r="D242" s="287">
        <v>4491073.3499999996</v>
      </c>
      <c r="E242" s="287">
        <v>4491073.3499999996</v>
      </c>
      <c r="F242" s="237">
        <f t="shared" si="34"/>
        <v>-415449.02000000048</v>
      </c>
      <c r="G242" s="236">
        <f t="shared" si="33"/>
        <v>-8.4672806658374733E-2</v>
      </c>
    </row>
    <row r="243" spans="1:7" ht="11.1" customHeight="1" outlineLevel="6" x14ac:dyDescent="0.2">
      <c r="A243" s="239" t="s">
        <v>224</v>
      </c>
      <c r="B243" s="287">
        <v>4178029.13</v>
      </c>
      <c r="C243" s="287">
        <v>5210233.2</v>
      </c>
      <c r="D243" s="287">
        <v>5227351.47</v>
      </c>
      <c r="E243" s="287">
        <v>5227351.47</v>
      </c>
      <c r="F243" s="237">
        <f t="shared" si="34"/>
        <v>17118.269999999553</v>
      </c>
      <c r="G243" s="236">
        <f t="shared" si="33"/>
        <v>3.2855093702905958E-3</v>
      </c>
    </row>
    <row r="244" spans="1:7" ht="11.1" customHeight="1" outlineLevel="6" x14ac:dyDescent="0.2">
      <c r="A244" s="239" t="s">
        <v>225</v>
      </c>
      <c r="B244" s="287">
        <v>3657229.68</v>
      </c>
      <c r="C244" s="287">
        <v>2906796.7</v>
      </c>
      <c r="D244" s="287">
        <v>2602863.84</v>
      </c>
      <c r="E244" s="287">
        <v>2602863.84</v>
      </c>
      <c r="F244" s="237">
        <f t="shared" si="34"/>
        <v>-303932.86000000034</v>
      </c>
      <c r="G244" s="236">
        <f t="shared" si="33"/>
        <v>-0.10455937974609653</v>
      </c>
    </row>
    <row r="245" spans="1:7" ht="11.1" customHeight="1" outlineLevel="5" x14ac:dyDescent="0.2">
      <c r="A245" s="238" t="s">
        <v>226</v>
      </c>
      <c r="B245" s="285">
        <v>28533226.559999999</v>
      </c>
      <c r="C245" s="285">
        <v>35277850.789999999</v>
      </c>
      <c r="D245" s="285">
        <v>29803425.300000001</v>
      </c>
      <c r="E245" s="285">
        <v>29803425.300000001</v>
      </c>
      <c r="F245" s="229">
        <f t="shared" si="34"/>
        <v>-5474425.4899999984</v>
      </c>
      <c r="G245" s="228">
        <f t="shared" si="33"/>
        <v>-0.15518024390396823</v>
      </c>
    </row>
    <row r="246" spans="1:7" ht="11.1" customHeight="1" outlineLevel="6" x14ac:dyDescent="0.2">
      <c r="A246" s="239" t="s">
        <v>227</v>
      </c>
      <c r="B246" s="287">
        <v>26287132.940000001</v>
      </c>
      <c r="C246" s="287">
        <v>30183851.879999999</v>
      </c>
      <c r="D246" s="287">
        <v>27056445.920000002</v>
      </c>
      <c r="E246" s="287">
        <v>27056445.920000002</v>
      </c>
      <c r="F246" s="237">
        <f t="shared" si="34"/>
        <v>-3127405.9599999972</v>
      </c>
      <c r="G246" s="236">
        <f t="shared" si="33"/>
        <v>-0.10361189063719978</v>
      </c>
    </row>
    <row r="247" spans="1:7" ht="11.1" customHeight="1" outlineLevel="6" x14ac:dyDescent="0.2">
      <c r="A247" s="239" t="s">
        <v>228</v>
      </c>
      <c r="B247" s="287">
        <v>2246093.62</v>
      </c>
      <c r="C247" s="287">
        <v>4465248.24</v>
      </c>
      <c r="D247" s="287">
        <v>2746979.38</v>
      </c>
      <c r="E247" s="287">
        <v>2746979.38</v>
      </c>
      <c r="F247" s="237">
        <f t="shared" si="34"/>
        <v>-1718268.8600000003</v>
      </c>
      <c r="G247" s="236">
        <f t="shared" si="33"/>
        <v>-0.38480925754757145</v>
      </c>
    </row>
    <row r="248" spans="1:7" ht="11.1" customHeight="1" outlineLevel="6" x14ac:dyDescent="0.2">
      <c r="A248" s="239" t="s">
        <v>229</v>
      </c>
      <c r="B248" s="287">
        <v>0</v>
      </c>
      <c r="C248" s="287">
        <v>628750.67000000004</v>
      </c>
      <c r="D248" s="287">
        <v>0</v>
      </c>
      <c r="E248" s="287">
        <v>0</v>
      </c>
      <c r="F248" s="237">
        <f t="shared" si="34"/>
        <v>-628750.67000000004</v>
      </c>
      <c r="G248" s="236">
        <f t="shared" ref="G248:G307" si="35">D248/C248-1</f>
        <v>-1</v>
      </c>
    </row>
    <row r="249" spans="1:7" ht="11.1" customHeight="1" outlineLevel="5" x14ac:dyDescent="0.2">
      <c r="A249" s="238" t="s">
        <v>230</v>
      </c>
      <c r="B249" s="285">
        <v>6189007.2699999996</v>
      </c>
      <c r="C249" s="285">
        <v>1206900</v>
      </c>
      <c r="D249" s="285">
        <v>1719900</v>
      </c>
      <c r="E249" s="285">
        <v>1719900</v>
      </c>
      <c r="F249" s="322">
        <f t="shared" si="34"/>
        <v>513000</v>
      </c>
      <c r="G249" s="228">
        <f t="shared" si="35"/>
        <v>0.42505592841163309</v>
      </c>
    </row>
    <row r="250" spans="1:7" ht="11.1" customHeight="1" outlineLevel="6" x14ac:dyDescent="0.2">
      <c r="A250" s="239" t="s">
        <v>231</v>
      </c>
      <c r="B250" s="287">
        <v>2339007.27</v>
      </c>
      <c r="C250" s="287">
        <v>1206900</v>
      </c>
      <c r="D250" s="287">
        <v>1719900</v>
      </c>
      <c r="E250" s="287">
        <v>1719900</v>
      </c>
      <c r="F250" s="237">
        <f t="shared" si="34"/>
        <v>513000</v>
      </c>
      <c r="G250" s="236">
        <f t="shared" si="35"/>
        <v>0.42505592841163309</v>
      </c>
    </row>
    <row r="251" spans="1:7" ht="11.1" customHeight="1" outlineLevel="6" x14ac:dyDescent="0.2">
      <c r="A251" s="239" t="s">
        <v>232</v>
      </c>
      <c r="B251" s="287">
        <v>3850000</v>
      </c>
      <c r="C251" s="287">
        <v>0</v>
      </c>
      <c r="D251" s="287">
        <v>0</v>
      </c>
      <c r="E251" s="287">
        <v>0</v>
      </c>
      <c r="F251" s="237">
        <f t="shared" si="34"/>
        <v>0</v>
      </c>
      <c r="G251" s="236" t="e">
        <f t="shared" si="35"/>
        <v>#DIV/0!</v>
      </c>
    </row>
    <row r="252" spans="1:7" ht="11.1" customHeight="1" outlineLevel="5" x14ac:dyDescent="0.2">
      <c r="A252" s="238" t="s">
        <v>233</v>
      </c>
      <c r="B252" s="285">
        <v>29507027.030000001</v>
      </c>
      <c r="C252" s="285">
        <v>40496515.18</v>
      </c>
      <c r="D252" s="285">
        <v>40659836.200000003</v>
      </c>
      <c r="E252" s="285">
        <v>40659836.200000003</v>
      </c>
      <c r="F252" s="322">
        <f t="shared" si="34"/>
        <v>163321.02000000328</v>
      </c>
      <c r="G252" s="228">
        <f t="shared" si="35"/>
        <v>4.032964793984517E-3</v>
      </c>
    </row>
    <row r="253" spans="1:7" ht="11.1" customHeight="1" outlineLevel="6" x14ac:dyDescent="0.2">
      <c r="A253" s="239" t="s">
        <v>234</v>
      </c>
      <c r="B253" s="287">
        <v>2573322.2599999998</v>
      </c>
      <c r="C253" s="287">
        <v>2996515.18</v>
      </c>
      <c r="D253" s="287">
        <v>3010388.52</v>
      </c>
      <c r="E253" s="287">
        <v>3010388.52</v>
      </c>
      <c r="F253" s="237">
        <f t="shared" si="34"/>
        <v>13873.339999999851</v>
      </c>
      <c r="G253" s="236">
        <f t="shared" si="35"/>
        <v>4.6298247019058714E-3</v>
      </c>
    </row>
    <row r="254" spans="1:7" ht="11.1" customHeight="1" outlineLevel="6" x14ac:dyDescent="0.2">
      <c r="A254" s="239" t="s">
        <v>235</v>
      </c>
      <c r="B254" s="287">
        <v>1351055.43</v>
      </c>
      <c r="C254" s="287">
        <v>1600000</v>
      </c>
      <c r="D254" s="287">
        <v>1942078.97</v>
      </c>
      <c r="E254" s="287">
        <v>1942078.97</v>
      </c>
      <c r="F254" s="237">
        <f t="shared" si="34"/>
        <v>342078.97</v>
      </c>
      <c r="G254" s="236">
        <f t="shared" si="35"/>
        <v>0.21379935625000002</v>
      </c>
    </row>
    <row r="255" spans="1:7" ht="11.1" customHeight="1" outlineLevel="6" x14ac:dyDescent="0.2">
      <c r="A255" s="239" t="s">
        <v>236</v>
      </c>
      <c r="B255" s="287">
        <v>25582649.34</v>
      </c>
      <c r="C255" s="287">
        <v>35900000</v>
      </c>
      <c r="D255" s="287">
        <v>35707368.710000001</v>
      </c>
      <c r="E255" s="287">
        <v>35707368.710000001</v>
      </c>
      <c r="F255" s="237">
        <f t="shared" si="34"/>
        <v>-192631.28999999911</v>
      </c>
      <c r="G255" s="236">
        <f t="shared" si="35"/>
        <v>-5.3657740947075094E-3</v>
      </c>
    </row>
    <row r="256" spans="1:7" ht="11.1" customHeight="1" outlineLevel="5" x14ac:dyDescent="0.2">
      <c r="A256" s="235" t="s">
        <v>237</v>
      </c>
      <c r="B256" s="287">
        <v>540363.25</v>
      </c>
      <c r="C256" s="287">
        <v>622571.56000000006</v>
      </c>
      <c r="D256" s="287">
        <v>325230.09999999998</v>
      </c>
      <c r="E256" s="287">
        <v>325230.09999999998</v>
      </c>
      <c r="F256" s="237">
        <f t="shared" si="34"/>
        <v>-297341.46000000008</v>
      </c>
      <c r="G256" s="236">
        <f t="shared" si="35"/>
        <v>-0.47760206071732547</v>
      </c>
    </row>
    <row r="257" spans="1:7" ht="11.1" customHeight="1" outlineLevel="5" x14ac:dyDescent="0.2">
      <c r="A257" s="238" t="s">
        <v>238</v>
      </c>
      <c r="B257" s="285">
        <v>65372527.100000001</v>
      </c>
      <c r="C257" s="285">
        <v>32331331.460000001</v>
      </c>
      <c r="D257" s="285">
        <v>30953799.649999999</v>
      </c>
      <c r="E257" s="285">
        <v>30953799.649999999</v>
      </c>
      <c r="F257" s="229">
        <f t="shared" si="34"/>
        <v>-1377531.8100000024</v>
      </c>
      <c r="G257" s="228">
        <f t="shared" si="35"/>
        <v>-4.2606714533370504E-2</v>
      </c>
    </row>
    <row r="258" spans="1:7" ht="11.1" customHeight="1" outlineLevel="6" x14ac:dyDescent="0.2">
      <c r="A258" s="242" t="s">
        <v>239</v>
      </c>
      <c r="B258" s="285">
        <v>19928108.760000002</v>
      </c>
      <c r="C258" s="285">
        <v>14996711.99</v>
      </c>
      <c r="D258" s="285">
        <v>15731442.039999999</v>
      </c>
      <c r="E258" s="285">
        <v>15731442.039999999</v>
      </c>
      <c r="F258" s="229">
        <f t="shared" si="34"/>
        <v>734730.04999999888</v>
      </c>
      <c r="G258" s="228">
        <f t="shared" si="35"/>
        <v>4.8992742575167503E-2</v>
      </c>
    </row>
    <row r="259" spans="1:7" ht="11.1" customHeight="1" outlineLevel="7" x14ac:dyDescent="0.2">
      <c r="A259" s="243" t="s">
        <v>240</v>
      </c>
      <c r="B259" s="287">
        <v>16691905.48</v>
      </c>
      <c r="C259" s="287">
        <v>10620688.32</v>
      </c>
      <c r="D259" s="287">
        <v>13610620.65</v>
      </c>
      <c r="E259" s="287">
        <v>13610620.65</v>
      </c>
      <c r="F259" s="321">
        <f t="shared" si="34"/>
        <v>2989932.33</v>
      </c>
      <c r="G259" s="236">
        <f t="shared" si="35"/>
        <v>0.28151963789104029</v>
      </c>
    </row>
    <row r="260" spans="1:7" ht="11.1" customHeight="1" outlineLevel="7" x14ac:dyDescent="0.2">
      <c r="A260" s="243" t="s">
        <v>241</v>
      </c>
      <c r="B260" s="287">
        <v>3236203.28</v>
      </c>
      <c r="C260" s="287">
        <v>4376023.67</v>
      </c>
      <c r="D260" s="287">
        <v>2120821.39</v>
      </c>
      <c r="E260" s="287">
        <v>2120821.39</v>
      </c>
      <c r="F260" s="237">
        <f t="shared" si="34"/>
        <v>-2255202.2799999998</v>
      </c>
      <c r="G260" s="236">
        <f t="shared" si="35"/>
        <v>-0.51535422339248904</v>
      </c>
    </row>
    <row r="261" spans="1:7" ht="11.1" customHeight="1" outlineLevel="6" x14ac:dyDescent="0.2">
      <c r="A261" s="239" t="s">
        <v>242</v>
      </c>
      <c r="B261" s="287">
        <v>45444418.340000004</v>
      </c>
      <c r="C261" s="287">
        <v>17334619.469999999</v>
      </c>
      <c r="D261" s="287">
        <v>15222357.609999999</v>
      </c>
      <c r="E261" s="287">
        <v>15222357.609999999</v>
      </c>
      <c r="F261" s="237">
        <f t="shared" si="34"/>
        <v>-2112261.8599999994</v>
      </c>
      <c r="G261" s="236">
        <f t="shared" si="35"/>
        <v>-0.12185221969571158</v>
      </c>
    </row>
    <row r="262" spans="1:7" ht="11.1" customHeight="1" outlineLevel="4" x14ac:dyDescent="0.2">
      <c r="A262" s="234" t="s">
        <v>243</v>
      </c>
      <c r="B262" s="285">
        <v>61680563.270000003</v>
      </c>
      <c r="C262" s="285">
        <v>66359031.729999997</v>
      </c>
      <c r="D262" s="285">
        <v>59255736.130000003</v>
      </c>
      <c r="E262" s="285">
        <v>57821631.780000001</v>
      </c>
      <c r="F262" s="229">
        <f t="shared" si="34"/>
        <v>-7103295.599999994</v>
      </c>
      <c r="G262" s="228">
        <f t="shared" si="35"/>
        <v>-0.10704338828965598</v>
      </c>
    </row>
    <row r="263" spans="1:7" ht="11.1" customHeight="1" outlineLevel="5" x14ac:dyDescent="0.2">
      <c r="A263" s="235" t="s">
        <v>244</v>
      </c>
      <c r="B263" s="287">
        <v>1689275.8</v>
      </c>
      <c r="C263" s="287">
        <v>577062.55000000005</v>
      </c>
      <c r="D263" s="287">
        <v>987398.99</v>
      </c>
      <c r="E263" s="287">
        <v>987398.99</v>
      </c>
      <c r="F263" s="321">
        <f t="shared" si="34"/>
        <v>410336.43999999994</v>
      </c>
      <c r="G263" s="236">
        <f t="shared" si="35"/>
        <v>0.7110779238749767</v>
      </c>
    </row>
    <row r="264" spans="1:7" ht="11.1" customHeight="1" outlineLevel="5" x14ac:dyDescent="0.2">
      <c r="A264" s="235" t="s">
        <v>243</v>
      </c>
      <c r="B264" s="287">
        <v>332228.36</v>
      </c>
      <c r="C264" s="287">
        <v>1126018.32</v>
      </c>
      <c r="D264" s="287">
        <v>492225.08</v>
      </c>
      <c r="E264" s="287">
        <v>492225.08</v>
      </c>
      <c r="F264" s="237">
        <f t="shared" ref="F264:F307" si="36">D264-C264</f>
        <v>-633793.24</v>
      </c>
      <c r="G264" s="236">
        <f t="shared" si="35"/>
        <v>-0.56286228096182311</v>
      </c>
    </row>
    <row r="265" spans="1:7" ht="11.1" customHeight="1" outlineLevel="5" x14ac:dyDescent="0.2">
      <c r="A265" s="235" t="s">
        <v>245</v>
      </c>
      <c r="B265" s="287">
        <v>22131145.34</v>
      </c>
      <c r="C265" s="287">
        <v>23859067.25</v>
      </c>
      <c r="D265" s="287">
        <v>22073051.77</v>
      </c>
      <c r="E265" s="287">
        <v>20638947.420000002</v>
      </c>
      <c r="F265" s="237">
        <f t="shared" si="36"/>
        <v>-1786015.4800000004</v>
      </c>
      <c r="G265" s="236">
        <f t="shared" si="35"/>
        <v>-7.4856886117373289E-2</v>
      </c>
    </row>
    <row r="266" spans="1:7" ht="11.1" customHeight="1" outlineLevel="5" x14ac:dyDescent="0.2">
      <c r="A266" s="235" t="s">
        <v>246</v>
      </c>
      <c r="B266" s="287">
        <v>2973515.6</v>
      </c>
      <c r="C266" s="287">
        <v>3814885.95</v>
      </c>
      <c r="D266" s="287">
        <v>3519661.18</v>
      </c>
      <c r="E266" s="287">
        <v>3519661.18</v>
      </c>
      <c r="F266" s="237">
        <f t="shared" si="36"/>
        <v>-295224.77</v>
      </c>
      <c r="G266" s="236">
        <f t="shared" si="35"/>
        <v>-7.7387574325780251E-2</v>
      </c>
    </row>
    <row r="267" spans="1:7" ht="11.1" customHeight="1" outlineLevel="5" x14ac:dyDescent="0.2">
      <c r="A267" s="235" t="s">
        <v>247</v>
      </c>
      <c r="B267" s="287">
        <v>26635006.920000002</v>
      </c>
      <c r="C267" s="287">
        <v>26254643.949999999</v>
      </c>
      <c r="D267" s="287">
        <v>23696795.600000001</v>
      </c>
      <c r="E267" s="287">
        <v>23696795.600000001</v>
      </c>
      <c r="F267" s="237">
        <f t="shared" si="36"/>
        <v>-2557848.3499999978</v>
      </c>
      <c r="G267" s="236">
        <f t="shared" si="35"/>
        <v>-9.7424606285700488E-2</v>
      </c>
    </row>
    <row r="268" spans="1:7" ht="11.1" customHeight="1" outlineLevel="5" x14ac:dyDescent="0.2">
      <c r="A268" s="235" t="s">
        <v>248</v>
      </c>
      <c r="B268" s="287">
        <v>135274.54</v>
      </c>
      <c r="C268" s="287">
        <v>234485</v>
      </c>
      <c r="D268" s="287">
        <v>141291.63</v>
      </c>
      <c r="E268" s="287">
        <v>141291.63</v>
      </c>
      <c r="F268" s="237">
        <f t="shared" si="36"/>
        <v>-93193.37</v>
      </c>
      <c r="G268" s="236">
        <f t="shared" si="35"/>
        <v>-0.39743851419067311</v>
      </c>
    </row>
    <row r="269" spans="1:7" ht="11.1" customHeight="1" outlineLevel="5" x14ac:dyDescent="0.2">
      <c r="A269" s="235" t="s">
        <v>249</v>
      </c>
      <c r="B269" s="287">
        <v>147209.89000000001</v>
      </c>
      <c r="C269" s="287">
        <v>221858.25</v>
      </c>
      <c r="D269" s="287">
        <v>108946.76</v>
      </c>
      <c r="E269" s="287">
        <v>108946.76</v>
      </c>
      <c r="F269" s="237">
        <f t="shared" si="36"/>
        <v>-112911.49</v>
      </c>
      <c r="G269" s="236">
        <f t="shared" si="35"/>
        <v>-0.50893527736741817</v>
      </c>
    </row>
    <row r="270" spans="1:7" ht="11.1" customHeight="1" outlineLevel="5" x14ac:dyDescent="0.2">
      <c r="A270" s="235" t="s">
        <v>250</v>
      </c>
      <c r="B270" s="287">
        <v>7636906.8200000003</v>
      </c>
      <c r="C270" s="287">
        <v>10271010.460000001</v>
      </c>
      <c r="D270" s="287">
        <v>8236365.1200000001</v>
      </c>
      <c r="E270" s="287">
        <v>8236365.1200000001</v>
      </c>
      <c r="F270" s="237">
        <f t="shared" si="36"/>
        <v>-2034645.3400000008</v>
      </c>
      <c r="G270" s="236">
        <f t="shared" si="35"/>
        <v>-0.19809592716547586</v>
      </c>
    </row>
    <row r="271" spans="1:7" ht="11.1" customHeight="1" outlineLevel="4" x14ac:dyDescent="0.2">
      <c r="A271" s="234" t="s">
        <v>251</v>
      </c>
      <c r="B271" s="285">
        <v>104713.76</v>
      </c>
      <c r="C271" s="285">
        <v>698740</v>
      </c>
      <c r="D271" s="285">
        <v>208928.36</v>
      </c>
      <c r="E271" s="285">
        <v>208928.36</v>
      </c>
      <c r="F271" s="229">
        <f t="shared" si="36"/>
        <v>-489811.64</v>
      </c>
      <c r="G271" s="228">
        <f t="shared" si="35"/>
        <v>-0.70099270114778034</v>
      </c>
    </row>
    <row r="272" spans="1:7" ht="11.1" customHeight="1" outlineLevel="5" x14ac:dyDescent="0.2">
      <c r="A272" s="235" t="s">
        <v>252</v>
      </c>
      <c r="B272" s="287">
        <v>27408.76</v>
      </c>
      <c r="C272" s="287">
        <v>300000</v>
      </c>
      <c r="D272" s="287">
        <v>2772</v>
      </c>
      <c r="E272" s="287">
        <v>2772</v>
      </c>
      <c r="F272" s="237">
        <f t="shared" si="36"/>
        <v>-297228</v>
      </c>
      <c r="G272" s="236">
        <f t="shared" si="35"/>
        <v>-0.99075999999999997</v>
      </c>
    </row>
    <row r="273" spans="1:11" ht="11.1" customHeight="1" outlineLevel="5" x14ac:dyDescent="0.2">
      <c r="A273" s="235" t="s">
        <v>253</v>
      </c>
      <c r="B273" s="287">
        <v>77305</v>
      </c>
      <c r="C273" s="287">
        <v>398740</v>
      </c>
      <c r="D273" s="287">
        <v>206156.36</v>
      </c>
      <c r="E273" s="287">
        <v>206156.36</v>
      </c>
      <c r="F273" s="237">
        <f t="shared" si="36"/>
        <v>-192583.64</v>
      </c>
      <c r="G273" s="236">
        <f t="shared" si="35"/>
        <v>-0.48298048853889752</v>
      </c>
    </row>
    <row r="274" spans="1:11" ht="11.1" customHeight="1" outlineLevel="4" x14ac:dyDescent="0.2">
      <c r="A274" s="240" t="s">
        <v>172</v>
      </c>
      <c r="B274" s="287">
        <v>5876051.5800000001</v>
      </c>
      <c r="C274" s="287">
        <v>10950259.880000001</v>
      </c>
      <c r="D274" s="287">
        <v>7000202.5599999996</v>
      </c>
      <c r="E274" s="287">
        <v>7000202.5599999996</v>
      </c>
      <c r="F274" s="237">
        <f t="shared" si="36"/>
        <v>-3950057.3200000012</v>
      </c>
      <c r="G274" s="236">
        <f t="shared" si="35"/>
        <v>-0.360727267050031</v>
      </c>
    </row>
    <row r="275" spans="1:11" ht="11.1" customHeight="1" outlineLevel="4" x14ac:dyDescent="0.2">
      <c r="A275" s="234" t="s">
        <v>173</v>
      </c>
      <c r="B275" s="285">
        <v>866744839.60000002</v>
      </c>
      <c r="C275" s="285">
        <v>914502620.50999999</v>
      </c>
      <c r="D275" s="285">
        <v>969413450.20000005</v>
      </c>
      <c r="E275" s="285">
        <v>969413450.20000005</v>
      </c>
      <c r="F275" s="229">
        <f t="shared" si="36"/>
        <v>54910829.690000057</v>
      </c>
      <c r="G275" s="228">
        <f t="shared" si="35"/>
        <v>6.0044474951178817E-2</v>
      </c>
      <c r="H275" s="226">
        <f>C275+C190+C175</f>
        <v>3408561462.6300001</v>
      </c>
      <c r="I275" s="226">
        <f>D275+D190+D175</f>
        <v>3233917012.6700001</v>
      </c>
      <c r="J275" s="226"/>
      <c r="K275" s="221">
        <f>I275/H275*100-100</f>
        <v>-5.1236995980482192</v>
      </c>
    </row>
    <row r="276" spans="1:11" ht="11.1" customHeight="1" outlineLevel="5" x14ac:dyDescent="0.2">
      <c r="A276" s="235" t="s">
        <v>174</v>
      </c>
      <c r="B276" s="287">
        <v>632731216.5</v>
      </c>
      <c r="C276" s="287">
        <v>643780286.03999996</v>
      </c>
      <c r="D276" s="287">
        <v>698359579.54999995</v>
      </c>
      <c r="E276" s="287">
        <v>698359579.54999995</v>
      </c>
      <c r="F276" s="237">
        <f t="shared" si="36"/>
        <v>54579293.50999999</v>
      </c>
      <c r="G276" s="236">
        <f t="shared" si="35"/>
        <v>8.4779380005135518E-2</v>
      </c>
    </row>
    <row r="277" spans="1:11" ht="11.1" customHeight="1" outlineLevel="5" x14ac:dyDescent="0.2">
      <c r="A277" s="235" t="s">
        <v>175</v>
      </c>
      <c r="B277" s="287">
        <v>196646519.46000001</v>
      </c>
      <c r="C277" s="287">
        <v>207977952.02000001</v>
      </c>
      <c r="D277" s="287">
        <v>220227405.19999999</v>
      </c>
      <c r="E277" s="287">
        <v>220227405.19999999</v>
      </c>
      <c r="F277" s="237">
        <f t="shared" si="36"/>
        <v>12249453.179999977</v>
      </c>
      <c r="G277" s="236">
        <f t="shared" si="35"/>
        <v>5.8897844992829018E-2</v>
      </c>
    </row>
    <row r="278" spans="1:11" ht="11.1" customHeight="1" outlineLevel="5" x14ac:dyDescent="0.2">
      <c r="A278" s="235" t="s">
        <v>176</v>
      </c>
      <c r="B278" s="287">
        <v>37367103.640000001</v>
      </c>
      <c r="C278" s="287">
        <v>61517582.450000003</v>
      </c>
      <c r="D278" s="287">
        <v>50719614.049999997</v>
      </c>
      <c r="E278" s="287">
        <v>50719614.049999997</v>
      </c>
      <c r="F278" s="237">
        <f t="shared" si="36"/>
        <v>-10797968.400000006</v>
      </c>
      <c r="G278" s="236">
        <f t="shared" si="35"/>
        <v>-0.17552654005505386</v>
      </c>
    </row>
    <row r="279" spans="1:11" ht="11.1" customHeight="1" outlineLevel="5" x14ac:dyDescent="0.2">
      <c r="A279" s="235" t="s">
        <v>177</v>
      </c>
      <c r="B279" s="287">
        <v>0</v>
      </c>
      <c r="C279" s="287">
        <v>1226800</v>
      </c>
      <c r="D279" s="287">
        <v>106851.4</v>
      </c>
      <c r="E279" s="287">
        <v>106851.4</v>
      </c>
      <c r="F279" s="237">
        <f t="shared" si="36"/>
        <v>-1119948.6000000001</v>
      </c>
      <c r="G279" s="236">
        <f t="shared" si="35"/>
        <v>-0.91290234757091615</v>
      </c>
    </row>
    <row r="280" spans="1:11" ht="11.1" customHeight="1" outlineLevel="4" x14ac:dyDescent="0.2">
      <c r="A280" s="234" t="s">
        <v>178</v>
      </c>
      <c r="B280" s="285">
        <v>3766527.02</v>
      </c>
      <c r="C280" s="285">
        <v>5595777.1100000003</v>
      </c>
      <c r="D280" s="285">
        <v>3505847.12</v>
      </c>
      <c r="E280" s="285">
        <v>3505847.12</v>
      </c>
      <c r="F280" s="229">
        <f t="shared" si="36"/>
        <v>-2089929.9900000002</v>
      </c>
      <c r="G280" s="228">
        <f t="shared" si="35"/>
        <v>-0.37348342310939542</v>
      </c>
    </row>
    <row r="281" spans="1:11" ht="11.1" customHeight="1" outlineLevel="5" x14ac:dyDescent="0.2">
      <c r="A281" s="235" t="s">
        <v>179</v>
      </c>
      <c r="B281" s="287">
        <v>1454493.32</v>
      </c>
      <c r="C281" s="287">
        <v>3523161.94</v>
      </c>
      <c r="D281" s="287">
        <v>1413116.19</v>
      </c>
      <c r="E281" s="287">
        <v>1413116.19</v>
      </c>
      <c r="F281" s="237">
        <f t="shared" si="36"/>
        <v>-2110045.75</v>
      </c>
      <c r="G281" s="236">
        <f t="shared" si="35"/>
        <v>-0.59890683026622393</v>
      </c>
    </row>
    <row r="282" spans="1:11" ht="11.1" customHeight="1" outlineLevel="5" x14ac:dyDescent="0.2">
      <c r="A282" s="235" t="s">
        <v>180</v>
      </c>
      <c r="B282" s="287">
        <v>340075.49</v>
      </c>
      <c r="C282" s="287">
        <v>662838.80000000005</v>
      </c>
      <c r="D282" s="287">
        <v>372143.77</v>
      </c>
      <c r="E282" s="287">
        <v>372143.77</v>
      </c>
      <c r="F282" s="237">
        <f t="shared" si="36"/>
        <v>-290695.03000000003</v>
      </c>
      <c r="G282" s="236">
        <f t="shared" si="35"/>
        <v>-0.4385606726703386</v>
      </c>
    </row>
    <row r="283" spans="1:11" ht="11.1" customHeight="1" outlineLevel="5" x14ac:dyDescent="0.2">
      <c r="A283" s="235" t="s">
        <v>181</v>
      </c>
      <c r="B283" s="287">
        <v>1971958.21</v>
      </c>
      <c r="C283" s="287">
        <v>1409776.37</v>
      </c>
      <c r="D283" s="287">
        <v>1720587.16</v>
      </c>
      <c r="E283" s="287">
        <v>1720587.16</v>
      </c>
      <c r="F283" s="237">
        <f t="shared" si="36"/>
        <v>310810.7899999998</v>
      </c>
      <c r="G283" s="236">
        <f t="shared" si="35"/>
        <v>0.22046815127139618</v>
      </c>
    </row>
    <row r="284" spans="1:11" ht="11.1" customHeight="1" outlineLevel="3" x14ac:dyDescent="0.2">
      <c r="A284" s="246" t="s">
        <v>254</v>
      </c>
      <c r="B284" s="284">
        <v>72271979.200000003</v>
      </c>
      <c r="C284" s="284">
        <v>32731405.949999999</v>
      </c>
      <c r="D284" s="284">
        <v>65484853.359999999</v>
      </c>
      <c r="E284" s="284">
        <v>65484853.359999999</v>
      </c>
      <c r="F284" s="323">
        <f t="shared" si="36"/>
        <v>32753447.41</v>
      </c>
      <c r="G284" s="224">
        <f t="shared" si="35"/>
        <v>1.0006734040093992</v>
      </c>
    </row>
    <row r="285" spans="1:11" ht="11.1" customHeight="1" outlineLevel="4" x14ac:dyDescent="0.2">
      <c r="A285" s="240" t="s">
        <v>255</v>
      </c>
      <c r="B285" s="287">
        <v>312495.25</v>
      </c>
      <c r="C285" s="287">
        <v>214320</v>
      </c>
      <c r="D285" s="287">
        <v>94612.62</v>
      </c>
      <c r="E285" s="287">
        <v>94612.62</v>
      </c>
      <c r="F285" s="237">
        <f t="shared" si="36"/>
        <v>-119707.38</v>
      </c>
      <c r="G285" s="236">
        <f t="shared" si="35"/>
        <v>-0.55854507278835386</v>
      </c>
    </row>
    <row r="286" spans="1:11" ht="11.1" customHeight="1" outlineLevel="4" x14ac:dyDescent="0.2">
      <c r="A286" s="240" t="s">
        <v>256</v>
      </c>
      <c r="B286" s="287">
        <v>6323372.9699999997</v>
      </c>
      <c r="C286" s="287">
        <v>2288350</v>
      </c>
      <c r="D286" s="287">
        <v>8518999.3599999994</v>
      </c>
      <c r="E286" s="287">
        <v>8518999.3599999994</v>
      </c>
      <c r="F286" s="237">
        <f t="shared" si="36"/>
        <v>6230649.3599999994</v>
      </c>
      <c r="G286" s="236">
        <f t="shared" si="35"/>
        <v>2.7227694015338559</v>
      </c>
    </row>
    <row r="287" spans="1:11" ht="11.1" customHeight="1" outlineLevel="4" x14ac:dyDescent="0.2">
      <c r="A287" s="240" t="s">
        <v>257</v>
      </c>
      <c r="B287" s="287">
        <v>296657.88</v>
      </c>
      <c r="C287" s="287">
        <v>635560</v>
      </c>
      <c r="D287" s="287">
        <v>2180074.16</v>
      </c>
      <c r="E287" s="287">
        <v>2180074.16</v>
      </c>
      <c r="F287" s="237">
        <f t="shared" si="36"/>
        <v>1544514.1600000001</v>
      </c>
      <c r="G287" s="236">
        <f t="shared" si="35"/>
        <v>2.430162628233369</v>
      </c>
    </row>
    <row r="288" spans="1:11" ht="11.1" customHeight="1" outlineLevel="4" x14ac:dyDescent="0.2">
      <c r="A288" s="240" t="s">
        <v>258</v>
      </c>
      <c r="B288" s="287">
        <v>26010604.98</v>
      </c>
      <c r="C288" s="287">
        <v>170000</v>
      </c>
      <c r="D288" s="287">
        <v>26166080.969999999</v>
      </c>
      <c r="E288" s="287">
        <v>26166080.969999999</v>
      </c>
      <c r="F288" s="237">
        <f t="shared" si="36"/>
        <v>25996080.969999999</v>
      </c>
      <c r="G288" s="236">
        <f t="shared" si="35"/>
        <v>152.91812335294117</v>
      </c>
    </row>
    <row r="289" spans="1:7" ht="11.1" customHeight="1" outlineLevel="4" x14ac:dyDescent="0.2">
      <c r="A289" s="240" t="s">
        <v>53</v>
      </c>
      <c r="B289" s="287">
        <v>486211.65</v>
      </c>
      <c r="C289" s="287">
        <v>0</v>
      </c>
      <c r="D289" s="287">
        <v>3706580.73</v>
      </c>
      <c r="E289" s="287">
        <v>3706580.73</v>
      </c>
      <c r="F289" s="237">
        <f t="shared" si="36"/>
        <v>3706580.73</v>
      </c>
      <c r="G289" s="236" t="e">
        <f t="shared" si="35"/>
        <v>#DIV/0!</v>
      </c>
    </row>
    <row r="290" spans="1:7" ht="11.1" customHeight="1" outlineLevel="4" x14ac:dyDescent="0.2">
      <c r="A290" s="240" t="s">
        <v>259</v>
      </c>
      <c r="B290" s="287">
        <v>119493.03</v>
      </c>
      <c r="C290" s="287">
        <v>0</v>
      </c>
      <c r="D290" s="287">
        <v>333601.11</v>
      </c>
      <c r="E290" s="287">
        <v>333601.11</v>
      </c>
      <c r="F290" s="237">
        <f t="shared" si="36"/>
        <v>333601.11</v>
      </c>
      <c r="G290" s="236" t="e">
        <f t="shared" si="35"/>
        <v>#DIV/0!</v>
      </c>
    </row>
    <row r="291" spans="1:7" ht="11.1" customHeight="1" outlineLevel="4" x14ac:dyDescent="0.2">
      <c r="A291" s="234" t="s">
        <v>260</v>
      </c>
      <c r="B291" s="285">
        <v>26119906.91</v>
      </c>
      <c r="C291" s="285">
        <v>20755728.920000002</v>
      </c>
      <c r="D291" s="285">
        <v>18718886.68</v>
      </c>
      <c r="E291" s="285">
        <v>18718886.68</v>
      </c>
      <c r="F291" s="229">
        <f t="shared" si="36"/>
        <v>-2036842.2400000021</v>
      </c>
      <c r="G291" s="228">
        <f t="shared" si="35"/>
        <v>-9.8133977749021439E-2</v>
      </c>
    </row>
    <row r="292" spans="1:7" ht="11.1" customHeight="1" outlineLevel="5" x14ac:dyDescent="0.2">
      <c r="A292" s="235" t="s">
        <v>261</v>
      </c>
      <c r="B292" s="287">
        <v>0</v>
      </c>
      <c r="C292" s="287">
        <v>0</v>
      </c>
      <c r="D292" s="287">
        <v>0</v>
      </c>
      <c r="E292" s="287">
        <v>0</v>
      </c>
      <c r="F292" s="237">
        <f t="shared" si="36"/>
        <v>0</v>
      </c>
      <c r="G292" s="236" t="e">
        <f t="shared" si="35"/>
        <v>#DIV/0!</v>
      </c>
    </row>
    <row r="293" spans="1:7" ht="11.1" customHeight="1" outlineLevel="5" x14ac:dyDescent="0.2">
      <c r="A293" s="235" t="s">
        <v>262</v>
      </c>
      <c r="B293" s="287">
        <v>5823967.6699999999</v>
      </c>
      <c r="C293" s="287">
        <v>5940796.2199999997</v>
      </c>
      <c r="D293" s="287">
        <v>6034898</v>
      </c>
      <c r="E293" s="287">
        <v>6034898</v>
      </c>
      <c r="F293" s="237">
        <f t="shared" si="36"/>
        <v>94101.780000000261</v>
      </c>
      <c r="G293" s="236">
        <f t="shared" si="35"/>
        <v>1.5839927261467324E-2</v>
      </c>
    </row>
    <row r="294" spans="1:7" ht="11.1" customHeight="1" outlineLevel="5" x14ac:dyDescent="0.2">
      <c r="A294" s="235" t="s">
        <v>263</v>
      </c>
      <c r="B294" s="287">
        <v>-23844.85</v>
      </c>
      <c r="C294" s="287">
        <v>83786.34</v>
      </c>
      <c r="D294" s="287">
        <v>5018.05</v>
      </c>
      <c r="E294" s="287">
        <v>5018.05</v>
      </c>
      <c r="F294" s="237">
        <f t="shared" si="36"/>
        <v>-78768.289999999994</v>
      </c>
      <c r="G294" s="236">
        <f t="shared" si="35"/>
        <v>-0.94010897241722213</v>
      </c>
    </row>
    <row r="295" spans="1:7" ht="11.1" customHeight="1" outlineLevel="5" x14ac:dyDescent="0.2">
      <c r="A295" s="235" t="s">
        <v>264</v>
      </c>
      <c r="B295" s="287">
        <v>13321185.32</v>
      </c>
      <c r="C295" s="287">
        <v>8806938.3499999996</v>
      </c>
      <c r="D295" s="287">
        <v>4563902.18</v>
      </c>
      <c r="E295" s="287">
        <v>4563902.18</v>
      </c>
      <c r="F295" s="237">
        <f t="shared" si="36"/>
        <v>-4243036.17</v>
      </c>
      <c r="G295" s="236">
        <f t="shared" si="35"/>
        <v>-0.48178333960972941</v>
      </c>
    </row>
    <row r="296" spans="1:7" ht="11.1" customHeight="1" outlineLevel="5" x14ac:dyDescent="0.2">
      <c r="A296" s="235" t="s">
        <v>265</v>
      </c>
      <c r="B296" s="287">
        <v>6998598.7699999996</v>
      </c>
      <c r="C296" s="287">
        <v>5924208.0099999998</v>
      </c>
      <c r="D296" s="287">
        <v>8115068.4500000002</v>
      </c>
      <c r="E296" s="287">
        <v>8115068.4500000002</v>
      </c>
      <c r="F296" s="237">
        <f t="shared" si="36"/>
        <v>2190860.4400000004</v>
      </c>
      <c r="G296" s="236">
        <f t="shared" si="35"/>
        <v>0.36981490796775729</v>
      </c>
    </row>
    <row r="297" spans="1:7" ht="11.1" customHeight="1" outlineLevel="4" x14ac:dyDescent="0.2">
      <c r="A297" s="240" t="s">
        <v>266</v>
      </c>
      <c r="B297" s="287">
        <v>64936.33</v>
      </c>
      <c r="C297" s="287">
        <v>45998</v>
      </c>
      <c r="D297" s="287">
        <v>8776.84</v>
      </c>
      <c r="E297" s="287">
        <v>8776.84</v>
      </c>
      <c r="F297" s="237">
        <f t="shared" si="36"/>
        <v>-37221.160000000003</v>
      </c>
      <c r="G297" s="236">
        <f t="shared" si="35"/>
        <v>-0.80919083438410366</v>
      </c>
    </row>
    <row r="298" spans="1:7" ht="11.1" customHeight="1" outlineLevel="4" x14ac:dyDescent="0.2">
      <c r="A298" s="240" t="s">
        <v>254</v>
      </c>
      <c r="B298" s="287">
        <v>8728240.5899999999</v>
      </c>
      <c r="C298" s="287">
        <v>1290921.32</v>
      </c>
      <c r="D298" s="287">
        <v>9275340.5999999996</v>
      </c>
      <c r="E298" s="287">
        <v>9275340.5999999996</v>
      </c>
      <c r="F298" s="237">
        <f t="shared" si="36"/>
        <v>7984419.2799999993</v>
      </c>
      <c r="G298" s="236">
        <f t="shared" si="35"/>
        <v>6.185054934254242</v>
      </c>
    </row>
    <row r="299" spans="1:7" ht="11.1" customHeight="1" outlineLevel="4" x14ac:dyDescent="0.2">
      <c r="A299" s="240" t="s">
        <v>267</v>
      </c>
      <c r="B299" s="287">
        <v>0</v>
      </c>
      <c r="C299" s="287">
        <v>2130527.71</v>
      </c>
      <c r="D299" s="287">
        <v>1687727.52</v>
      </c>
      <c r="E299" s="287">
        <v>1687727.52</v>
      </c>
      <c r="F299" s="237">
        <f t="shared" si="36"/>
        <v>-442800.18999999994</v>
      </c>
      <c r="G299" s="236">
        <f t="shared" si="35"/>
        <v>-0.20783592155203645</v>
      </c>
    </row>
    <row r="300" spans="1:7" ht="11.1" customHeight="1" outlineLevel="4" x14ac:dyDescent="0.2">
      <c r="A300" s="240" t="s">
        <v>58</v>
      </c>
      <c r="B300" s="287">
        <v>2204378.98</v>
      </c>
      <c r="C300" s="287">
        <v>1300000</v>
      </c>
      <c r="D300" s="287">
        <v>-10629298.58</v>
      </c>
      <c r="E300" s="287">
        <v>-10629298.58</v>
      </c>
      <c r="F300" s="237">
        <f t="shared" si="36"/>
        <v>-11929298.58</v>
      </c>
      <c r="G300" s="236">
        <f t="shared" si="35"/>
        <v>-9.1763835230769235</v>
      </c>
    </row>
    <row r="301" spans="1:7" ht="11.1" customHeight="1" outlineLevel="4" x14ac:dyDescent="0.2">
      <c r="A301" s="240" t="s">
        <v>268</v>
      </c>
      <c r="B301" s="287">
        <v>1585147.06</v>
      </c>
      <c r="C301" s="287">
        <v>3900000</v>
      </c>
      <c r="D301" s="287">
        <v>3818443.27</v>
      </c>
      <c r="E301" s="287">
        <v>3818443.27</v>
      </c>
      <c r="F301" s="237">
        <f t="shared" si="36"/>
        <v>-81556.729999999981</v>
      </c>
      <c r="G301" s="236">
        <f t="shared" si="35"/>
        <v>-2.0911982051282085E-2</v>
      </c>
    </row>
    <row r="302" spans="1:7" ht="11.1" customHeight="1" outlineLevel="4" x14ac:dyDescent="0.2">
      <c r="A302" s="240" t="s">
        <v>269</v>
      </c>
      <c r="B302" s="287">
        <v>7500</v>
      </c>
      <c r="C302" s="287">
        <v>0</v>
      </c>
      <c r="D302" s="287">
        <v>15000</v>
      </c>
      <c r="E302" s="287">
        <v>15000</v>
      </c>
      <c r="F302" s="237">
        <f t="shared" si="36"/>
        <v>15000</v>
      </c>
      <c r="G302" s="236" t="e">
        <f t="shared" si="35"/>
        <v>#DIV/0!</v>
      </c>
    </row>
    <row r="303" spans="1:7" ht="11.1" customHeight="1" outlineLevel="4" x14ac:dyDescent="0.2">
      <c r="A303" s="240" t="s">
        <v>819</v>
      </c>
      <c r="B303" s="287">
        <v>0</v>
      </c>
      <c r="C303" s="287">
        <v>0</v>
      </c>
      <c r="D303" s="287">
        <v>1557200.14</v>
      </c>
      <c r="E303" s="287">
        <v>1557200.14</v>
      </c>
      <c r="F303" s="237">
        <f t="shared" si="36"/>
        <v>1557200.14</v>
      </c>
      <c r="G303" s="236" t="e">
        <f t="shared" si="35"/>
        <v>#DIV/0!</v>
      </c>
    </row>
    <row r="304" spans="1:7" ht="11.1" customHeight="1" outlineLevel="4" x14ac:dyDescent="0.2">
      <c r="A304" s="240" t="s">
        <v>271</v>
      </c>
      <c r="B304" s="287">
        <v>13033.57</v>
      </c>
      <c r="C304" s="287">
        <v>0</v>
      </c>
      <c r="D304" s="287">
        <v>32827.94</v>
      </c>
      <c r="E304" s="287">
        <v>32827.94</v>
      </c>
      <c r="F304" s="237">
        <f t="shared" si="36"/>
        <v>32827.94</v>
      </c>
      <c r="G304" s="236" t="e">
        <f t="shared" si="35"/>
        <v>#DIV/0!</v>
      </c>
    </row>
    <row r="305" spans="1:7" ht="11.1" customHeight="1" outlineLevel="4" x14ac:dyDescent="0.2">
      <c r="A305" s="240" t="s">
        <v>272</v>
      </c>
      <c r="B305" s="287">
        <v>0</v>
      </c>
      <c r="C305" s="287">
        <v>0</v>
      </c>
      <c r="D305" s="287">
        <v>0</v>
      </c>
      <c r="E305" s="287">
        <v>0</v>
      </c>
      <c r="F305" s="237">
        <f t="shared" si="36"/>
        <v>0</v>
      </c>
      <c r="G305" s="236" t="e">
        <f t="shared" si="35"/>
        <v>#DIV/0!</v>
      </c>
    </row>
    <row r="306" spans="1:7" ht="11.1" customHeight="1" outlineLevel="1" x14ac:dyDescent="0.2">
      <c r="A306" s="247" t="s">
        <v>273</v>
      </c>
      <c r="B306" s="287">
        <v>-17103263.199999999</v>
      </c>
      <c r="C306" s="287">
        <v>-31171899.48</v>
      </c>
      <c r="D306" s="287">
        <v>12729944.08</v>
      </c>
      <c r="E306" s="287">
        <v>5205037.22</v>
      </c>
      <c r="F306" s="321">
        <f t="shared" si="36"/>
        <v>43901843.560000002</v>
      </c>
      <c r="G306" s="236">
        <f t="shared" si="35"/>
        <v>-1.4083788377467203</v>
      </c>
    </row>
    <row r="307" spans="1:7" ht="11.1" customHeight="1" outlineLevel="1" x14ac:dyDescent="0.2">
      <c r="A307" s="247" t="s">
        <v>274</v>
      </c>
      <c r="B307" s="287">
        <v>500.77</v>
      </c>
      <c r="C307" s="287">
        <v>0</v>
      </c>
      <c r="D307" s="287">
        <v>-232145.42</v>
      </c>
      <c r="E307" s="287">
        <v>-232145.42</v>
      </c>
      <c r="F307" s="237">
        <f t="shared" si="36"/>
        <v>-232145.42</v>
      </c>
      <c r="G307" s="236" t="e">
        <f t="shared" si="35"/>
        <v>#DIV/0!</v>
      </c>
    </row>
    <row r="309" spans="1:7" ht="11.45" customHeight="1" x14ac:dyDescent="0.2">
      <c r="B309" s="219">
        <v>-1</v>
      </c>
      <c r="C309" s="289">
        <f>C118+C306+C307</f>
        <v>5326925000.4100018</v>
      </c>
      <c r="D309" s="289">
        <f t="shared" ref="D309:E309" si="37">D118+D306+D307</f>
        <v>5471242759.7299986</v>
      </c>
      <c r="E309" s="289">
        <f t="shared" si="37"/>
        <v>5335227634.1400003</v>
      </c>
      <c r="F309" s="225">
        <f t="shared" ref="F309" si="38">D309-C309</f>
        <v>144317759.31999683</v>
      </c>
      <c r="G309" s="224">
        <f t="shared" ref="G309" si="39">D309/C309-1</f>
        <v>2.7092132761187493E-2</v>
      </c>
    </row>
  </sheetData>
  <autoFilter ref="A118:G307"/>
  <mergeCells count="1">
    <mergeCell ref="C5:G5"/>
  </mergeCells>
  <conditionalFormatting sqref="G7:G43 G45:G59 G119">
    <cfRule type="cellIs" dxfId="52" priority="3" operator="lessThan">
      <formula>0</formula>
    </cfRule>
  </conditionalFormatting>
  <conditionalFormatting sqref="G118 G120:G307">
    <cfRule type="cellIs" dxfId="51" priority="2" operator="greaterThan">
      <formula>0</formula>
    </cfRule>
  </conditionalFormatting>
  <conditionalFormatting sqref="G309">
    <cfRule type="cellIs" dxfId="50" priority="1" operator="greaterThan">
      <formula>0</formula>
    </cfRule>
  </conditionalFormatting>
  <pageMargins left="0.75" right="1" top="0.75" bottom="1" header="0.5" footer="0.5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310"/>
  <sheetViews>
    <sheetView zoomScale="120" zoomScaleNormal="120" workbookViewId="0">
      <pane xSplit="1" ySplit="6" topLeftCell="B7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9" defaultRowHeight="11.45" customHeight="1" outlineLevelRow="7" x14ac:dyDescent="0.2"/>
  <cols>
    <col min="1" max="1" width="69.5703125" style="218" customWidth="1"/>
    <col min="2" max="2" width="11.85546875" style="219" customWidth="1"/>
    <col min="3" max="5" width="11.85546875" style="288" customWidth="1"/>
    <col min="6" max="6" width="16.85546875" style="218" customWidth="1"/>
    <col min="7" max="7" width="11.85546875" style="219" customWidth="1"/>
    <col min="8" max="8" width="10.85546875" style="221" bestFit="1" customWidth="1"/>
    <col min="9" max="9" width="25" style="221" customWidth="1"/>
    <col min="10" max="10" width="10.7109375" style="221" customWidth="1"/>
    <col min="11" max="11" width="15.140625" style="221" customWidth="1"/>
    <col min="12" max="12" width="11.28515625" style="221" customWidth="1"/>
    <col min="13" max="13" width="10.7109375" style="221" customWidth="1"/>
    <col min="14" max="14" width="14" style="221" customWidth="1"/>
    <col min="15" max="16384" width="9" style="221"/>
  </cols>
  <sheetData>
    <row r="1" spans="1:14" s="218" customFormat="1" ht="9.9499999999999993" customHeight="1" x14ac:dyDescent="0.2">
      <c r="B1" s="219"/>
      <c r="C1" s="288"/>
      <c r="D1" s="288"/>
      <c r="E1" s="288"/>
      <c r="G1" s="219"/>
    </row>
    <row r="2" spans="1:14" ht="24.95" customHeight="1" x14ac:dyDescent="0.2">
      <c r="A2" s="220" t="s">
        <v>847</v>
      </c>
    </row>
    <row r="3" spans="1:14" s="218" customFormat="1" ht="9.9499999999999993" customHeight="1" x14ac:dyDescent="0.2">
      <c r="B3" s="219"/>
      <c r="C3" s="289"/>
      <c r="D3" s="288"/>
      <c r="E3" s="288"/>
      <c r="G3" s="219"/>
    </row>
    <row r="4" spans="1:14" s="218" customFormat="1" ht="9.9499999999999993" customHeight="1" x14ac:dyDescent="0.2">
      <c r="B4" s="219"/>
      <c r="C4" s="288"/>
      <c r="D4" s="288"/>
      <c r="E4" s="288"/>
      <c r="G4" s="219"/>
    </row>
    <row r="5" spans="1:14" ht="26.1" customHeight="1" x14ac:dyDescent="0.2">
      <c r="A5" s="222"/>
      <c r="B5" s="325" t="s">
        <v>867</v>
      </c>
      <c r="C5" s="469" t="s">
        <v>848</v>
      </c>
      <c r="D5" s="470"/>
      <c r="E5" s="470"/>
      <c r="F5" s="470"/>
      <c r="G5" s="471"/>
    </row>
    <row r="6" spans="1:14" ht="12.75" x14ac:dyDescent="0.2">
      <c r="A6" s="222" t="s">
        <v>3</v>
      </c>
      <c r="B6" s="290" t="s">
        <v>813</v>
      </c>
      <c r="C6" s="264" t="s">
        <v>408</v>
      </c>
      <c r="D6" s="290" t="s">
        <v>813</v>
      </c>
      <c r="E6" s="290" t="s">
        <v>855</v>
      </c>
      <c r="F6" s="290" t="s">
        <v>820</v>
      </c>
      <c r="G6" s="264" t="s">
        <v>821</v>
      </c>
    </row>
    <row r="7" spans="1:14" ht="11.1" customHeight="1" x14ac:dyDescent="0.2">
      <c r="A7" s="223" t="s">
        <v>7</v>
      </c>
      <c r="B7" s="284">
        <v>-196535887.50999999</v>
      </c>
      <c r="C7" s="284">
        <v>-124686975.92</v>
      </c>
      <c r="D7" s="284">
        <v>4314556.5</v>
      </c>
      <c r="E7" s="284">
        <v>-25785070.91</v>
      </c>
      <c r="F7" s="225">
        <f>D7-C7</f>
        <v>129001532.42</v>
      </c>
      <c r="G7" s="224">
        <f>(D7/C7-1)*-1</f>
        <v>1.0346031048404627</v>
      </c>
    </row>
    <row r="8" spans="1:14" ht="11.1" customHeight="1" outlineLevel="1" x14ac:dyDescent="0.2">
      <c r="A8" s="227" t="s">
        <v>8</v>
      </c>
      <c r="B8" s="285">
        <v>-213638649.94</v>
      </c>
      <c r="C8" s="285">
        <v>-155858875.40000001</v>
      </c>
      <c r="D8" s="285">
        <v>16812355.16</v>
      </c>
      <c r="E8" s="285">
        <v>-20812179.109999999</v>
      </c>
      <c r="F8" s="229">
        <f t="shared" ref="F8:F72" si="0">D8-C8</f>
        <v>172671230.56</v>
      </c>
      <c r="G8" s="228">
        <f>(D8/C8-1)*-1</f>
        <v>1.1078690906555841</v>
      </c>
    </row>
    <row r="9" spans="1:14" ht="11.1" customHeight="1" outlineLevel="2" x14ac:dyDescent="0.2">
      <c r="A9" s="230" t="s">
        <v>9</v>
      </c>
      <c r="B9" s="284">
        <v>4668466412.3999996</v>
      </c>
      <c r="C9" s="284">
        <v>5202238024.4900007</v>
      </c>
      <c r="D9" s="284">
        <v>5475557316.2299995</v>
      </c>
      <c r="E9" s="284">
        <v>5309442563.2300005</v>
      </c>
      <c r="F9" s="225">
        <f t="shared" si="0"/>
        <v>273319291.73999882</v>
      </c>
      <c r="G9" s="224">
        <f t="shared" ref="G9:G73" si="1">D9/C9-1</f>
        <v>5.2538790123274559E-2</v>
      </c>
    </row>
    <row r="10" spans="1:14" ht="11.1" customHeight="1" outlineLevel="3" x14ac:dyDescent="0.2">
      <c r="A10" s="231" t="s">
        <v>10</v>
      </c>
      <c r="B10" s="286">
        <v>4556519160.1400003</v>
      </c>
      <c r="C10" s="286">
        <v>5086810936.1400003</v>
      </c>
      <c r="D10" s="286">
        <v>5338714442.71</v>
      </c>
      <c r="E10" s="286">
        <v>5172599689.7099991</v>
      </c>
      <c r="F10" s="233">
        <f t="shared" si="0"/>
        <v>251903506.56999969</v>
      </c>
      <c r="G10" s="232">
        <f t="shared" si="1"/>
        <v>4.9520910002829766E-2</v>
      </c>
      <c r="J10" s="221" t="s">
        <v>754</v>
      </c>
      <c r="K10" s="221" t="s">
        <v>389</v>
      </c>
      <c r="L10" s="221" t="s">
        <v>414</v>
      </c>
      <c r="M10" s="221" t="s">
        <v>754</v>
      </c>
      <c r="N10" s="221" t="s">
        <v>864</v>
      </c>
    </row>
    <row r="11" spans="1:14" ht="11.1" customHeight="1" outlineLevel="4" x14ac:dyDescent="0.2">
      <c r="A11" s="234" t="s">
        <v>11</v>
      </c>
      <c r="B11" s="285">
        <v>1126991360.5599999</v>
      </c>
      <c r="C11" s="285">
        <v>1175259548.5799999</v>
      </c>
      <c r="D11" s="285">
        <v>1245512255.0899999</v>
      </c>
      <c r="E11" s="285">
        <v>1245512255.0899999</v>
      </c>
      <c r="F11" s="229">
        <f t="shared" si="0"/>
        <v>70252706.50999999</v>
      </c>
      <c r="G11" s="228">
        <f t="shared" si="1"/>
        <v>5.9776333317080876E-2</v>
      </c>
      <c r="I11" s="221" t="s">
        <v>860</v>
      </c>
      <c r="J11" s="226">
        <v>13182</v>
      </c>
      <c r="K11" s="226">
        <v>11928</v>
      </c>
      <c r="L11" s="226">
        <v>20715</v>
      </c>
      <c r="M11" s="226">
        <v>13182</v>
      </c>
      <c r="N11" s="318">
        <f t="shared" ref="N11:N18" si="2">M11/L11-100%</f>
        <v>-0.36364952932657491</v>
      </c>
    </row>
    <row r="12" spans="1:14" ht="11.1" customHeight="1" outlineLevel="4" x14ac:dyDescent="0.2">
      <c r="A12" s="234"/>
      <c r="B12" s="285"/>
      <c r="C12" s="285"/>
      <c r="D12" s="285"/>
      <c r="E12" s="285"/>
      <c r="F12" s="229"/>
      <c r="G12" s="228"/>
      <c r="I12" s="221" t="s">
        <v>866</v>
      </c>
      <c r="J12" s="226">
        <v>65229</v>
      </c>
      <c r="K12" s="226">
        <v>55765</v>
      </c>
      <c r="L12" s="226">
        <v>62251</v>
      </c>
      <c r="M12" s="226">
        <v>65229</v>
      </c>
      <c r="N12" s="318">
        <f t="shared" si="2"/>
        <v>4.7838588938330373E-2</v>
      </c>
    </row>
    <row r="13" spans="1:14" ht="11.1" customHeight="1" outlineLevel="5" x14ac:dyDescent="0.2">
      <c r="A13" s="235" t="s">
        <v>12</v>
      </c>
      <c r="B13" s="287">
        <v>944670043.75999999</v>
      </c>
      <c r="C13" s="287">
        <v>962119227.33000004</v>
      </c>
      <c r="D13" s="287">
        <v>1036723058.4</v>
      </c>
      <c r="E13" s="287">
        <v>1036723058.4</v>
      </c>
      <c r="F13" s="237">
        <f t="shared" si="0"/>
        <v>74603831.069999933</v>
      </c>
      <c r="G13" s="236">
        <f t="shared" si="1"/>
        <v>7.7541149735708803E-2</v>
      </c>
      <c r="I13" s="221" t="s">
        <v>859</v>
      </c>
      <c r="J13" s="226">
        <v>246139</v>
      </c>
      <c r="K13" s="226">
        <v>218503</v>
      </c>
      <c r="L13" s="226">
        <v>276664</v>
      </c>
      <c r="M13" s="226">
        <v>246139</v>
      </c>
      <c r="N13" s="318">
        <f t="shared" si="2"/>
        <v>-0.11033238874591567</v>
      </c>
    </row>
    <row r="14" spans="1:14" ht="11.1" customHeight="1" outlineLevel="5" x14ac:dyDescent="0.2">
      <c r="A14" s="235" t="s">
        <v>13</v>
      </c>
      <c r="B14" s="287">
        <v>54798817.219999999</v>
      </c>
      <c r="C14" s="287">
        <v>77917508.060000002</v>
      </c>
      <c r="D14" s="287">
        <v>60289648.369999997</v>
      </c>
      <c r="E14" s="287">
        <v>60289648.369999997</v>
      </c>
      <c r="F14" s="237">
        <f t="shared" si="0"/>
        <v>-17627859.690000005</v>
      </c>
      <c r="G14" s="236">
        <f t="shared" si="1"/>
        <v>-0.22623746740496065</v>
      </c>
      <c r="I14" s="221" t="s">
        <v>865</v>
      </c>
      <c r="J14" s="226">
        <v>717529</v>
      </c>
      <c r="K14" s="226">
        <v>685235</v>
      </c>
      <c r="L14" s="226">
        <v>744548</v>
      </c>
      <c r="M14" s="226">
        <v>717529</v>
      </c>
      <c r="N14" s="318">
        <f t="shared" si="2"/>
        <v>-3.6289131123849683E-2</v>
      </c>
    </row>
    <row r="15" spans="1:14" ht="11.1" customHeight="1" outlineLevel="5" x14ac:dyDescent="0.2">
      <c r="A15" s="235" t="s">
        <v>14</v>
      </c>
      <c r="B15" s="287">
        <v>127522499.58</v>
      </c>
      <c r="C15" s="287">
        <v>135222813.19</v>
      </c>
      <c r="D15" s="287">
        <v>148499548.31999999</v>
      </c>
      <c r="E15" s="287">
        <v>148499548.31999999</v>
      </c>
      <c r="F15" s="237">
        <f t="shared" si="0"/>
        <v>13276735.129999995</v>
      </c>
      <c r="G15" s="236">
        <f t="shared" si="1"/>
        <v>9.8184136365695895E-2</v>
      </c>
      <c r="I15" s="221" t="s">
        <v>863</v>
      </c>
      <c r="J15" s="226">
        <v>758658</v>
      </c>
      <c r="K15" s="226">
        <v>837150</v>
      </c>
      <c r="L15" s="226">
        <v>873614</v>
      </c>
      <c r="M15" s="226">
        <v>758658</v>
      </c>
      <c r="N15" s="318">
        <f t="shared" si="2"/>
        <v>-0.13158671907730413</v>
      </c>
    </row>
    <row r="16" spans="1:14" ht="11.1" customHeight="1" outlineLevel="4" x14ac:dyDescent="0.2">
      <c r="A16" s="234" t="s">
        <v>15</v>
      </c>
      <c r="B16" s="285">
        <v>1729430832.71</v>
      </c>
      <c r="C16" s="285">
        <v>1814172475.3500001</v>
      </c>
      <c r="D16" s="285">
        <v>1749286452.6400001</v>
      </c>
      <c r="E16" s="285">
        <v>1749286452.6400001</v>
      </c>
      <c r="F16" s="229">
        <f t="shared" si="0"/>
        <v>-64886022.710000038</v>
      </c>
      <c r="G16" s="228">
        <f t="shared" si="1"/>
        <v>-3.5766181877212033E-2</v>
      </c>
      <c r="I16" s="221" t="s">
        <v>857</v>
      </c>
      <c r="J16" s="226">
        <v>975326</v>
      </c>
      <c r="K16" s="226">
        <v>881007</v>
      </c>
      <c r="L16" s="226">
        <v>924422</v>
      </c>
      <c r="M16" s="226">
        <v>975326</v>
      </c>
      <c r="N16" s="318">
        <f t="shared" si="2"/>
        <v>5.50657600100386E-2</v>
      </c>
    </row>
    <row r="17" spans="1:14" ht="11.1" customHeight="1" outlineLevel="5" x14ac:dyDescent="0.2">
      <c r="A17" s="238" t="s">
        <v>16</v>
      </c>
      <c r="B17" s="285">
        <v>881007146.47000003</v>
      </c>
      <c r="C17" s="285">
        <v>924421786.69000006</v>
      </c>
      <c r="D17" s="285">
        <v>975326393.23000002</v>
      </c>
      <c r="E17" s="285">
        <v>975326393.23000002</v>
      </c>
      <c r="F17" s="229">
        <f t="shared" si="0"/>
        <v>50904606.539999962</v>
      </c>
      <c r="G17" s="228">
        <f t="shared" si="1"/>
        <v>5.5066428845505611E-2</v>
      </c>
      <c r="I17" s="221" t="s">
        <v>856</v>
      </c>
      <c r="J17" s="226">
        <v>1245512</v>
      </c>
      <c r="K17" s="226">
        <v>1126991</v>
      </c>
      <c r="L17" s="226">
        <v>1175260</v>
      </c>
      <c r="M17" s="226">
        <v>1245512</v>
      </c>
      <c r="N17" s="318">
        <f t="shared" si="2"/>
        <v>5.977570920477171E-2</v>
      </c>
    </row>
    <row r="18" spans="1:14" ht="11.1" customHeight="1" outlineLevel="6" x14ac:dyDescent="0.2">
      <c r="A18" s="239" t="s">
        <v>17</v>
      </c>
      <c r="B18" s="287">
        <v>424835060.83999997</v>
      </c>
      <c r="C18" s="287">
        <v>457393633.01999998</v>
      </c>
      <c r="D18" s="287">
        <v>479087394</v>
      </c>
      <c r="E18" s="287">
        <v>479087394</v>
      </c>
      <c r="F18" s="237">
        <f t="shared" si="0"/>
        <v>21693760.980000019</v>
      </c>
      <c r="G18" s="236">
        <f t="shared" si="1"/>
        <v>4.7429083865387911E-2</v>
      </c>
      <c r="I18" s="221" t="s">
        <v>858</v>
      </c>
      <c r="J18" s="226">
        <v>1301837</v>
      </c>
      <c r="K18" s="226">
        <v>728666</v>
      </c>
      <c r="L18" s="226">
        <v>993201</v>
      </c>
      <c r="M18" s="226">
        <v>1301837</v>
      </c>
      <c r="N18" s="318">
        <f t="shared" si="2"/>
        <v>0.31074878096175906</v>
      </c>
    </row>
    <row r="19" spans="1:14" ht="11.1" customHeight="1" outlineLevel="6" x14ac:dyDescent="0.2">
      <c r="A19" s="239" t="s">
        <v>18</v>
      </c>
      <c r="B19" s="287">
        <v>327783474.13</v>
      </c>
      <c r="C19" s="287">
        <v>341172693.81999999</v>
      </c>
      <c r="D19" s="287">
        <v>356035752.24000001</v>
      </c>
      <c r="E19" s="287">
        <v>356035752.24000001</v>
      </c>
      <c r="F19" s="237">
        <f t="shared" si="0"/>
        <v>14863058.420000017</v>
      </c>
      <c r="G19" s="236">
        <f t="shared" si="1"/>
        <v>4.3564619001547733E-2</v>
      </c>
      <c r="J19" s="226"/>
      <c r="K19" s="226"/>
      <c r="L19" s="226"/>
      <c r="M19" s="226"/>
      <c r="N19" s="318"/>
    </row>
    <row r="20" spans="1:14" ht="11.1" customHeight="1" outlineLevel="6" x14ac:dyDescent="0.2">
      <c r="A20" s="239" t="s">
        <v>19</v>
      </c>
      <c r="B20" s="287">
        <v>128388611.5</v>
      </c>
      <c r="C20" s="287">
        <v>125855459.84999999</v>
      </c>
      <c r="D20" s="287">
        <v>140203246.99000001</v>
      </c>
      <c r="E20" s="287">
        <v>140203246.99000001</v>
      </c>
      <c r="F20" s="237">
        <f t="shared" si="0"/>
        <v>14347787.140000015</v>
      </c>
      <c r="G20" s="236">
        <f t="shared" si="1"/>
        <v>0.11400210334220162</v>
      </c>
      <c r="I20" s="221" t="s">
        <v>858</v>
      </c>
      <c r="J20" s="226">
        <v>1301837</v>
      </c>
      <c r="K20" s="226">
        <v>728666</v>
      </c>
      <c r="L20" s="226">
        <v>993201</v>
      </c>
      <c r="M20" s="226">
        <v>1301837</v>
      </c>
      <c r="N20" s="318">
        <f t="shared" ref="N20:N27" si="3">M20/L20-100%</f>
        <v>0.31074878096175906</v>
      </c>
    </row>
    <row r="21" spans="1:14" ht="11.1" customHeight="1" outlineLevel="5" x14ac:dyDescent="0.2">
      <c r="A21" s="238" t="s">
        <v>20</v>
      </c>
      <c r="B21" s="285">
        <v>837150061.39999998</v>
      </c>
      <c r="C21" s="285">
        <v>873614234.87</v>
      </c>
      <c r="D21" s="285">
        <v>758657811.23000002</v>
      </c>
      <c r="E21" s="285">
        <v>758657811.23000002</v>
      </c>
      <c r="F21" s="229">
        <f t="shared" si="0"/>
        <v>-114956423.63999999</v>
      </c>
      <c r="G21" s="228">
        <f t="shared" si="1"/>
        <v>-0.13158716862838926</v>
      </c>
      <c r="I21" s="221" t="s">
        <v>856</v>
      </c>
      <c r="J21" s="226">
        <v>1245512</v>
      </c>
      <c r="K21" s="226">
        <v>1126991</v>
      </c>
      <c r="L21" s="226">
        <v>1175260</v>
      </c>
      <c r="M21" s="226">
        <v>1245512</v>
      </c>
      <c r="N21" s="318">
        <f t="shared" si="3"/>
        <v>5.977570920477171E-2</v>
      </c>
    </row>
    <row r="22" spans="1:14" ht="11.1" customHeight="1" outlineLevel="6" x14ac:dyDescent="0.2">
      <c r="A22" s="239" t="s">
        <v>814</v>
      </c>
      <c r="B22" s="287">
        <v>194187568.28999999</v>
      </c>
      <c r="C22" s="287">
        <v>225679134.88</v>
      </c>
      <c r="D22" s="287">
        <v>174120892.74000001</v>
      </c>
      <c r="E22" s="287">
        <v>174120892.74000001</v>
      </c>
      <c r="F22" s="237">
        <f t="shared" si="0"/>
        <v>-51558242.139999986</v>
      </c>
      <c r="G22" s="236">
        <f t="shared" si="1"/>
        <v>-0.22845816990310142</v>
      </c>
      <c r="I22" s="221" t="s">
        <v>857</v>
      </c>
      <c r="J22" s="226">
        <v>975326</v>
      </c>
      <c r="K22" s="226">
        <v>881007</v>
      </c>
      <c r="L22" s="226">
        <v>924422</v>
      </c>
      <c r="M22" s="226">
        <v>975326</v>
      </c>
      <c r="N22" s="318">
        <f t="shared" si="3"/>
        <v>5.50657600100386E-2</v>
      </c>
    </row>
    <row r="23" spans="1:14" ht="11.1" customHeight="1" outlineLevel="6" x14ac:dyDescent="0.2">
      <c r="A23" s="239" t="s">
        <v>815</v>
      </c>
      <c r="B23" s="287">
        <v>546694000.24000001</v>
      </c>
      <c r="C23" s="287">
        <v>564321720.01999998</v>
      </c>
      <c r="D23" s="287">
        <v>511931163.42000002</v>
      </c>
      <c r="E23" s="287">
        <v>511931163.42000002</v>
      </c>
      <c r="F23" s="237">
        <f t="shared" si="0"/>
        <v>-52390556.599999964</v>
      </c>
      <c r="G23" s="236">
        <f t="shared" si="1"/>
        <v>-9.2838100575223681E-2</v>
      </c>
      <c r="I23" s="221" t="s">
        <v>863</v>
      </c>
      <c r="J23" s="226">
        <v>758658</v>
      </c>
      <c r="K23" s="226">
        <v>837150</v>
      </c>
      <c r="L23" s="226">
        <v>873614</v>
      </c>
      <c r="M23" s="226">
        <v>758658</v>
      </c>
      <c r="N23" s="318">
        <f t="shared" si="3"/>
        <v>-0.13158671907730413</v>
      </c>
    </row>
    <row r="24" spans="1:14" ht="11.1" customHeight="1" outlineLevel="6" x14ac:dyDescent="0.2">
      <c r="A24" s="239" t="s">
        <v>23</v>
      </c>
      <c r="B24" s="287">
        <v>96268492.870000005</v>
      </c>
      <c r="C24" s="287">
        <v>83613379.969999999</v>
      </c>
      <c r="D24" s="287">
        <v>72605755.069999993</v>
      </c>
      <c r="E24" s="287">
        <v>72605755.069999993</v>
      </c>
      <c r="F24" s="237">
        <f t="shared" si="0"/>
        <v>-11007624.900000006</v>
      </c>
      <c r="G24" s="236">
        <f t="shared" si="1"/>
        <v>-0.13164908420099131</v>
      </c>
      <c r="I24" s="221" t="s">
        <v>865</v>
      </c>
      <c r="J24" s="226">
        <v>717529</v>
      </c>
      <c r="K24" s="226">
        <v>685235</v>
      </c>
      <c r="L24" s="226">
        <v>744548</v>
      </c>
      <c r="M24" s="226">
        <v>717529</v>
      </c>
      <c r="N24" s="318">
        <f t="shared" si="3"/>
        <v>-3.6289131123849683E-2</v>
      </c>
    </row>
    <row r="25" spans="1:14" ht="11.1" customHeight="1" outlineLevel="5" x14ac:dyDescent="0.2">
      <c r="A25" s="235" t="s">
        <v>24</v>
      </c>
      <c r="B25" s="287">
        <v>11273624.84</v>
      </c>
      <c r="C25" s="287">
        <v>16136453.789999999</v>
      </c>
      <c r="D25" s="287">
        <v>15302248.18</v>
      </c>
      <c r="E25" s="287">
        <v>15302248.18</v>
      </c>
      <c r="F25" s="237">
        <f t="shared" si="0"/>
        <v>-834205.6099999994</v>
      </c>
      <c r="G25" s="236">
        <f t="shared" si="1"/>
        <v>-5.1696960240233736E-2</v>
      </c>
      <c r="I25" s="221" t="s">
        <v>859</v>
      </c>
      <c r="J25" s="226">
        <v>246139</v>
      </c>
      <c r="K25" s="226">
        <v>218503</v>
      </c>
      <c r="L25" s="226">
        <v>276664</v>
      </c>
      <c r="M25" s="226">
        <v>246139</v>
      </c>
      <c r="N25" s="318">
        <f t="shared" si="3"/>
        <v>-0.11033238874591567</v>
      </c>
    </row>
    <row r="26" spans="1:14" ht="11.1" customHeight="1" outlineLevel="4" x14ac:dyDescent="0.2">
      <c r="A26" s="234" t="s">
        <v>25</v>
      </c>
      <c r="B26" s="285">
        <v>728666264.60000002</v>
      </c>
      <c r="C26" s="285">
        <v>993201222.09000003</v>
      </c>
      <c r="D26" s="285">
        <v>1301836644.48</v>
      </c>
      <c r="E26" s="285">
        <v>1135721891.48</v>
      </c>
      <c r="F26" s="229">
        <f t="shared" si="0"/>
        <v>308635422.38999999</v>
      </c>
      <c r="G26" s="228">
        <f t="shared" si="1"/>
        <v>0.31074812991121425</v>
      </c>
      <c r="I26" s="221" t="s">
        <v>866</v>
      </c>
      <c r="J26" s="226">
        <v>65229</v>
      </c>
      <c r="K26" s="226">
        <v>55765</v>
      </c>
      <c r="L26" s="226">
        <v>62251</v>
      </c>
      <c r="M26" s="226">
        <v>65229</v>
      </c>
      <c r="N26" s="318">
        <f t="shared" si="3"/>
        <v>4.7838588938330373E-2</v>
      </c>
    </row>
    <row r="27" spans="1:14" ht="11.1" customHeight="1" outlineLevel="5" x14ac:dyDescent="0.2">
      <c r="A27" s="235" t="s">
        <v>26</v>
      </c>
      <c r="B27" s="287">
        <v>158131316.19</v>
      </c>
      <c r="C27" s="287">
        <v>141436034.55000001</v>
      </c>
      <c r="D27" s="287">
        <v>282217588.77999997</v>
      </c>
      <c r="E27" s="287">
        <v>282217588.77999997</v>
      </c>
      <c r="F27" s="237">
        <f t="shared" si="0"/>
        <v>140781554.22999996</v>
      </c>
      <c r="G27" s="236">
        <f t="shared" si="1"/>
        <v>0.99537260555923823</v>
      </c>
      <c r="I27" s="221" t="s">
        <v>860</v>
      </c>
      <c r="J27" s="226">
        <v>13182</v>
      </c>
      <c r="K27" s="226">
        <v>11928</v>
      </c>
      <c r="L27" s="226">
        <v>20715</v>
      </c>
      <c r="M27" s="226">
        <v>13182</v>
      </c>
      <c r="N27" s="318">
        <f t="shared" si="3"/>
        <v>-0.36364952932657491</v>
      </c>
    </row>
    <row r="28" spans="1:14" ht="11.1" customHeight="1" outlineLevel="5" x14ac:dyDescent="0.2">
      <c r="A28" s="235" t="s">
        <v>816</v>
      </c>
      <c r="B28" s="287">
        <v>295412528.76999998</v>
      </c>
      <c r="C28" s="287">
        <v>522220720.26999998</v>
      </c>
      <c r="D28" s="287">
        <v>691082751.86000001</v>
      </c>
      <c r="E28" s="287">
        <v>524967998.86000001</v>
      </c>
      <c r="F28" s="237">
        <f t="shared" si="0"/>
        <v>168862031.59000003</v>
      </c>
      <c r="G28" s="236">
        <f t="shared" si="1"/>
        <v>0.32335375643979525</v>
      </c>
    </row>
    <row r="29" spans="1:14" ht="11.1" customHeight="1" outlineLevel="5" x14ac:dyDescent="0.2">
      <c r="A29" s="235" t="s">
        <v>28</v>
      </c>
      <c r="B29" s="287">
        <v>275122419.63999999</v>
      </c>
      <c r="C29" s="287">
        <v>329544467.26999998</v>
      </c>
      <c r="D29" s="287">
        <v>328536303.83999997</v>
      </c>
      <c r="E29" s="287">
        <v>328536303.83999997</v>
      </c>
      <c r="F29" s="237">
        <f t="shared" si="0"/>
        <v>-1008163.4300000072</v>
      </c>
      <c r="G29" s="236">
        <f t="shared" si="1"/>
        <v>-3.0592637113643351E-3</v>
      </c>
    </row>
    <row r="30" spans="1:14" ht="11.1" customHeight="1" outlineLevel="4" x14ac:dyDescent="0.2">
      <c r="A30" s="234" t="s">
        <v>29</v>
      </c>
      <c r="B30" s="285">
        <v>685235037.65999997</v>
      </c>
      <c r="C30" s="285">
        <v>744547971.74000001</v>
      </c>
      <c r="D30" s="285">
        <v>717528768.99000001</v>
      </c>
      <c r="E30" s="285">
        <v>717528768.99000001</v>
      </c>
      <c r="F30" s="229">
        <f t="shared" si="0"/>
        <v>-27019202.75</v>
      </c>
      <c r="G30" s="228">
        <f t="shared" si="1"/>
        <v>-3.6289404814113468E-2</v>
      </c>
    </row>
    <row r="31" spans="1:14" ht="11.1" customHeight="1" outlineLevel="5" x14ac:dyDescent="0.2">
      <c r="A31" s="235" t="s">
        <v>30</v>
      </c>
      <c r="B31" s="287">
        <v>562413886.09000003</v>
      </c>
      <c r="C31" s="287">
        <v>611452809.23000002</v>
      </c>
      <c r="D31" s="287">
        <v>547779286.74000001</v>
      </c>
      <c r="E31" s="287">
        <v>547779286.74000001</v>
      </c>
      <c r="F31" s="237">
        <f t="shared" si="0"/>
        <v>-63673522.49000001</v>
      </c>
      <c r="G31" s="236">
        <f t="shared" si="1"/>
        <v>-0.10413481061634799</v>
      </c>
    </row>
    <row r="32" spans="1:14" ht="11.1" customHeight="1" outlineLevel="5" x14ac:dyDescent="0.2">
      <c r="A32" s="235" t="s">
        <v>31</v>
      </c>
      <c r="B32" s="287">
        <v>110600729.54000001</v>
      </c>
      <c r="C32" s="287">
        <v>122950003.06</v>
      </c>
      <c r="D32" s="287">
        <v>152793363.55000001</v>
      </c>
      <c r="E32" s="287">
        <v>152793363.55000001</v>
      </c>
      <c r="F32" s="237">
        <f t="shared" si="0"/>
        <v>29843360.49000001</v>
      </c>
      <c r="G32" s="236">
        <f t="shared" si="1"/>
        <v>0.24272761079506733</v>
      </c>
    </row>
    <row r="33" spans="1:7" ht="11.1" customHeight="1" outlineLevel="5" x14ac:dyDescent="0.2">
      <c r="A33" s="235" t="s">
        <v>817</v>
      </c>
      <c r="B33" s="287">
        <v>12220422.029999999</v>
      </c>
      <c r="C33" s="287">
        <v>10145159.449999999</v>
      </c>
      <c r="D33" s="287">
        <v>16956118.699999999</v>
      </c>
      <c r="E33" s="287">
        <v>16956118.699999999</v>
      </c>
      <c r="F33" s="237">
        <f t="shared" si="0"/>
        <v>6810959.25</v>
      </c>
      <c r="G33" s="236">
        <f t="shared" si="1"/>
        <v>0.67135063609079104</v>
      </c>
    </row>
    <row r="34" spans="1:7" ht="11.1" customHeight="1" outlineLevel="4" x14ac:dyDescent="0.2">
      <c r="A34" s="240" t="s">
        <v>33</v>
      </c>
      <c r="B34" s="287">
        <v>218502577.25</v>
      </c>
      <c r="C34" s="287">
        <v>276663761.44999999</v>
      </c>
      <c r="D34" s="287">
        <v>246139417.12</v>
      </c>
      <c r="E34" s="287">
        <v>246139417.12</v>
      </c>
      <c r="F34" s="237">
        <f t="shared" si="0"/>
        <v>-30524344.329999983</v>
      </c>
      <c r="G34" s="236">
        <f t="shared" si="1"/>
        <v>-0.11033011396223824</v>
      </c>
    </row>
    <row r="35" spans="1:7" ht="11.1" customHeight="1" outlineLevel="4" x14ac:dyDescent="0.2">
      <c r="A35" s="240" t="s">
        <v>34</v>
      </c>
      <c r="B35" s="287">
        <v>55765004.450000003</v>
      </c>
      <c r="C35" s="287">
        <v>62250571.579999998</v>
      </c>
      <c r="D35" s="287">
        <v>65228725.479999997</v>
      </c>
      <c r="E35" s="287">
        <v>65228725.479999997</v>
      </c>
      <c r="F35" s="237">
        <f t="shared" si="0"/>
        <v>2978153.8999999985</v>
      </c>
      <c r="G35" s="236">
        <f t="shared" si="1"/>
        <v>4.7841390438844167E-2</v>
      </c>
    </row>
    <row r="36" spans="1:7" ht="11.1" customHeight="1" outlineLevel="4" x14ac:dyDescent="0.2">
      <c r="A36" s="234" t="s">
        <v>35</v>
      </c>
      <c r="B36" s="285">
        <v>11928082.91</v>
      </c>
      <c r="C36" s="285">
        <v>20715385.350000001</v>
      </c>
      <c r="D36" s="285">
        <v>13182178.91</v>
      </c>
      <c r="E36" s="285">
        <v>13182178.91</v>
      </c>
      <c r="F36" s="229">
        <f t="shared" si="0"/>
        <v>-7533206.4400000013</v>
      </c>
      <c r="G36" s="228">
        <f t="shared" si="1"/>
        <v>-0.36365273021580558</v>
      </c>
    </row>
    <row r="37" spans="1:7" ht="11.1" customHeight="1" outlineLevel="5" x14ac:dyDescent="0.2">
      <c r="A37" s="235" t="s">
        <v>36</v>
      </c>
      <c r="B37" s="287">
        <v>1776783.08</v>
      </c>
      <c r="C37" s="287">
        <v>4994889.55</v>
      </c>
      <c r="D37" s="287">
        <v>1297946.28</v>
      </c>
      <c r="E37" s="287">
        <v>1297946.28</v>
      </c>
      <c r="F37" s="237">
        <f t="shared" si="0"/>
        <v>-3696943.2699999996</v>
      </c>
      <c r="G37" s="236">
        <f t="shared" si="1"/>
        <v>-0.74014514895529571</v>
      </c>
    </row>
    <row r="38" spans="1:7" ht="11.1" customHeight="1" outlineLevel="5" x14ac:dyDescent="0.2">
      <c r="A38" s="235" t="s">
        <v>37</v>
      </c>
      <c r="B38" s="287">
        <v>9819488.7799999993</v>
      </c>
      <c r="C38" s="287">
        <v>10020935.6</v>
      </c>
      <c r="D38" s="287">
        <v>9363755.1799999997</v>
      </c>
      <c r="E38" s="287">
        <v>9363755.1799999997</v>
      </c>
      <c r="F38" s="237">
        <f t="shared" si="0"/>
        <v>-657180.41999999993</v>
      </c>
      <c r="G38" s="236">
        <f t="shared" si="1"/>
        <v>-6.558074477596687E-2</v>
      </c>
    </row>
    <row r="39" spans="1:7" ht="11.1" customHeight="1" outlineLevel="5" x14ac:dyDescent="0.2">
      <c r="A39" s="235" t="s">
        <v>38</v>
      </c>
      <c r="B39" s="287">
        <v>331811.05</v>
      </c>
      <c r="C39" s="287">
        <v>5699560.2000000002</v>
      </c>
      <c r="D39" s="287">
        <v>2520477.4500000002</v>
      </c>
      <c r="E39" s="287">
        <v>2520477.4500000002</v>
      </c>
      <c r="F39" s="237">
        <f t="shared" si="0"/>
        <v>-3179082.75</v>
      </c>
      <c r="G39" s="236">
        <f t="shared" si="1"/>
        <v>-0.55777685267715915</v>
      </c>
    </row>
    <row r="40" spans="1:7" ht="11.1" customHeight="1" outlineLevel="3" x14ac:dyDescent="0.2">
      <c r="A40" s="241" t="s">
        <v>39</v>
      </c>
      <c r="B40" s="285">
        <v>55050693.789999999</v>
      </c>
      <c r="C40" s="285">
        <v>91690541.530000001</v>
      </c>
      <c r="D40" s="285">
        <v>91990220.579999998</v>
      </c>
      <c r="E40" s="285">
        <v>91990220.579999998</v>
      </c>
      <c r="F40" s="229">
        <f t="shared" si="0"/>
        <v>299679.04999999702</v>
      </c>
      <c r="G40" s="228">
        <f t="shared" si="1"/>
        <v>3.2683747418149611E-3</v>
      </c>
    </row>
    <row r="41" spans="1:7" ht="11.1" customHeight="1" outlineLevel="4" x14ac:dyDescent="0.2">
      <c r="A41" s="240" t="s">
        <v>40</v>
      </c>
      <c r="B41" s="287">
        <v>33842545.719999999</v>
      </c>
      <c r="C41" s="287">
        <v>73146541.549999997</v>
      </c>
      <c r="D41" s="287">
        <v>72094108.219999999</v>
      </c>
      <c r="E41" s="287">
        <v>72094108.219999999</v>
      </c>
      <c r="F41" s="237">
        <f t="shared" si="0"/>
        <v>-1052433.3299999982</v>
      </c>
      <c r="G41" s="236">
        <f t="shared" si="1"/>
        <v>-1.4388012169797459E-2</v>
      </c>
    </row>
    <row r="42" spans="1:7" ht="11.1" customHeight="1" outlineLevel="4" x14ac:dyDescent="0.2">
      <c r="A42" s="240" t="s">
        <v>41</v>
      </c>
      <c r="B42" s="287">
        <v>17953748.890000001</v>
      </c>
      <c r="C42" s="287">
        <v>16264000</v>
      </c>
      <c r="D42" s="287">
        <v>15367096.130000001</v>
      </c>
      <c r="E42" s="287">
        <v>15367096.130000001</v>
      </c>
      <c r="F42" s="237">
        <f t="shared" si="0"/>
        <v>-896903.86999999918</v>
      </c>
      <c r="G42" s="236">
        <f t="shared" si="1"/>
        <v>-5.5146573413674349E-2</v>
      </c>
    </row>
    <row r="43" spans="1:7" ht="11.1" customHeight="1" outlineLevel="4" x14ac:dyDescent="0.2">
      <c r="A43" s="240" t="s">
        <v>42</v>
      </c>
      <c r="B43" s="287">
        <v>160416.65</v>
      </c>
      <c r="C43" s="287">
        <v>252499.98</v>
      </c>
      <c r="D43" s="287">
        <v>192499.98</v>
      </c>
      <c r="E43" s="287">
        <v>192499.98</v>
      </c>
      <c r="F43" s="237">
        <f t="shared" si="0"/>
        <v>-60000</v>
      </c>
      <c r="G43" s="236">
        <f t="shared" si="1"/>
        <v>-0.23762378119792327</v>
      </c>
    </row>
    <row r="44" spans="1:7" ht="11.1" customHeight="1" outlineLevel="4" x14ac:dyDescent="0.2">
      <c r="A44" s="240" t="s">
        <v>43</v>
      </c>
      <c r="B44" s="287">
        <v>3093982.53</v>
      </c>
      <c r="C44" s="287">
        <v>2027500</v>
      </c>
      <c r="D44" s="287">
        <v>4336516.25</v>
      </c>
      <c r="E44" s="287">
        <v>4336516.25</v>
      </c>
      <c r="F44" s="237">
        <f t="shared" si="0"/>
        <v>2309016.25</v>
      </c>
      <c r="G44" s="236">
        <f t="shared" si="1"/>
        <v>1.1388489519112208</v>
      </c>
    </row>
    <row r="45" spans="1:7" ht="11.1" customHeight="1" outlineLevel="3" x14ac:dyDescent="0.2">
      <c r="A45" s="241" t="s">
        <v>44</v>
      </c>
      <c r="B45" s="285">
        <v>56896558.469999999</v>
      </c>
      <c r="C45" s="285">
        <v>23736546.82</v>
      </c>
      <c r="D45" s="285">
        <v>44852652.939999998</v>
      </c>
      <c r="E45" s="285">
        <v>44852652.939999998</v>
      </c>
      <c r="F45" s="229">
        <f t="shared" si="0"/>
        <v>21116106.119999997</v>
      </c>
    </row>
    <row r="46" spans="1:7" ht="11.1" customHeight="1" outlineLevel="4" x14ac:dyDescent="0.2">
      <c r="A46" s="234" t="s">
        <v>45</v>
      </c>
      <c r="B46" s="285">
        <v>7522763.7699999996</v>
      </c>
      <c r="C46" s="285">
        <v>17285601.239999998</v>
      </c>
      <c r="D46" s="285">
        <v>8447910.4600000009</v>
      </c>
      <c r="E46" s="285">
        <v>8447910.4600000009</v>
      </c>
      <c r="F46" s="229">
        <f t="shared" si="0"/>
        <v>-8837690.7799999975</v>
      </c>
      <c r="G46" s="228">
        <f t="shared" si="1"/>
        <v>-0.51127471109011879</v>
      </c>
    </row>
    <row r="47" spans="1:7" ht="11.1" customHeight="1" outlineLevel="5" x14ac:dyDescent="0.2">
      <c r="A47" s="235" t="s">
        <v>46</v>
      </c>
      <c r="B47" s="287">
        <v>6991965.5599999996</v>
      </c>
      <c r="C47" s="287">
        <v>9000000</v>
      </c>
      <c r="D47" s="287">
        <v>8372845.1100000003</v>
      </c>
      <c r="E47" s="287">
        <v>8372845.1100000003</v>
      </c>
      <c r="F47" s="237">
        <f t="shared" si="0"/>
        <v>-627154.88999999966</v>
      </c>
      <c r="G47" s="236">
        <f t="shared" si="1"/>
        <v>-6.9683876666666644E-2</v>
      </c>
    </row>
    <row r="48" spans="1:7" ht="11.1" customHeight="1" outlineLevel="5" x14ac:dyDescent="0.2">
      <c r="A48" s="235" t="s">
        <v>47</v>
      </c>
      <c r="B48" s="287">
        <v>18291.52</v>
      </c>
      <c r="C48" s="287">
        <v>17800</v>
      </c>
      <c r="D48" s="287">
        <v>62599.54</v>
      </c>
      <c r="E48" s="287">
        <v>62599.54</v>
      </c>
      <c r="F48" s="237">
        <f t="shared" si="0"/>
        <v>44799.54</v>
      </c>
      <c r="G48" s="236">
        <f t="shared" si="1"/>
        <v>2.5168280898876403</v>
      </c>
    </row>
    <row r="49" spans="1:7" ht="11.1" customHeight="1" outlineLevel="5" x14ac:dyDescent="0.2">
      <c r="A49" s="235" t="s">
        <v>48</v>
      </c>
      <c r="B49" s="287">
        <v>281166.67</v>
      </c>
      <c r="C49" s="287">
        <v>8267801.2400000002</v>
      </c>
      <c r="D49" s="287"/>
      <c r="E49" s="287"/>
      <c r="F49" s="237">
        <f t="shared" si="0"/>
        <v>-8267801.2400000002</v>
      </c>
      <c r="G49" s="236">
        <f t="shared" si="1"/>
        <v>-1</v>
      </c>
    </row>
    <row r="50" spans="1:7" ht="11.1" customHeight="1" outlineLevel="5" x14ac:dyDescent="0.2">
      <c r="A50" s="235" t="s">
        <v>49</v>
      </c>
      <c r="B50" s="287"/>
      <c r="C50" s="287"/>
      <c r="D50" s="287"/>
      <c r="E50" s="287"/>
      <c r="F50" s="237">
        <f t="shared" si="0"/>
        <v>0</v>
      </c>
      <c r="G50" s="236" t="e">
        <f t="shared" si="1"/>
        <v>#DIV/0!</v>
      </c>
    </row>
    <row r="51" spans="1:7" ht="11.1" customHeight="1" outlineLevel="5" x14ac:dyDescent="0.2">
      <c r="A51" s="235" t="s">
        <v>50</v>
      </c>
      <c r="B51" s="287">
        <v>231340.02</v>
      </c>
      <c r="C51" s="287"/>
      <c r="D51" s="287">
        <v>12465.81</v>
      </c>
      <c r="E51" s="287">
        <v>12465.81</v>
      </c>
      <c r="F51" s="237">
        <f t="shared" si="0"/>
        <v>12465.81</v>
      </c>
      <c r="G51" s="236" t="e">
        <f t="shared" si="1"/>
        <v>#DIV/0!</v>
      </c>
    </row>
    <row r="52" spans="1:7" ht="11.1" customHeight="1" outlineLevel="4" x14ac:dyDescent="0.2">
      <c r="A52" s="240" t="s">
        <v>51</v>
      </c>
      <c r="B52" s="287">
        <v>541714.51</v>
      </c>
      <c r="C52" s="287"/>
      <c r="D52" s="287">
        <v>289882.17</v>
      </c>
      <c r="E52" s="287">
        <v>289882.17</v>
      </c>
      <c r="F52" s="237">
        <f t="shared" si="0"/>
        <v>289882.17</v>
      </c>
      <c r="G52" s="236" t="e">
        <f t="shared" si="1"/>
        <v>#DIV/0!</v>
      </c>
    </row>
    <row r="53" spans="1:7" ht="11.1" customHeight="1" outlineLevel="4" x14ac:dyDescent="0.2">
      <c r="A53" s="240" t="s">
        <v>52</v>
      </c>
      <c r="B53" s="287">
        <v>3820722.81</v>
      </c>
      <c r="C53" s="287"/>
      <c r="D53" s="287">
        <v>4658070.1100000003</v>
      </c>
      <c r="E53" s="287">
        <v>4658070.1100000003</v>
      </c>
      <c r="F53" s="237">
        <f t="shared" si="0"/>
        <v>4658070.1100000003</v>
      </c>
      <c r="G53" s="236" t="e">
        <f t="shared" si="1"/>
        <v>#DIV/0!</v>
      </c>
    </row>
    <row r="54" spans="1:7" ht="11.1" customHeight="1" outlineLevel="4" x14ac:dyDescent="0.2">
      <c r="A54" s="240" t="s">
        <v>53</v>
      </c>
      <c r="B54" s="287">
        <v>211411.98</v>
      </c>
      <c r="C54" s="287"/>
      <c r="D54" s="287">
        <v>1505050.89</v>
      </c>
      <c r="E54" s="287">
        <v>1505050.89</v>
      </c>
      <c r="F54" s="237">
        <f t="shared" si="0"/>
        <v>1505050.89</v>
      </c>
      <c r="G54" s="236" t="e">
        <f t="shared" si="1"/>
        <v>#DIV/0!</v>
      </c>
    </row>
    <row r="55" spans="1:7" ht="11.1" customHeight="1" outlineLevel="4" x14ac:dyDescent="0.2">
      <c r="A55" s="240" t="s">
        <v>54</v>
      </c>
      <c r="B55" s="287">
        <v>645011.98</v>
      </c>
      <c r="C55" s="287">
        <v>572045.6</v>
      </c>
      <c r="D55" s="287">
        <v>15177322.390000001</v>
      </c>
      <c r="E55" s="287">
        <v>15177322.390000001</v>
      </c>
      <c r="F55" s="237">
        <f t="shared" si="0"/>
        <v>14605276.790000001</v>
      </c>
      <c r="G55" s="236">
        <f t="shared" si="1"/>
        <v>25.531665290319516</v>
      </c>
    </row>
    <row r="56" spans="1:7" ht="11.1" customHeight="1" outlineLevel="4" x14ac:dyDescent="0.2">
      <c r="A56" s="240" t="s">
        <v>55</v>
      </c>
      <c r="B56" s="287"/>
      <c r="C56" s="287"/>
      <c r="D56" s="287"/>
      <c r="E56" s="287"/>
      <c r="F56" s="237">
        <f t="shared" si="0"/>
        <v>0</v>
      </c>
      <c r="G56" s="236" t="e">
        <f t="shared" si="1"/>
        <v>#DIV/0!</v>
      </c>
    </row>
    <row r="57" spans="1:7" ht="11.1" customHeight="1" outlineLevel="4" x14ac:dyDescent="0.2">
      <c r="A57" s="240" t="s">
        <v>56</v>
      </c>
      <c r="B57" s="287">
        <v>44154247.75</v>
      </c>
      <c r="C57" s="287">
        <v>5878899.9800000004</v>
      </c>
      <c r="D57" s="287">
        <v>14306525.119999999</v>
      </c>
      <c r="E57" s="287">
        <v>14306525.119999999</v>
      </c>
      <c r="F57" s="237">
        <f t="shared" si="0"/>
        <v>8427625.1399999987</v>
      </c>
      <c r="G57" s="236">
        <f t="shared" si="1"/>
        <v>1.4335377653422841</v>
      </c>
    </row>
    <row r="58" spans="1:7" ht="11.1" customHeight="1" outlineLevel="4" x14ac:dyDescent="0.2">
      <c r="A58" s="240" t="s">
        <v>57</v>
      </c>
      <c r="B58" s="287"/>
      <c r="C58" s="287"/>
      <c r="D58" s="287"/>
      <c r="E58" s="287"/>
      <c r="F58" s="237">
        <f t="shared" si="0"/>
        <v>0</v>
      </c>
      <c r="G58" s="236" t="e">
        <f t="shared" si="1"/>
        <v>#DIV/0!</v>
      </c>
    </row>
    <row r="59" spans="1:7" ht="11.1" customHeight="1" outlineLevel="4" x14ac:dyDescent="0.2">
      <c r="A59" s="240" t="s">
        <v>58</v>
      </c>
      <c r="B59" s="287">
        <v>685.67</v>
      </c>
      <c r="C59" s="287"/>
      <c r="D59" s="287">
        <v>467891.8</v>
      </c>
      <c r="E59" s="287">
        <v>467891.8</v>
      </c>
      <c r="F59" s="237">
        <f t="shared" si="0"/>
        <v>467891.8</v>
      </c>
      <c r="G59" s="236" t="e">
        <f t="shared" si="1"/>
        <v>#DIV/0!</v>
      </c>
    </row>
    <row r="60" spans="1:7" ht="11.1" customHeight="1" outlineLevel="3" x14ac:dyDescent="0.2">
      <c r="A60" s="241" t="s">
        <v>59</v>
      </c>
      <c r="B60" s="285"/>
      <c r="C60" s="285"/>
      <c r="D60" s="285"/>
      <c r="E60" s="285"/>
      <c r="F60" s="229">
        <f t="shared" si="0"/>
        <v>0</v>
      </c>
      <c r="G60" s="228">
        <v>0</v>
      </c>
    </row>
    <row r="61" spans="1:7" ht="11.1" customHeight="1" outlineLevel="4" x14ac:dyDescent="0.2">
      <c r="A61" s="234" t="s">
        <v>60</v>
      </c>
      <c r="B61" s="285">
        <v>200261815.71000001</v>
      </c>
      <c r="C61" s="285">
        <v>114416252.66</v>
      </c>
      <c r="D61" s="285">
        <v>160376061.16999999</v>
      </c>
      <c r="E61" s="285">
        <v>156409394.16999999</v>
      </c>
      <c r="F61" s="229">
        <f t="shared" si="0"/>
        <v>45959808.50999999</v>
      </c>
      <c r="G61" s="228">
        <f t="shared" si="1"/>
        <v>0.40168951037554446</v>
      </c>
    </row>
    <row r="62" spans="1:7" ht="11.1" customHeight="1" outlineLevel="5" x14ac:dyDescent="0.2">
      <c r="A62" s="238" t="s">
        <v>61</v>
      </c>
      <c r="B62" s="285">
        <v>55519692.740000002</v>
      </c>
      <c r="C62" s="285">
        <v>3052716.94</v>
      </c>
      <c r="D62" s="285">
        <v>72549729.370000005</v>
      </c>
      <c r="E62" s="285">
        <v>68583062.370000005</v>
      </c>
      <c r="F62" s="229">
        <f t="shared" si="0"/>
        <v>69497012.430000007</v>
      </c>
      <c r="G62" s="228">
        <f t="shared" si="1"/>
        <v>22.765626095028647</v>
      </c>
    </row>
    <row r="63" spans="1:7" ht="11.1" customHeight="1" outlineLevel="6" x14ac:dyDescent="0.2">
      <c r="A63" s="239" t="s">
        <v>62</v>
      </c>
      <c r="B63" s="287">
        <v>21119845.280000001</v>
      </c>
      <c r="C63" s="287"/>
      <c r="D63" s="287">
        <v>5355704.3600000003</v>
      </c>
      <c r="E63" s="287">
        <v>5355704.3600000003</v>
      </c>
      <c r="F63" s="237">
        <f t="shared" si="0"/>
        <v>5355704.3600000003</v>
      </c>
      <c r="G63" s="236" t="e">
        <f t="shared" si="1"/>
        <v>#DIV/0!</v>
      </c>
    </row>
    <row r="64" spans="1:7" ht="11.1" customHeight="1" outlineLevel="6" x14ac:dyDescent="0.2">
      <c r="A64" s="239" t="s">
        <v>63</v>
      </c>
      <c r="B64" s="287">
        <v>10568985.529999999</v>
      </c>
      <c r="C64" s="287">
        <v>797702</v>
      </c>
      <c r="D64" s="287">
        <v>51104197.020000003</v>
      </c>
      <c r="E64" s="287">
        <v>47137530.020000003</v>
      </c>
      <c r="F64" s="237">
        <f t="shared" si="0"/>
        <v>50306495.020000003</v>
      </c>
      <c r="G64" s="236">
        <f t="shared" si="1"/>
        <v>63.064270893140545</v>
      </c>
    </row>
    <row r="65" spans="1:7" ht="11.1" customHeight="1" outlineLevel="6" x14ac:dyDescent="0.2">
      <c r="A65" s="239" t="s">
        <v>64</v>
      </c>
      <c r="B65" s="287">
        <v>23830861.93</v>
      </c>
      <c r="C65" s="287">
        <v>2255014.94</v>
      </c>
      <c r="D65" s="287">
        <v>16089827.99</v>
      </c>
      <c r="E65" s="287">
        <v>16089827.99</v>
      </c>
      <c r="F65" s="237">
        <f t="shared" si="0"/>
        <v>13834813.050000001</v>
      </c>
      <c r="G65" s="236">
        <f t="shared" si="1"/>
        <v>6.13513143731101</v>
      </c>
    </row>
    <row r="66" spans="1:7" ht="11.1" customHeight="1" outlineLevel="5" x14ac:dyDescent="0.2">
      <c r="A66" s="238" t="s">
        <v>65</v>
      </c>
      <c r="B66" s="285">
        <v>8543412.8900000006</v>
      </c>
      <c r="C66" s="285">
        <v>4475112</v>
      </c>
      <c r="D66" s="285">
        <v>6024006.1600000001</v>
      </c>
      <c r="E66" s="285">
        <v>6024006.1600000001</v>
      </c>
      <c r="F66" s="229">
        <f t="shared" si="0"/>
        <v>1548894.1600000001</v>
      </c>
      <c r="G66" s="228">
        <f t="shared" si="1"/>
        <v>0.34611293750860317</v>
      </c>
    </row>
    <row r="67" spans="1:7" ht="11.1" customHeight="1" outlineLevel="6" x14ac:dyDescent="0.2">
      <c r="A67" s="239" t="s">
        <v>66</v>
      </c>
      <c r="B67" s="287">
        <v>1285776.33</v>
      </c>
      <c r="C67" s="287">
        <v>517668</v>
      </c>
      <c r="D67" s="287">
        <v>1360219.93</v>
      </c>
      <c r="E67" s="287">
        <v>1360219.93</v>
      </c>
      <c r="F67" s="237">
        <f t="shared" si="0"/>
        <v>842551.92999999993</v>
      </c>
      <c r="G67" s="236">
        <f t="shared" si="1"/>
        <v>1.6275912940340138</v>
      </c>
    </row>
    <row r="68" spans="1:7" ht="11.1" customHeight="1" outlineLevel="6" x14ac:dyDescent="0.2">
      <c r="A68" s="239" t="s">
        <v>67</v>
      </c>
      <c r="B68" s="287">
        <v>5537516.8899999997</v>
      </c>
      <c r="C68" s="287">
        <v>2715390</v>
      </c>
      <c r="D68" s="287">
        <v>4572735.49</v>
      </c>
      <c r="E68" s="287">
        <v>4572735.49</v>
      </c>
      <c r="F68" s="237">
        <f t="shared" si="0"/>
        <v>1857345.4900000002</v>
      </c>
      <c r="G68" s="236">
        <f t="shared" si="1"/>
        <v>0.68400689772003287</v>
      </c>
    </row>
    <row r="69" spans="1:7" ht="11.1" customHeight="1" outlineLevel="6" x14ac:dyDescent="0.2">
      <c r="A69" s="239" t="s">
        <v>68</v>
      </c>
      <c r="B69" s="287">
        <v>1720119.67</v>
      </c>
      <c r="C69" s="287">
        <v>1242054</v>
      </c>
      <c r="D69" s="287">
        <v>91050.74</v>
      </c>
      <c r="E69" s="287">
        <v>91050.74</v>
      </c>
      <c r="F69" s="237">
        <f t="shared" si="0"/>
        <v>-1151003.26</v>
      </c>
      <c r="G69" s="236">
        <f t="shared" si="1"/>
        <v>-0.92669341268576089</v>
      </c>
    </row>
    <row r="70" spans="1:7" ht="11.1" customHeight="1" outlineLevel="5" x14ac:dyDescent="0.2">
      <c r="A70" s="238" t="s">
        <v>69</v>
      </c>
      <c r="B70" s="285">
        <v>5615550.3799999999</v>
      </c>
      <c r="C70" s="285">
        <v>768438</v>
      </c>
      <c r="D70" s="285">
        <v>4141753.91</v>
      </c>
      <c r="E70" s="285">
        <v>4141753.91</v>
      </c>
      <c r="F70" s="229">
        <f t="shared" si="0"/>
        <v>3373315.91</v>
      </c>
      <c r="G70" s="228">
        <f t="shared" si="1"/>
        <v>4.3898348467931054</v>
      </c>
    </row>
    <row r="71" spans="1:7" ht="11.1" customHeight="1" outlineLevel="6" x14ac:dyDescent="0.2">
      <c r="A71" s="239" t="s">
        <v>70</v>
      </c>
      <c r="B71" s="287">
        <v>428893.86</v>
      </c>
      <c r="C71" s="287"/>
      <c r="D71" s="287">
        <v>732085.41</v>
      </c>
      <c r="E71" s="287">
        <v>732085.41</v>
      </c>
      <c r="F71" s="237">
        <f t="shared" si="0"/>
        <v>732085.41</v>
      </c>
      <c r="G71" s="236" t="e">
        <f t="shared" si="1"/>
        <v>#DIV/0!</v>
      </c>
    </row>
    <row r="72" spans="1:7" ht="11.1" customHeight="1" outlineLevel="6" x14ac:dyDescent="0.2">
      <c r="A72" s="239" t="s">
        <v>71</v>
      </c>
      <c r="B72" s="287">
        <v>391433.58</v>
      </c>
      <c r="C72" s="287"/>
      <c r="D72" s="287">
        <v>937379.49</v>
      </c>
      <c r="E72" s="287">
        <v>937379.49</v>
      </c>
      <c r="F72" s="237">
        <f t="shared" si="0"/>
        <v>937379.49</v>
      </c>
      <c r="G72" s="236" t="e">
        <f t="shared" si="1"/>
        <v>#DIV/0!</v>
      </c>
    </row>
    <row r="73" spans="1:7" ht="11.1" customHeight="1" outlineLevel="6" x14ac:dyDescent="0.2">
      <c r="A73" s="239" t="s">
        <v>72</v>
      </c>
      <c r="B73" s="287">
        <v>4795222.9400000004</v>
      </c>
      <c r="C73" s="287">
        <v>768438</v>
      </c>
      <c r="D73" s="287">
        <v>2472289.0099999998</v>
      </c>
      <c r="E73" s="287">
        <v>2472289.0099999998</v>
      </c>
      <c r="F73" s="237">
        <f t="shared" ref="F73:F136" si="4">D73-C73</f>
        <v>1703851.0099999998</v>
      </c>
      <c r="G73" s="236">
        <f t="shared" si="1"/>
        <v>2.2172914535720509</v>
      </c>
    </row>
    <row r="74" spans="1:7" ht="11.1" customHeight="1" outlineLevel="5" x14ac:dyDescent="0.2">
      <c r="A74" s="238" t="s">
        <v>73</v>
      </c>
      <c r="B74" s="285">
        <v>126771974.66</v>
      </c>
      <c r="C74" s="285">
        <v>102752203.72</v>
      </c>
      <c r="D74" s="285">
        <v>74313229.689999998</v>
      </c>
      <c r="E74" s="285">
        <v>74313229.689999998</v>
      </c>
      <c r="F74" s="229">
        <f t="shared" si="4"/>
        <v>-28438974.030000001</v>
      </c>
      <c r="G74" s="228">
        <f t="shared" ref="G74:G119" si="5">D74/C74-1</f>
        <v>-0.27677240001096493</v>
      </c>
    </row>
    <row r="75" spans="1:7" ht="11.1" customHeight="1" outlineLevel="6" x14ac:dyDescent="0.2">
      <c r="A75" s="242" t="s">
        <v>74</v>
      </c>
      <c r="B75" s="285">
        <v>17939731.5</v>
      </c>
      <c r="C75" s="285">
        <v>39565808</v>
      </c>
      <c r="D75" s="285">
        <v>16126285.02</v>
      </c>
      <c r="E75" s="285">
        <v>16126285.02</v>
      </c>
      <c r="F75" s="229">
        <f t="shared" si="4"/>
        <v>-23439522.98</v>
      </c>
      <c r="G75" s="228">
        <f t="shared" si="5"/>
        <v>-0.59241866057682935</v>
      </c>
    </row>
    <row r="76" spans="1:7" ht="11.1" customHeight="1" outlineLevel="7" x14ac:dyDescent="0.2">
      <c r="A76" s="243" t="s">
        <v>75</v>
      </c>
      <c r="B76" s="287">
        <v>2813047.42</v>
      </c>
      <c r="C76" s="287">
        <v>6800628</v>
      </c>
      <c r="D76" s="287">
        <v>1672060.85</v>
      </c>
      <c r="E76" s="287">
        <v>1672060.85</v>
      </c>
      <c r="F76" s="237">
        <f t="shared" si="4"/>
        <v>-5128567.1500000004</v>
      </c>
      <c r="G76" s="236">
        <f t="shared" si="5"/>
        <v>-0.75413140521728284</v>
      </c>
    </row>
    <row r="77" spans="1:7" ht="11.1" customHeight="1" outlineLevel="7" x14ac:dyDescent="0.2">
      <c r="A77" s="243" t="s">
        <v>76</v>
      </c>
      <c r="B77" s="287">
        <v>7943079.3600000003</v>
      </c>
      <c r="C77" s="287">
        <v>3575496</v>
      </c>
      <c r="D77" s="287">
        <v>4295021.96</v>
      </c>
      <c r="E77" s="287">
        <v>4295021.96</v>
      </c>
      <c r="F77" s="237">
        <f t="shared" si="4"/>
        <v>719525.96</v>
      </c>
      <c r="G77" s="236">
        <f t="shared" si="5"/>
        <v>0.20123808277229238</v>
      </c>
    </row>
    <row r="78" spans="1:7" ht="11.1" customHeight="1" outlineLevel="7" x14ac:dyDescent="0.2">
      <c r="A78" s="243" t="s">
        <v>77</v>
      </c>
      <c r="B78" s="287">
        <v>7183604.7199999997</v>
      </c>
      <c r="C78" s="287">
        <v>29189684</v>
      </c>
      <c r="D78" s="287">
        <v>10159202.210000001</v>
      </c>
      <c r="E78" s="287">
        <v>10159202.210000001</v>
      </c>
      <c r="F78" s="237">
        <f t="shared" si="4"/>
        <v>-19030481.789999999</v>
      </c>
      <c r="G78" s="236">
        <f t="shared" si="5"/>
        <v>-0.65195915755716982</v>
      </c>
    </row>
    <row r="79" spans="1:7" ht="11.1" customHeight="1" outlineLevel="6" x14ac:dyDescent="0.2">
      <c r="A79" s="242" t="s">
        <v>78</v>
      </c>
      <c r="B79" s="285">
        <v>108803511.72</v>
      </c>
      <c r="C79" s="285">
        <v>63186395.719999999</v>
      </c>
      <c r="D79" s="285">
        <v>58186944.670000002</v>
      </c>
      <c r="E79" s="285">
        <v>58186944.670000002</v>
      </c>
      <c r="F79" s="229">
        <f t="shared" si="4"/>
        <v>-4999451.049999997</v>
      </c>
      <c r="G79" s="228">
        <f t="shared" si="5"/>
        <v>-7.9122269802414991E-2</v>
      </c>
    </row>
    <row r="80" spans="1:7" ht="11.1" customHeight="1" outlineLevel="7" x14ac:dyDescent="0.2">
      <c r="A80" s="243" t="s">
        <v>79</v>
      </c>
      <c r="B80" s="287">
        <v>35713823.649999999</v>
      </c>
      <c r="C80" s="287"/>
      <c r="D80" s="287">
        <v>366430.92</v>
      </c>
      <c r="E80" s="287">
        <v>366430.92</v>
      </c>
      <c r="F80" s="237">
        <f t="shared" si="4"/>
        <v>366430.92</v>
      </c>
      <c r="G80" s="236" t="e">
        <f t="shared" si="5"/>
        <v>#DIV/0!</v>
      </c>
    </row>
    <row r="81" spans="1:7" ht="11.1" customHeight="1" outlineLevel="7" x14ac:dyDescent="0.2">
      <c r="A81" s="243" t="s">
        <v>80</v>
      </c>
      <c r="B81" s="287">
        <v>70856510.680000007</v>
      </c>
      <c r="C81" s="287">
        <v>62938055.719999999</v>
      </c>
      <c r="D81" s="287">
        <v>54448916.729999997</v>
      </c>
      <c r="E81" s="287">
        <v>54448916.729999997</v>
      </c>
      <c r="F81" s="237">
        <f t="shared" si="4"/>
        <v>-8489138.9900000021</v>
      </c>
      <c r="G81" s="236">
        <f t="shared" si="5"/>
        <v>-0.1348808585344079</v>
      </c>
    </row>
    <row r="82" spans="1:7" ht="11.1" customHeight="1" outlineLevel="7" x14ac:dyDescent="0.2">
      <c r="A82" s="243" t="s">
        <v>81</v>
      </c>
      <c r="B82" s="287">
        <v>2233177.39</v>
      </c>
      <c r="C82" s="287">
        <v>248340</v>
      </c>
      <c r="D82" s="287">
        <v>3371597.02</v>
      </c>
      <c r="E82" s="287">
        <v>3371597.02</v>
      </c>
      <c r="F82" s="237">
        <f t="shared" si="4"/>
        <v>3123257.02</v>
      </c>
      <c r="G82" s="236">
        <f t="shared" si="5"/>
        <v>12.576536280905211</v>
      </c>
    </row>
    <row r="83" spans="1:7" ht="11.1" customHeight="1" outlineLevel="6" x14ac:dyDescent="0.2">
      <c r="A83" s="239" t="s">
        <v>82</v>
      </c>
      <c r="B83" s="287">
        <v>28731.439999999999</v>
      </c>
      <c r="C83" s="287"/>
      <c r="D83" s="287"/>
      <c r="E83" s="287"/>
      <c r="F83" s="237">
        <f t="shared" si="4"/>
        <v>0</v>
      </c>
      <c r="G83" s="236" t="e">
        <f t="shared" si="5"/>
        <v>#DIV/0!</v>
      </c>
    </row>
    <row r="84" spans="1:7" ht="11.1" customHeight="1" outlineLevel="5" x14ac:dyDescent="0.2">
      <c r="A84" s="238" t="s">
        <v>83</v>
      </c>
      <c r="B84" s="285">
        <v>2971198.25</v>
      </c>
      <c r="C84" s="285">
        <v>2898114</v>
      </c>
      <c r="D84" s="285">
        <v>1307884.5</v>
      </c>
      <c r="E84" s="285">
        <v>1307884.5</v>
      </c>
      <c r="F84" s="229">
        <f t="shared" si="4"/>
        <v>-1590229.5</v>
      </c>
      <c r="G84" s="228">
        <f t="shared" si="5"/>
        <v>-0.54871185191472804</v>
      </c>
    </row>
    <row r="85" spans="1:7" ht="11.1" customHeight="1" outlineLevel="6" x14ac:dyDescent="0.2">
      <c r="A85" s="239" t="s">
        <v>84</v>
      </c>
      <c r="B85" s="287">
        <v>151393.81</v>
      </c>
      <c r="C85" s="287"/>
      <c r="D85" s="287">
        <v>70060.009999999995</v>
      </c>
      <c r="E85" s="287">
        <v>70060.009999999995</v>
      </c>
      <c r="F85" s="237">
        <f t="shared" si="4"/>
        <v>70060.009999999995</v>
      </c>
      <c r="G85" s="236" t="e">
        <f t="shared" si="5"/>
        <v>#DIV/0!</v>
      </c>
    </row>
    <row r="86" spans="1:7" ht="11.1" customHeight="1" outlineLevel="6" x14ac:dyDescent="0.2">
      <c r="A86" s="239" t="s">
        <v>85</v>
      </c>
      <c r="B86" s="287">
        <v>2819804.44</v>
      </c>
      <c r="C86" s="287">
        <v>2898114</v>
      </c>
      <c r="D86" s="287">
        <v>1183956.77</v>
      </c>
      <c r="E86" s="287">
        <v>1183956.77</v>
      </c>
      <c r="F86" s="237">
        <f t="shared" si="4"/>
        <v>-1714157.23</v>
      </c>
      <c r="G86" s="236">
        <f t="shared" si="5"/>
        <v>-0.59147336164139852</v>
      </c>
    </row>
    <row r="87" spans="1:7" ht="11.1" customHeight="1" outlineLevel="6" x14ac:dyDescent="0.2">
      <c r="A87" s="239" t="s">
        <v>86</v>
      </c>
      <c r="B87" s="287"/>
      <c r="C87" s="287"/>
      <c r="D87" s="287">
        <v>53867.72</v>
      </c>
      <c r="E87" s="287">
        <v>53867.72</v>
      </c>
      <c r="F87" s="237">
        <f t="shared" si="4"/>
        <v>53867.72</v>
      </c>
      <c r="G87" s="236" t="e">
        <f t="shared" si="5"/>
        <v>#DIV/0!</v>
      </c>
    </row>
    <row r="88" spans="1:7" ht="11.1" customHeight="1" outlineLevel="5" x14ac:dyDescent="0.2">
      <c r="A88" s="235" t="s">
        <v>87</v>
      </c>
      <c r="B88" s="287">
        <v>785516.11</v>
      </c>
      <c r="C88" s="287">
        <v>469668</v>
      </c>
      <c r="D88" s="287">
        <v>1408887.41</v>
      </c>
      <c r="E88" s="287">
        <v>1408887.41</v>
      </c>
      <c r="F88" s="237">
        <f t="shared" si="4"/>
        <v>939219.40999999992</v>
      </c>
      <c r="G88" s="236">
        <f t="shared" si="5"/>
        <v>1.9997517608182798</v>
      </c>
    </row>
    <row r="89" spans="1:7" ht="11.1" customHeight="1" outlineLevel="5" x14ac:dyDescent="0.2">
      <c r="A89" s="235" t="s">
        <v>88</v>
      </c>
      <c r="B89" s="287">
        <v>54470.68</v>
      </c>
      <c r="C89" s="287"/>
      <c r="D89" s="287">
        <v>630570.13</v>
      </c>
      <c r="E89" s="287">
        <v>630570.13</v>
      </c>
      <c r="F89" s="237">
        <f t="shared" si="4"/>
        <v>630570.13</v>
      </c>
      <c r="G89" s="236" t="e">
        <f t="shared" si="5"/>
        <v>#DIV/0!</v>
      </c>
    </row>
    <row r="90" spans="1:7" ht="11.1" customHeight="1" outlineLevel="4" x14ac:dyDescent="0.2">
      <c r="A90" s="234" t="s">
        <v>89</v>
      </c>
      <c r="B90" s="285">
        <v>-200261815.71000001</v>
      </c>
      <c r="C90" s="285">
        <v>-114416252.66</v>
      </c>
      <c r="D90" s="285">
        <v>-160376061.16999999</v>
      </c>
      <c r="E90" s="285">
        <v>-156409394.16999999</v>
      </c>
      <c r="F90" s="229">
        <f t="shared" si="4"/>
        <v>-45959808.50999999</v>
      </c>
      <c r="G90" s="228">
        <f t="shared" si="5"/>
        <v>0.40168951037554446</v>
      </c>
    </row>
    <row r="91" spans="1:7" ht="11.1" customHeight="1" outlineLevel="5" x14ac:dyDescent="0.2">
      <c r="A91" s="238" t="s">
        <v>90</v>
      </c>
      <c r="B91" s="285">
        <v>-55519692.740000002</v>
      </c>
      <c r="C91" s="285">
        <v>-3052716.94</v>
      </c>
      <c r="D91" s="285">
        <v>-72549729.370000005</v>
      </c>
      <c r="E91" s="285">
        <v>-68583062.370000005</v>
      </c>
      <c r="F91" s="229">
        <f t="shared" si="4"/>
        <v>-69497012.430000007</v>
      </c>
      <c r="G91" s="228">
        <f t="shared" si="5"/>
        <v>22.765626095028647</v>
      </c>
    </row>
    <row r="92" spans="1:7" ht="11.1" customHeight="1" outlineLevel="6" x14ac:dyDescent="0.2">
      <c r="A92" s="239" t="s">
        <v>91</v>
      </c>
      <c r="B92" s="287">
        <v>-21119845.280000001</v>
      </c>
      <c r="C92" s="287"/>
      <c r="D92" s="287">
        <v>-5355704.3600000003</v>
      </c>
      <c r="E92" s="287">
        <v>-5355704.3600000003</v>
      </c>
      <c r="F92" s="237">
        <f t="shared" si="4"/>
        <v>-5355704.3600000003</v>
      </c>
      <c r="G92" s="236" t="e">
        <f t="shared" si="5"/>
        <v>#DIV/0!</v>
      </c>
    </row>
    <row r="93" spans="1:7" ht="11.1" customHeight="1" outlineLevel="6" x14ac:dyDescent="0.2">
      <c r="A93" s="239" t="s">
        <v>92</v>
      </c>
      <c r="B93" s="287">
        <v>-10568985.529999999</v>
      </c>
      <c r="C93" s="287">
        <v>-797702</v>
      </c>
      <c r="D93" s="287">
        <v>-51104197.020000003</v>
      </c>
      <c r="E93" s="287">
        <v>-47137530.020000003</v>
      </c>
      <c r="F93" s="237">
        <f t="shared" si="4"/>
        <v>-50306495.020000003</v>
      </c>
      <c r="G93" s="236">
        <f t="shared" si="5"/>
        <v>63.064270893140545</v>
      </c>
    </row>
    <row r="94" spans="1:7" ht="11.1" customHeight="1" outlineLevel="6" x14ac:dyDescent="0.2">
      <c r="A94" s="239" t="s">
        <v>93</v>
      </c>
      <c r="B94" s="287">
        <v>-23830861.93</v>
      </c>
      <c r="C94" s="287">
        <v>-2255014.94</v>
      </c>
      <c r="D94" s="287">
        <v>-16089827.99</v>
      </c>
      <c r="E94" s="287">
        <v>-16089827.99</v>
      </c>
      <c r="F94" s="237">
        <f t="shared" si="4"/>
        <v>-13834813.050000001</v>
      </c>
      <c r="G94" s="236">
        <f t="shared" si="5"/>
        <v>6.13513143731101</v>
      </c>
    </row>
    <row r="95" spans="1:7" ht="11.1" customHeight="1" outlineLevel="5" x14ac:dyDescent="0.2">
      <c r="A95" s="238" t="s">
        <v>94</v>
      </c>
      <c r="B95" s="285">
        <v>-8543412.8900000006</v>
      </c>
      <c r="C95" s="285">
        <v>-4475112</v>
      </c>
      <c r="D95" s="285">
        <v>-6024006.1600000001</v>
      </c>
      <c r="E95" s="285">
        <v>-6024006.1600000001</v>
      </c>
      <c r="F95" s="229">
        <f t="shared" si="4"/>
        <v>-1548894.1600000001</v>
      </c>
      <c r="G95" s="228">
        <f t="shared" si="5"/>
        <v>0.34611293750860317</v>
      </c>
    </row>
    <row r="96" spans="1:7" ht="11.1" customHeight="1" outlineLevel="6" x14ac:dyDescent="0.2">
      <c r="A96" s="239" t="s">
        <v>95</v>
      </c>
      <c r="B96" s="287">
        <v>-1285776.33</v>
      </c>
      <c r="C96" s="287">
        <v>-517668</v>
      </c>
      <c r="D96" s="287">
        <v>-1360219.93</v>
      </c>
      <c r="E96" s="287">
        <v>-1360219.93</v>
      </c>
      <c r="F96" s="237">
        <f t="shared" si="4"/>
        <v>-842551.92999999993</v>
      </c>
      <c r="G96" s="236">
        <f t="shared" si="5"/>
        <v>1.6275912940340138</v>
      </c>
    </row>
    <row r="97" spans="1:7" ht="11.1" customHeight="1" outlineLevel="6" x14ac:dyDescent="0.2">
      <c r="A97" s="239" t="s">
        <v>96</v>
      </c>
      <c r="B97" s="287">
        <v>-5537516.8899999997</v>
      </c>
      <c r="C97" s="287">
        <v>-2715390</v>
      </c>
      <c r="D97" s="287">
        <v>-4572735.49</v>
      </c>
      <c r="E97" s="287">
        <v>-4572735.49</v>
      </c>
      <c r="F97" s="237">
        <f t="shared" si="4"/>
        <v>-1857345.4900000002</v>
      </c>
      <c r="G97" s="236">
        <f t="shared" si="5"/>
        <v>0.68400689772003287</v>
      </c>
    </row>
    <row r="98" spans="1:7" ht="11.1" customHeight="1" outlineLevel="6" x14ac:dyDescent="0.2">
      <c r="A98" s="239" t="s">
        <v>97</v>
      </c>
      <c r="B98" s="287">
        <v>-1720119.67</v>
      </c>
      <c r="C98" s="287">
        <v>-1242054</v>
      </c>
      <c r="D98" s="287">
        <v>-91050.74</v>
      </c>
      <c r="E98" s="287">
        <v>-91050.74</v>
      </c>
      <c r="F98" s="237">
        <f t="shared" si="4"/>
        <v>1151003.26</v>
      </c>
      <c r="G98" s="236">
        <f t="shared" si="5"/>
        <v>-0.92669341268576089</v>
      </c>
    </row>
    <row r="99" spans="1:7" ht="11.1" customHeight="1" outlineLevel="5" x14ac:dyDescent="0.2">
      <c r="A99" s="238" t="s">
        <v>98</v>
      </c>
      <c r="B99" s="285">
        <v>-5615550.3799999999</v>
      </c>
      <c r="C99" s="285">
        <v>-768438</v>
      </c>
      <c r="D99" s="285">
        <v>-4141753.91</v>
      </c>
      <c r="E99" s="285">
        <v>-4141753.91</v>
      </c>
      <c r="F99" s="229">
        <f t="shared" si="4"/>
        <v>-3373315.91</v>
      </c>
      <c r="G99" s="228">
        <f t="shared" si="5"/>
        <v>4.3898348467931054</v>
      </c>
    </row>
    <row r="100" spans="1:7" ht="11.1" customHeight="1" outlineLevel="6" x14ac:dyDescent="0.2">
      <c r="A100" s="239" t="s">
        <v>99</v>
      </c>
      <c r="B100" s="287">
        <v>-428893.86</v>
      </c>
      <c r="C100" s="287"/>
      <c r="D100" s="287">
        <v>-732085.41</v>
      </c>
      <c r="E100" s="287">
        <v>-732085.41</v>
      </c>
      <c r="F100" s="237">
        <f t="shared" si="4"/>
        <v>-732085.41</v>
      </c>
      <c r="G100" s="236" t="e">
        <f t="shared" si="5"/>
        <v>#DIV/0!</v>
      </c>
    </row>
    <row r="101" spans="1:7" ht="11.1" customHeight="1" outlineLevel="6" x14ac:dyDescent="0.2">
      <c r="A101" s="239" t="s">
        <v>100</v>
      </c>
      <c r="B101" s="287">
        <v>-391433.58</v>
      </c>
      <c r="C101" s="287"/>
      <c r="D101" s="287">
        <v>-937379.49</v>
      </c>
      <c r="E101" s="287">
        <v>-937379.49</v>
      </c>
      <c r="F101" s="237">
        <f t="shared" si="4"/>
        <v>-937379.49</v>
      </c>
      <c r="G101" s="236" t="e">
        <f t="shared" si="5"/>
        <v>#DIV/0!</v>
      </c>
    </row>
    <row r="102" spans="1:7" ht="11.1" customHeight="1" outlineLevel="6" x14ac:dyDescent="0.2">
      <c r="A102" s="239" t="s">
        <v>101</v>
      </c>
      <c r="B102" s="287">
        <v>-4795222.9400000004</v>
      </c>
      <c r="C102" s="287">
        <v>-768438</v>
      </c>
      <c r="D102" s="287">
        <v>-2472289.0099999998</v>
      </c>
      <c r="E102" s="287">
        <v>-2472289.0099999998</v>
      </c>
      <c r="F102" s="237">
        <f t="shared" si="4"/>
        <v>-1703851.0099999998</v>
      </c>
      <c r="G102" s="236">
        <f t="shared" si="5"/>
        <v>2.2172914535720509</v>
      </c>
    </row>
    <row r="103" spans="1:7" ht="11.1" customHeight="1" outlineLevel="5" x14ac:dyDescent="0.2">
      <c r="A103" s="238" t="s">
        <v>102</v>
      </c>
      <c r="B103" s="285">
        <v>-126771974.66</v>
      </c>
      <c r="C103" s="285">
        <v>-102752203.72</v>
      </c>
      <c r="D103" s="285">
        <v>-74313229.689999998</v>
      </c>
      <c r="E103" s="285">
        <v>-74313229.689999998</v>
      </c>
      <c r="F103" s="229">
        <f t="shared" si="4"/>
        <v>28438974.030000001</v>
      </c>
      <c r="G103" s="228">
        <f t="shared" si="5"/>
        <v>-0.27677240001096493</v>
      </c>
    </row>
    <row r="104" spans="1:7" ht="11.1" customHeight="1" outlineLevel="6" x14ac:dyDescent="0.2">
      <c r="A104" s="242" t="s">
        <v>103</v>
      </c>
      <c r="B104" s="285">
        <v>-17939731.5</v>
      </c>
      <c r="C104" s="285">
        <v>-39565808</v>
      </c>
      <c r="D104" s="285">
        <v>-16126285.02</v>
      </c>
      <c r="E104" s="285">
        <v>-16126285.02</v>
      </c>
      <c r="F104" s="229">
        <f t="shared" si="4"/>
        <v>23439522.98</v>
      </c>
      <c r="G104" s="228">
        <f t="shared" si="5"/>
        <v>-0.59241866057682935</v>
      </c>
    </row>
    <row r="105" spans="1:7" ht="11.1" customHeight="1" outlineLevel="7" x14ac:dyDescent="0.2">
      <c r="A105" s="243" t="s">
        <v>104</v>
      </c>
      <c r="B105" s="287">
        <v>-2813047.42</v>
      </c>
      <c r="C105" s="287">
        <v>-6800628</v>
      </c>
      <c r="D105" s="287">
        <v>-1672060.85</v>
      </c>
      <c r="E105" s="287">
        <v>-1672060.85</v>
      </c>
      <c r="F105" s="237">
        <f t="shared" si="4"/>
        <v>5128567.1500000004</v>
      </c>
      <c r="G105" s="236">
        <f t="shared" si="5"/>
        <v>-0.75413140521728284</v>
      </c>
    </row>
    <row r="106" spans="1:7" ht="11.1" customHeight="1" outlineLevel="7" x14ac:dyDescent="0.2">
      <c r="A106" s="243" t="s">
        <v>105</v>
      </c>
      <c r="B106" s="287">
        <v>-7943079.3600000003</v>
      </c>
      <c r="C106" s="287">
        <v>-3575496</v>
      </c>
      <c r="D106" s="287">
        <v>-4295021.96</v>
      </c>
      <c r="E106" s="287">
        <v>-4295021.96</v>
      </c>
      <c r="F106" s="237">
        <f t="shared" si="4"/>
        <v>-719525.96</v>
      </c>
      <c r="G106" s="236">
        <f t="shared" si="5"/>
        <v>0.20123808277229238</v>
      </c>
    </row>
    <row r="107" spans="1:7" ht="11.1" customHeight="1" outlineLevel="7" x14ac:dyDescent="0.2">
      <c r="A107" s="243" t="s">
        <v>106</v>
      </c>
      <c r="B107" s="287">
        <v>-7183604.7199999997</v>
      </c>
      <c r="C107" s="287">
        <v>-29189684</v>
      </c>
      <c r="D107" s="287">
        <v>-10159202.210000001</v>
      </c>
      <c r="E107" s="287">
        <v>-10159202.210000001</v>
      </c>
      <c r="F107" s="237">
        <f t="shared" si="4"/>
        <v>19030481.789999999</v>
      </c>
      <c r="G107" s="236">
        <f t="shared" si="5"/>
        <v>-0.65195915755716982</v>
      </c>
    </row>
    <row r="108" spans="1:7" ht="11.1" customHeight="1" outlineLevel="6" x14ac:dyDescent="0.2">
      <c r="A108" s="242" t="s">
        <v>107</v>
      </c>
      <c r="B108" s="285">
        <v>-108803511.72</v>
      </c>
      <c r="C108" s="285">
        <v>-63186395.719999999</v>
      </c>
      <c r="D108" s="285">
        <v>-58186944.670000002</v>
      </c>
      <c r="E108" s="285">
        <v>-58186944.670000002</v>
      </c>
      <c r="F108" s="229">
        <f t="shared" si="4"/>
        <v>4999451.049999997</v>
      </c>
      <c r="G108" s="228">
        <f t="shared" si="5"/>
        <v>-7.9122269802414991E-2</v>
      </c>
    </row>
    <row r="109" spans="1:7" ht="11.1" customHeight="1" outlineLevel="7" x14ac:dyDescent="0.2">
      <c r="A109" s="243" t="s">
        <v>108</v>
      </c>
      <c r="B109" s="287">
        <v>-35713823.649999999</v>
      </c>
      <c r="C109" s="287"/>
      <c r="D109" s="287">
        <v>-366430.92</v>
      </c>
      <c r="E109" s="287">
        <v>-366430.92</v>
      </c>
      <c r="F109" s="237">
        <f t="shared" si="4"/>
        <v>-366430.92</v>
      </c>
      <c r="G109" s="236" t="e">
        <f t="shared" si="5"/>
        <v>#DIV/0!</v>
      </c>
    </row>
    <row r="110" spans="1:7" ht="11.1" customHeight="1" outlineLevel="7" x14ac:dyDescent="0.2">
      <c r="A110" s="243" t="s">
        <v>109</v>
      </c>
      <c r="B110" s="287">
        <v>-70856510.680000007</v>
      </c>
      <c r="C110" s="287">
        <v>-62938055.719999999</v>
      </c>
      <c r="D110" s="287">
        <v>-54448916.729999997</v>
      </c>
      <c r="E110" s="287">
        <v>-54448916.729999997</v>
      </c>
      <c r="F110" s="237">
        <f t="shared" si="4"/>
        <v>8489138.9900000021</v>
      </c>
      <c r="G110" s="236">
        <f t="shared" si="5"/>
        <v>-0.1348808585344079</v>
      </c>
    </row>
    <row r="111" spans="1:7" ht="11.1" customHeight="1" outlineLevel="7" x14ac:dyDescent="0.2">
      <c r="A111" s="243" t="s">
        <v>110</v>
      </c>
      <c r="B111" s="287">
        <v>-2233177.39</v>
      </c>
      <c r="C111" s="287">
        <v>-248340</v>
      </c>
      <c r="D111" s="287">
        <v>-3371597.02</v>
      </c>
      <c r="E111" s="287">
        <v>-3371597.02</v>
      </c>
      <c r="F111" s="237">
        <f t="shared" si="4"/>
        <v>-3123257.02</v>
      </c>
      <c r="G111" s="236">
        <f t="shared" si="5"/>
        <v>12.576536280905211</v>
      </c>
    </row>
    <row r="112" spans="1:7" ht="11.1" customHeight="1" outlineLevel="6" x14ac:dyDescent="0.2">
      <c r="A112" s="239" t="s">
        <v>111</v>
      </c>
      <c r="B112" s="287">
        <v>-28731.439999999999</v>
      </c>
      <c r="C112" s="287"/>
      <c r="D112" s="287"/>
      <c r="E112" s="287"/>
      <c r="F112" s="237">
        <f t="shared" si="4"/>
        <v>0</v>
      </c>
      <c r="G112" s="236" t="e">
        <f t="shared" si="5"/>
        <v>#DIV/0!</v>
      </c>
    </row>
    <row r="113" spans="1:17" ht="11.1" customHeight="1" outlineLevel="5" x14ac:dyDescent="0.2">
      <c r="A113" s="238" t="s">
        <v>112</v>
      </c>
      <c r="B113" s="285">
        <v>-2971198.25</v>
      </c>
      <c r="C113" s="285">
        <v>-2898114</v>
      </c>
      <c r="D113" s="285">
        <v>-1307884.5</v>
      </c>
      <c r="E113" s="285">
        <v>-1307884.5</v>
      </c>
      <c r="F113" s="229">
        <f t="shared" si="4"/>
        <v>1590229.5</v>
      </c>
      <c r="G113" s="228">
        <f t="shared" si="5"/>
        <v>-0.54871185191472804</v>
      </c>
    </row>
    <row r="114" spans="1:17" ht="11.1" customHeight="1" outlineLevel="6" x14ac:dyDescent="0.2">
      <c r="A114" s="239" t="s">
        <v>113</v>
      </c>
      <c r="B114" s="287">
        <v>-151393.81</v>
      </c>
      <c r="C114" s="287"/>
      <c r="D114" s="287">
        <v>-70060.009999999995</v>
      </c>
      <c r="E114" s="287">
        <v>-70060.009999999995</v>
      </c>
      <c r="F114" s="237">
        <f t="shared" si="4"/>
        <v>-70060.009999999995</v>
      </c>
      <c r="G114" s="236" t="e">
        <f t="shared" si="5"/>
        <v>#DIV/0!</v>
      </c>
    </row>
    <row r="115" spans="1:17" ht="11.1" customHeight="1" outlineLevel="6" x14ac:dyDescent="0.2">
      <c r="A115" s="239" t="s">
        <v>114</v>
      </c>
      <c r="B115" s="287">
        <v>-2819804.44</v>
      </c>
      <c r="C115" s="287">
        <v>-2898114</v>
      </c>
      <c r="D115" s="287">
        <v>-1183956.77</v>
      </c>
      <c r="E115" s="287">
        <v>-1183956.77</v>
      </c>
      <c r="F115" s="237">
        <f t="shared" si="4"/>
        <v>1714157.23</v>
      </c>
      <c r="G115" s="236">
        <f t="shared" si="5"/>
        <v>-0.59147336164139852</v>
      </c>
    </row>
    <row r="116" spans="1:17" ht="11.1" customHeight="1" outlineLevel="6" x14ac:dyDescent="0.2">
      <c r="A116" s="239" t="s">
        <v>115</v>
      </c>
      <c r="B116" s="287"/>
      <c r="C116" s="287"/>
      <c r="D116" s="287">
        <v>-53867.72</v>
      </c>
      <c r="E116" s="287">
        <v>-53867.72</v>
      </c>
      <c r="F116" s="237">
        <f t="shared" si="4"/>
        <v>-53867.72</v>
      </c>
      <c r="G116" s="236" t="e">
        <f t="shared" si="5"/>
        <v>#DIV/0!</v>
      </c>
    </row>
    <row r="117" spans="1:17" ht="11.1" customHeight="1" outlineLevel="5" x14ac:dyDescent="0.2">
      <c r="A117" s="235" t="s">
        <v>116</v>
      </c>
      <c r="B117" s="287">
        <v>-785516.11</v>
      </c>
      <c r="C117" s="287">
        <v>-469668</v>
      </c>
      <c r="D117" s="287">
        <v>-1408887.41</v>
      </c>
      <c r="E117" s="287">
        <v>-1408887.41</v>
      </c>
      <c r="F117" s="237">
        <f t="shared" si="4"/>
        <v>-939219.40999999992</v>
      </c>
      <c r="G117" s="236">
        <f t="shared" si="5"/>
        <v>1.9997517608182798</v>
      </c>
    </row>
    <row r="118" spans="1:17" ht="11.1" customHeight="1" outlineLevel="5" x14ac:dyDescent="0.2">
      <c r="A118" s="235" t="s">
        <v>117</v>
      </c>
      <c r="B118" s="287">
        <v>-54470.68</v>
      </c>
      <c r="C118" s="287"/>
      <c r="D118" s="287">
        <v>-630570.13</v>
      </c>
      <c r="E118" s="287">
        <v>-630570.13</v>
      </c>
      <c r="F118" s="237">
        <f t="shared" si="4"/>
        <v>-630570.13</v>
      </c>
      <c r="G118" s="236" t="e">
        <f t="shared" si="5"/>
        <v>#DIV/0!</v>
      </c>
    </row>
    <row r="119" spans="1:17" ht="11.1" customHeight="1" outlineLevel="2" x14ac:dyDescent="0.2">
      <c r="A119" s="230" t="s">
        <v>118</v>
      </c>
      <c r="B119" s="284">
        <v>4882105062.3400002</v>
      </c>
      <c r="C119" s="284">
        <v>5358096899.8900013</v>
      </c>
      <c r="D119" s="284">
        <v>5458744961.0699987</v>
      </c>
      <c r="E119" s="284">
        <v>5330254742.3400002</v>
      </c>
      <c r="F119" s="225">
        <f t="shared" si="4"/>
        <v>100648061.17999744</v>
      </c>
      <c r="G119" s="224">
        <f t="shared" si="5"/>
        <v>1.8784292830176907E-2</v>
      </c>
    </row>
    <row r="120" spans="1:17" ht="11.1" customHeight="1" outlineLevel="2" x14ac:dyDescent="0.2">
      <c r="A120" s="244" t="s">
        <v>173</v>
      </c>
      <c r="B120" s="245">
        <f>B176+B191+B276</f>
        <v>2935472994.4500003</v>
      </c>
      <c r="C120" s="245">
        <f t="shared" ref="C120:E120" si="6">C176+C191+C276</f>
        <v>3408561462.6300001</v>
      </c>
      <c r="D120" s="245">
        <f t="shared" si="6"/>
        <v>3233917012.6700001</v>
      </c>
      <c r="E120" s="245">
        <f t="shared" si="6"/>
        <v>3233917012.6700001</v>
      </c>
      <c r="F120" s="229">
        <f t="shared" si="4"/>
        <v>-174644449.96000004</v>
      </c>
      <c r="G120" s="228">
        <f>D120/C120-100%</f>
        <v>-5.1236995980482258E-2</v>
      </c>
      <c r="J120" s="221" t="s">
        <v>414</v>
      </c>
      <c r="L120" s="221" t="s">
        <v>389</v>
      </c>
      <c r="M120" s="221" t="s">
        <v>414</v>
      </c>
      <c r="N120" s="221" t="s">
        <v>754</v>
      </c>
    </row>
    <row r="121" spans="1:17" ht="11.1" customHeight="1" outlineLevel="3" x14ac:dyDescent="0.2">
      <c r="A121" s="246" t="s">
        <v>119</v>
      </c>
      <c r="B121" s="284">
        <v>3483586137.6600003</v>
      </c>
      <c r="C121" s="284">
        <v>3902800398.1700001</v>
      </c>
      <c r="D121" s="284">
        <v>3962719744.4400001</v>
      </c>
      <c r="E121" s="284">
        <v>3835663630.0600004</v>
      </c>
      <c r="F121" s="225">
        <f t="shared" si="4"/>
        <v>59919346.269999981</v>
      </c>
      <c r="G121" s="224">
        <f t="shared" ref="G121:G184" si="7">D121/C121-1</f>
        <v>1.5352910770967343E-2</v>
      </c>
      <c r="I121" s="221" t="s">
        <v>870</v>
      </c>
      <c r="J121" s="226" t="e">
        <f>ROUND(#REF!/1000,0)</f>
        <v>#REF!</v>
      </c>
      <c r="L121" s="226">
        <f>ROUND(B158/1000,0)</f>
        <v>160366</v>
      </c>
      <c r="M121" s="226">
        <f>ROUND(C158/1000,0)</f>
        <v>118083</v>
      </c>
      <c r="N121" s="226">
        <f>ROUND(D158/1000,0)</f>
        <v>341353</v>
      </c>
      <c r="O121" s="226">
        <f t="shared" ref="O121:O129" si="8">N121-M121</f>
        <v>223270</v>
      </c>
      <c r="P121" s="320">
        <f t="shared" ref="P121:P129" si="9">N121/M121-100%</f>
        <v>1.8907886825368596</v>
      </c>
      <c r="Q121" s="320">
        <f t="shared" ref="Q121:Q129" si="10">N121/L121-100%</f>
        <v>1.1285871069927542</v>
      </c>
    </row>
    <row r="122" spans="1:17" ht="11.1" customHeight="1" outlineLevel="4" x14ac:dyDescent="0.2">
      <c r="A122" s="234" t="s">
        <v>120</v>
      </c>
      <c r="B122" s="285">
        <v>443501033.42000002</v>
      </c>
      <c r="C122" s="285">
        <v>492776498.23000002</v>
      </c>
      <c r="D122" s="285">
        <v>528922989.11000001</v>
      </c>
      <c r="E122" s="285">
        <v>528922989.11000001</v>
      </c>
      <c r="F122" s="322">
        <f t="shared" si="4"/>
        <v>36146490.879999995</v>
      </c>
      <c r="G122" s="228">
        <f t="shared" si="7"/>
        <v>7.3352708600824768E-2</v>
      </c>
      <c r="I122" s="221" t="s">
        <v>871</v>
      </c>
      <c r="J122" s="226" t="e">
        <f>ROUND(#REF!/1000,0)</f>
        <v>#REF!</v>
      </c>
      <c r="L122" s="226">
        <f>ROUND(B155/1000,0)</f>
        <v>44271</v>
      </c>
      <c r="M122" s="226">
        <f>ROUND(C155/1000,0)</f>
        <v>194169</v>
      </c>
      <c r="N122" s="226">
        <f>ROUND(D155/1000,0)</f>
        <v>230446</v>
      </c>
      <c r="O122" s="226">
        <f t="shared" si="8"/>
        <v>36277</v>
      </c>
      <c r="P122" s="320">
        <f t="shared" si="9"/>
        <v>0.1868320895714557</v>
      </c>
      <c r="Q122" s="320">
        <f t="shared" si="10"/>
        <v>4.2053488739807099</v>
      </c>
    </row>
    <row r="123" spans="1:17" ht="11.1" customHeight="1" outlineLevel="5" x14ac:dyDescent="0.2">
      <c r="A123" s="235" t="s">
        <v>121</v>
      </c>
      <c r="B123" s="287">
        <v>30240290.100000001</v>
      </c>
      <c r="C123" s="287">
        <v>44447644.009999998</v>
      </c>
      <c r="D123" s="287">
        <v>43661525.659999996</v>
      </c>
      <c r="E123" s="287">
        <v>43661525.659999996</v>
      </c>
      <c r="F123" s="237">
        <f t="shared" si="4"/>
        <v>-786118.35000000149</v>
      </c>
      <c r="G123" s="236">
        <f t="shared" si="7"/>
        <v>-1.7686389627831312E-2</v>
      </c>
      <c r="I123" s="221" t="s">
        <v>869</v>
      </c>
      <c r="J123" s="226" t="e">
        <f>ROUND((#REF!+#REF!)/1000,0)</f>
        <v>#REF!</v>
      </c>
      <c r="L123" s="226">
        <f>ROUND((B139+B233)/1000,0)</f>
        <v>63763</v>
      </c>
      <c r="M123" s="226">
        <f>ROUND((C139+C233)/1000,0)</f>
        <v>68971</v>
      </c>
      <c r="N123" s="226">
        <f>ROUND((D139+D233)/1000,0)</f>
        <v>76853</v>
      </c>
      <c r="O123" s="226">
        <f t="shared" si="8"/>
        <v>7882</v>
      </c>
      <c r="P123" s="320">
        <f t="shared" si="9"/>
        <v>0.11427991474677768</v>
      </c>
      <c r="Q123" s="320">
        <f t="shared" si="10"/>
        <v>0.20529146997475034</v>
      </c>
    </row>
    <row r="124" spans="1:17" ht="11.1" customHeight="1" outlineLevel="5" x14ac:dyDescent="0.2">
      <c r="A124" s="235" t="s">
        <v>122</v>
      </c>
      <c r="B124" s="287">
        <v>308144915.75</v>
      </c>
      <c r="C124" s="287">
        <v>313352819.36000001</v>
      </c>
      <c r="D124" s="287">
        <v>325908862.75999999</v>
      </c>
      <c r="E124" s="287">
        <v>325908862.75999999</v>
      </c>
      <c r="F124" s="237">
        <f t="shared" si="4"/>
        <v>12556043.399999976</v>
      </c>
      <c r="G124" s="236">
        <f t="shared" si="7"/>
        <v>4.0069987005844521E-2</v>
      </c>
      <c r="I124" s="221" t="s">
        <v>258</v>
      </c>
      <c r="J124" s="226" t="e">
        <f>ROUND(#REF!/1000,0)</f>
        <v>#REF!</v>
      </c>
      <c r="L124" s="226">
        <f>ROUND(B289/1000,0)</f>
        <v>26011</v>
      </c>
      <c r="M124" s="226">
        <f>ROUND(C289/1000,0)</f>
        <v>170</v>
      </c>
      <c r="N124" s="226">
        <f>ROUND(D289/1000,0)</f>
        <v>26166</v>
      </c>
      <c r="O124" s="226">
        <f t="shared" si="8"/>
        <v>25996</v>
      </c>
      <c r="P124" s="320">
        <f t="shared" si="9"/>
        <v>152.91764705882352</v>
      </c>
      <c r="Q124" s="320">
        <f t="shared" si="10"/>
        <v>5.9590173388182066E-3</v>
      </c>
    </row>
    <row r="125" spans="1:17" ht="11.1" customHeight="1" outlineLevel="5" x14ac:dyDescent="0.2">
      <c r="A125" s="235" t="s">
        <v>123</v>
      </c>
      <c r="B125" s="287">
        <v>79377212.780000001</v>
      </c>
      <c r="C125" s="287">
        <v>85534446.140000001</v>
      </c>
      <c r="D125" s="287">
        <v>112987155</v>
      </c>
      <c r="E125" s="287">
        <v>112987155</v>
      </c>
      <c r="F125" s="237">
        <f t="shared" si="4"/>
        <v>27452708.859999999</v>
      </c>
      <c r="G125" s="236">
        <f t="shared" si="7"/>
        <v>0.32095500817373979</v>
      </c>
      <c r="I125" s="221" t="s">
        <v>875</v>
      </c>
      <c r="J125" s="226" t="e">
        <f>ROUND((#REF!+#REF!+#REF!+#REF!+#REF!+#REF!)/1000,0)</f>
        <v>#REF!</v>
      </c>
      <c r="L125" s="226">
        <f>ROUND((B123+B125+B128+B211+B213+B215)/1000,0)</f>
        <v>116947</v>
      </c>
      <c r="M125" s="226">
        <f>ROUND((C123+C125+C128+C211+C213+C215)/1000,0)</f>
        <v>139887</v>
      </c>
      <c r="N125" s="226">
        <f>ROUND((D123+D125+D128+D211+D213+D215)/1000,0)</f>
        <v>173212</v>
      </c>
      <c r="O125" s="226">
        <f t="shared" si="8"/>
        <v>33325</v>
      </c>
      <c r="P125" s="320">
        <f t="shared" si="9"/>
        <v>0.23822799831292407</v>
      </c>
      <c r="Q125" s="320">
        <f t="shared" si="10"/>
        <v>0.48111537705114293</v>
      </c>
    </row>
    <row r="126" spans="1:17" ht="11.1" customHeight="1" outlineLevel="5" x14ac:dyDescent="0.2">
      <c r="A126" s="235" t="s">
        <v>124</v>
      </c>
      <c r="B126" s="287">
        <v>1047206.29</v>
      </c>
      <c r="C126" s="287">
        <v>4423750.38</v>
      </c>
      <c r="D126" s="287">
        <v>1217628.46</v>
      </c>
      <c r="E126" s="287">
        <v>1217628.46</v>
      </c>
      <c r="F126" s="237">
        <f t="shared" si="4"/>
        <v>-3206121.92</v>
      </c>
      <c r="G126" s="236">
        <f t="shared" si="7"/>
        <v>-0.72475199651748889</v>
      </c>
      <c r="I126" s="221" t="s">
        <v>122</v>
      </c>
      <c r="J126" s="226" t="e">
        <f>ROUND((#REF!+#REF!)/1000,0)</f>
        <v>#REF!</v>
      </c>
      <c r="L126" s="226">
        <f>ROUND((B124+B212)/1000,0)</f>
        <v>320986</v>
      </c>
      <c r="M126" s="226">
        <f>ROUND((C124+C212)/1000,0)</f>
        <v>325567</v>
      </c>
      <c r="N126" s="226">
        <f>ROUND((D124+D212)/1000,0)</f>
        <v>334413</v>
      </c>
      <c r="O126" s="226">
        <f t="shared" si="8"/>
        <v>8846</v>
      </c>
      <c r="P126" s="320">
        <f t="shared" si="9"/>
        <v>2.7171058491800348E-2</v>
      </c>
      <c r="Q126" s="320">
        <f t="shared" si="10"/>
        <v>4.1830484818652591E-2</v>
      </c>
    </row>
    <row r="127" spans="1:17" ht="11.1" customHeight="1" outlineLevel="5" x14ac:dyDescent="0.2">
      <c r="A127" s="235" t="s">
        <v>125</v>
      </c>
      <c r="B127" s="287">
        <v>6916289.4000000004</v>
      </c>
      <c r="C127" s="287">
        <v>6057197.9299999997</v>
      </c>
      <c r="D127" s="287">
        <v>5060677.28</v>
      </c>
      <c r="E127" s="287">
        <v>5060677.28</v>
      </c>
      <c r="F127" s="237">
        <f t="shared" si="4"/>
        <v>-996520.64999999944</v>
      </c>
      <c r="G127" s="236">
        <f t="shared" si="7"/>
        <v>-0.16451842279487794</v>
      </c>
      <c r="I127" s="221" t="s">
        <v>872</v>
      </c>
      <c r="J127" s="226" t="e">
        <f>ROUND(#REF!/1000,0)</f>
        <v>#REF!</v>
      </c>
      <c r="L127" s="226">
        <f>ROUND(B140/1000,0)</f>
        <v>4025</v>
      </c>
      <c r="M127" s="226">
        <f>ROUND(C140/1000,0)</f>
        <v>3745</v>
      </c>
      <c r="N127" s="226">
        <f>ROUND(D140/1000,0)</f>
        <v>9327</v>
      </c>
      <c r="O127" s="226">
        <f t="shared" si="8"/>
        <v>5582</v>
      </c>
      <c r="P127" s="320">
        <f t="shared" si="9"/>
        <v>1.4905206942590121</v>
      </c>
      <c r="Q127" s="320">
        <f t="shared" si="10"/>
        <v>1.3172670807453417</v>
      </c>
    </row>
    <row r="128" spans="1:17" ht="11.1" customHeight="1" outlineLevel="5" x14ac:dyDescent="0.2">
      <c r="A128" s="235" t="s">
        <v>126</v>
      </c>
      <c r="B128" s="287">
        <v>4255638.75</v>
      </c>
      <c r="C128" s="287">
        <v>4829695.5</v>
      </c>
      <c r="D128" s="287">
        <v>7930334.1600000001</v>
      </c>
      <c r="E128" s="287">
        <v>7930334.1600000001</v>
      </c>
      <c r="F128" s="237">
        <f t="shared" si="4"/>
        <v>3100638.66</v>
      </c>
      <c r="G128" s="236">
        <f t="shared" si="7"/>
        <v>0.64199464748864599</v>
      </c>
      <c r="I128" s="221" t="s">
        <v>873</v>
      </c>
      <c r="J128" s="226" t="e">
        <f>ROUND(#REF!/1000,0)</f>
        <v>#REF!</v>
      </c>
      <c r="L128" s="226">
        <f>ROUND(B226/1000,0)</f>
        <v>1583</v>
      </c>
      <c r="M128" s="226">
        <f>ROUND(C226/1000,0)</f>
        <v>2508</v>
      </c>
      <c r="N128" s="226">
        <f>ROUND(D226/1000,0)</f>
        <v>10231</v>
      </c>
      <c r="O128" s="226">
        <f t="shared" si="8"/>
        <v>7723</v>
      </c>
      <c r="P128" s="320">
        <f t="shared" si="9"/>
        <v>3.0793460925039868</v>
      </c>
      <c r="Q128" s="320">
        <f t="shared" si="10"/>
        <v>5.4630448515476946</v>
      </c>
    </row>
    <row r="129" spans="1:17" ht="11.1" customHeight="1" outlineLevel="5" x14ac:dyDescent="0.2">
      <c r="A129" s="235" t="s">
        <v>127</v>
      </c>
      <c r="B129" s="287">
        <v>9058774.5099999998</v>
      </c>
      <c r="C129" s="287">
        <v>27148889.760000002</v>
      </c>
      <c r="D129" s="287">
        <v>28744238.210000001</v>
      </c>
      <c r="E129" s="287">
        <v>28744238.210000001</v>
      </c>
      <c r="F129" s="237">
        <f t="shared" si="4"/>
        <v>1595348.4499999993</v>
      </c>
      <c r="G129" s="236">
        <f t="shared" si="7"/>
        <v>5.8762935210356693E-2</v>
      </c>
      <c r="I129" s="221" t="s">
        <v>874</v>
      </c>
      <c r="J129" s="226" t="e">
        <f>ROUND((#REF!+#REF!+#REF!)/1000,0)</f>
        <v>#REF!</v>
      </c>
      <c r="L129" s="226">
        <f>ROUND((B138+B232+B234)/1000,0)</f>
        <v>22714</v>
      </c>
      <c r="M129" s="226">
        <f>ROUND((C138+C232+C234)/1000,0)</f>
        <v>19545</v>
      </c>
      <c r="N129" s="226">
        <f>ROUND((D138+D232+D234)/1000,0)</f>
        <v>36547</v>
      </c>
      <c r="O129" s="226">
        <f t="shared" si="8"/>
        <v>17002</v>
      </c>
      <c r="P129" s="320">
        <f t="shared" si="9"/>
        <v>0.86988999744180107</v>
      </c>
      <c r="Q129" s="320">
        <f t="shared" si="10"/>
        <v>0.60900766047371668</v>
      </c>
    </row>
    <row r="130" spans="1:17" ht="11.1" customHeight="1" outlineLevel="5" x14ac:dyDescent="0.2">
      <c r="A130" s="235" t="s">
        <v>128</v>
      </c>
      <c r="B130" s="287">
        <v>4460705.84</v>
      </c>
      <c r="C130" s="287">
        <v>6982055.1500000004</v>
      </c>
      <c r="D130" s="287">
        <v>3412567.58</v>
      </c>
      <c r="E130" s="287">
        <v>3412567.58</v>
      </c>
      <c r="F130" s="237">
        <f t="shared" si="4"/>
        <v>-3569487.5700000003</v>
      </c>
      <c r="G130" s="236">
        <f t="shared" si="7"/>
        <v>-0.51123737829541493</v>
      </c>
    </row>
    <row r="131" spans="1:17" ht="11.1" customHeight="1" outlineLevel="4" x14ac:dyDescent="0.2">
      <c r="A131" s="234" t="s">
        <v>129</v>
      </c>
      <c r="B131" s="285">
        <v>89048852</v>
      </c>
      <c r="C131" s="285">
        <v>74926741.590000004</v>
      </c>
      <c r="D131" s="285">
        <v>64423525.189999998</v>
      </c>
      <c r="E131" s="285">
        <v>64423525.189999998</v>
      </c>
      <c r="F131" s="229">
        <f t="shared" si="4"/>
        <v>-10503216.400000006</v>
      </c>
      <c r="G131" s="228">
        <f t="shared" si="7"/>
        <v>-0.14017980999992941</v>
      </c>
      <c r="J131" s="221" t="str">
        <f t="shared" ref="J131" si="11">J120</f>
        <v>план 2022</v>
      </c>
      <c r="L131" s="221" t="str">
        <f>L120</f>
        <v>факт 2021</v>
      </c>
      <c r="M131" s="221" t="str">
        <f t="shared" ref="M131:N131" si="12">M120</f>
        <v>план 2022</v>
      </c>
      <c r="N131" s="221" t="str">
        <f t="shared" si="12"/>
        <v>факт 2022</v>
      </c>
    </row>
    <row r="132" spans="1:17" ht="11.1" customHeight="1" outlineLevel="5" x14ac:dyDescent="0.2">
      <c r="A132" s="235" t="s">
        <v>130</v>
      </c>
      <c r="B132" s="287">
        <v>58723729.380000003</v>
      </c>
      <c r="C132" s="287">
        <v>45365660.229999997</v>
      </c>
      <c r="D132" s="287">
        <v>36280166.759999998</v>
      </c>
      <c r="E132" s="287">
        <v>36280166.759999998</v>
      </c>
      <c r="F132" s="237">
        <f t="shared" si="4"/>
        <v>-9085493.4699999988</v>
      </c>
      <c r="G132" s="236">
        <f t="shared" si="7"/>
        <v>-0.20027248416395416</v>
      </c>
      <c r="I132" s="221" t="str">
        <f>I126</f>
        <v>ГСМ</v>
      </c>
      <c r="J132" s="226" t="e">
        <f t="shared" ref="J132" si="13">J126</f>
        <v>#REF!</v>
      </c>
      <c r="L132" s="226">
        <f>L126</f>
        <v>320986</v>
      </c>
      <c r="M132" s="226">
        <f t="shared" ref="M132:Q132" si="14">M126</f>
        <v>325567</v>
      </c>
      <c r="N132" s="226">
        <f t="shared" si="14"/>
        <v>334413</v>
      </c>
      <c r="O132" s="226">
        <f t="shared" si="14"/>
        <v>8846</v>
      </c>
      <c r="P132" s="317">
        <f t="shared" si="14"/>
        <v>2.7171058491800348E-2</v>
      </c>
      <c r="Q132" s="317">
        <f t="shared" si="14"/>
        <v>4.1830484818652591E-2</v>
      </c>
    </row>
    <row r="133" spans="1:17" ht="11.1" customHeight="1" outlineLevel="5" x14ac:dyDescent="0.2">
      <c r="A133" s="235" t="s">
        <v>131</v>
      </c>
      <c r="B133" s="287">
        <v>3162071.3</v>
      </c>
      <c r="C133" s="287">
        <v>5365063.66</v>
      </c>
      <c r="D133" s="287">
        <v>3529825.43</v>
      </c>
      <c r="E133" s="287">
        <v>3529825.43</v>
      </c>
      <c r="F133" s="237">
        <f t="shared" si="4"/>
        <v>-1835238.23</v>
      </c>
      <c r="G133" s="236">
        <f t="shared" si="7"/>
        <v>-0.34207203237547412</v>
      </c>
      <c r="I133" s="221" t="str">
        <f>I121</f>
        <v>Автоперевозки</v>
      </c>
      <c r="J133" s="226" t="e">
        <f t="shared" ref="J133:J134" si="15">J121</f>
        <v>#REF!</v>
      </c>
      <c r="L133" s="226">
        <f>L121</f>
        <v>160366</v>
      </c>
      <c r="M133" s="226">
        <f t="shared" ref="M133:Q134" si="16">M121</f>
        <v>118083</v>
      </c>
      <c r="N133" s="226">
        <f t="shared" si="16"/>
        <v>341353</v>
      </c>
      <c r="O133" s="226">
        <f t="shared" si="16"/>
        <v>223270</v>
      </c>
      <c r="P133" s="317">
        <f t="shared" si="16"/>
        <v>1.8907886825368596</v>
      </c>
      <c r="Q133" s="317">
        <f t="shared" si="16"/>
        <v>1.1285871069927542</v>
      </c>
    </row>
    <row r="134" spans="1:17" ht="11.1" customHeight="1" outlineLevel="5" x14ac:dyDescent="0.2">
      <c r="A134" s="235" t="s">
        <v>132</v>
      </c>
      <c r="B134" s="287">
        <v>23151866.879999999</v>
      </c>
      <c r="C134" s="287">
        <v>19521118.850000001</v>
      </c>
      <c r="D134" s="287">
        <v>21742045.829999998</v>
      </c>
      <c r="E134" s="287">
        <v>21742045.829999998</v>
      </c>
      <c r="F134" s="237">
        <f t="shared" si="4"/>
        <v>2220926.9799999967</v>
      </c>
      <c r="G134" s="236">
        <f t="shared" si="7"/>
        <v>0.11377047581470956</v>
      </c>
      <c r="I134" s="221" t="str">
        <f>I122</f>
        <v>Ж/д перевозки</v>
      </c>
      <c r="J134" s="221" t="e">
        <f t="shared" si="15"/>
        <v>#REF!</v>
      </c>
      <c r="L134" s="221">
        <f t="shared" ref="L134:N134" si="17">L122</f>
        <v>44271</v>
      </c>
      <c r="M134" s="221">
        <f t="shared" si="17"/>
        <v>194169</v>
      </c>
      <c r="N134" s="221">
        <f t="shared" si="17"/>
        <v>230446</v>
      </c>
      <c r="O134" s="221">
        <f t="shared" si="16"/>
        <v>36277</v>
      </c>
      <c r="P134" s="317">
        <f t="shared" si="16"/>
        <v>0.1868320895714557</v>
      </c>
      <c r="Q134" s="317">
        <f t="shared" si="16"/>
        <v>4.2053488739807099</v>
      </c>
    </row>
    <row r="135" spans="1:17" ht="11.1" customHeight="1" outlineLevel="5" x14ac:dyDescent="0.2">
      <c r="A135" s="235" t="s">
        <v>133</v>
      </c>
      <c r="B135" s="287">
        <v>4508.8900000000003</v>
      </c>
      <c r="C135" s="287">
        <v>1080970.04</v>
      </c>
      <c r="D135" s="287">
        <v>1538455.02</v>
      </c>
      <c r="E135" s="287">
        <v>1538455.02</v>
      </c>
      <c r="F135" s="237">
        <f t="shared" si="4"/>
        <v>457484.98</v>
      </c>
      <c r="G135" s="236">
        <f t="shared" si="7"/>
        <v>0.42321707639556783</v>
      </c>
      <c r="I135" s="221" t="str">
        <f>I125</f>
        <v>Ремонт, ТО и запчасти, масла</v>
      </c>
      <c r="J135" s="221" t="e">
        <f t="shared" ref="J135" si="18">J125</f>
        <v>#REF!</v>
      </c>
      <c r="L135" s="221">
        <f t="shared" ref="L135:Q135" si="19">L125</f>
        <v>116947</v>
      </c>
      <c r="M135" s="221">
        <f t="shared" si="19"/>
        <v>139887</v>
      </c>
      <c r="N135" s="221">
        <f t="shared" si="19"/>
        <v>173212</v>
      </c>
      <c r="O135" s="221">
        <f t="shared" si="19"/>
        <v>33325</v>
      </c>
      <c r="P135" s="317">
        <f t="shared" si="19"/>
        <v>0.23822799831292407</v>
      </c>
      <c r="Q135" s="317">
        <f t="shared" si="19"/>
        <v>0.48111537705114293</v>
      </c>
    </row>
    <row r="136" spans="1:17" ht="11.1" customHeight="1" outlineLevel="5" x14ac:dyDescent="0.2">
      <c r="A136" s="235" t="s">
        <v>134</v>
      </c>
      <c r="B136" s="287">
        <v>4006675.55</v>
      </c>
      <c r="C136" s="287">
        <v>3593928.81</v>
      </c>
      <c r="D136" s="287">
        <v>1333032.1499999999</v>
      </c>
      <c r="E136" s="287">
        <v>1333032.1499999999</v>
      </c>
      <c r="F136" s="237">
        <f t="shared" si="4"/>
        <v>-2260896.66</v>
      </c>
      <c r="G136" s="236">
        <f t="shared" si="7"/>
        <v>-0.62908776982702674</v>
      </c>
      <c r="I136" s="221" t="str">
        <f>I123</f>
        <v>Амортизация ТС</v>
      </c>
      <c r="J136" s="221" t="e">
        <f t="shared" ref="J136" si="20">J123</f>
        <v>#REF!</v>
      </c>
      <c r="L136" s="221">
        <f t="shared" ref="L136:Q136" si="21">L123</f>
        <v>63763</v>
      </c>
      <c r="M136" s="221">
        <f t="shared" si="21"/>
        <v>68971</v>
      </c>
      <c r="N136" s="221">
        <f t="shared" si="21"/>
        <v>76853</v>
      </c>
      <c r="O136" s="221">
        <f t="shared" si="21"/>
        <v>7882</v>
      </c>
      <c r="P136" s="317">
        <f t="shared" si="21"/>
        <v>0.11427991474677768</v>
      </c>
      <c r="Q136" s="317">
        <f t="shared" si="21"/>
        <v>0.20529146997475034</v>
      </c>
    </row>
    <row r="137" spans="1:17" ht="11.1" customHeight="1" outlineLevel="4" x14ac:dyDescent="0.2">
      <c r="A137" s="234" t="s">
        <v>135</v>
      </c>
      <c r="B137" s="285">
        <v>65289702.130000003</v>
      </c>
      <c r="C137" s="285">
        <v>67932478.719999999</v>
      </c>
      <c r="D137" s="285">
        <v>85993168.239999995</v>
      </c>
      <c r="E137" s="285">
        <v>85993168.239999995</v>
      </c>
      <c r="F137" s="322">
        <f t="shared" ref="F137:F200" si="22">D137-C137</f>
        <v>18060689.519999996</v>
      </c>
      <c r="G137" s="228">
        <f t="shared" si="7"/>
        <v>0.26586236598905</v>
      </c>
      <c r="I137" s="221" t="str">
        <f>I129</f>
        <v>Амортизация прочее</v>
      </c>
      <c r="J137" s="221" t="e">
        <f t="shared" ref="J137" si="23">J129</f>
        <v>#REF!</v>
      </c>
      <c r="L137" s="221">
        <f t="shared" ref="L137:Q137" si="24">L129</f>
        <v>22714</v>
      </c>
      <c r="M137" s="221">
        <f t="shared" si="24"/>
        <v>19545</v>
      </c>
      <c r="N137" s="221">
        <f t="shared" si="24"/>
        <v>36547</v>
      </c>
      <c r="O137" s="221">
        <f t="shared" si="24"/>
        <v>17002</v>
      </c>
      <c r="P137" s="317">
        <f t="shared" si="24"/>
        <v>0.86988999744180107</v>
      </c>
      <c r="Q137" s="317">
        <f t="shared" si="24"/>
        <v>0.60900766047371668</v>
      </c>
    </row>
    <row r="138" spans="1:17" ht="11.1" customHeight="1" outlineLevel="5" x14ac:dyDescent="0.2">
      <c r="A138" s="235" t="s">
        <v>136</v>
      </c>
      <c r="B138" s="287">
        <v>4482450.32</v>
      </c>
      <c r="C138" s="287">
        <v>3630489.08</v>
      </c>
      <c r="D138" s="287">
        <v>5980552.4199999999</v>
      </c>
      <c r="E138" s="287">
        <v>5980552.4199999999</v>
      </c>
      <c r="F138" s="237">
        <f t="shared" si="22"/>
        <v>2350063.34</v>
      </c>
      <c r="G138" s="236">
        <f t="shared" si="7"/>
        <v>0.64731315484358931</v>
      </c>
      <c r="I138" s="221" t="str">
        <f>I124</f>
        <v>Убытки прошлых лет</v>
      </c>
      <c r="J138" s="221" t="e">
        <f t="shared" ref="J138" si="25">J124</f>
        <v>#REF!</v>
      </c>
      <c r="L138" s="221">
        <f t="shared" ref="L138:Q138" si="26">L124</f>
        <v>26011</v>
      </c>
      <c r="M138" s="221">
        <f t="shared" si="26"/>
        <v>170</v>
      </c>
      <c r="N138" s="221">
        <f t="shared" si="26"/>
        <v>26166</v>
      </c>
      <c r="O138" s="221">
        <f t="shared" si="26"/>
        <v>25996</v>
      </c>
      <c r="P138" s="317">
        <f t="shared" si="26"/>
        <v>152.91764705882352</v>
      </c>
      <c r="Q138" s="317">
        <f t="shared" si="26"/>
        <v>5.9590173388182066E-3</v>
      </c>
    </row>
    <row r="139" spans="1:17" ht="11.1" customHeight="1" outlineLevel="5" x14ac:dyDescent="0.2">
      <c r="A139" s="235" t="s">
        <v>137</v>
      </c>
      <c r="B139" s="287">
        <v>56782189.090000004</v>
      </c>
      <c r="C139" s="287">
        <v>60557067.950000003</v>
      </c>
      <c r="D139" s="287">
        <v>70685502.650000006</v>
      </c>
      <c r="E139" s="287">
        <v>70685502.650000006</v>
      </c>
      <c r="F139" s="237">
        <f t="shared" si="22"/>
        <v>10128434.700000003</v>
      </c>
      <c r="G139" s="236">
        <f t="shared" si="7"/>
        <v>0.16725437744711691</v>
      </c>
      <c r="I139" s="221" t="str">
        <f>I128</f>
        <v>ОС (Техника связи)</v>
      </c>
      <c r="J139" s="221" t="e">
        <f t="shared" ref="J139" si="27">J128</f>
        <v>#REF!</v>
      </c>
      <c r="L139" s="221">
        <f t="shared" ref="L139:Q139" si="28">L128</f>
        <v>1583</v>
      </c>
      <c r="M139" s="221">
        <f t="shared" si="28"/>
        <v>2508</v>
      </c>
      <c r="N139" s="221">
        <f t="shared" si="28"/>
        <v>10231</v>
      </c>
      <c r="O139" s="221">
        <f t="shared" si="28"/>
        <v>7723</v>
      </c>
      <c r="P139" s="317">
        <f t="shared" si="28"/>
        <v>3.0793460925039868</v>
      </c>
      <c r="Q139" s="317">
        <f t="shared" si="28"/>
        <v>5.4630448515476946</v>
      </c>
    </row>
    <row r="140" spans="1:17" ht="11.1" customHeight="1" outlineLevel="5" x14ac:dyDescent="0.2">
      <c r="A140" s="235" t="s">
        <v>138</v>
      </c>
      <c r="B140" s="287">
        <v>4025062.72</v>
      </c>
      <c r="C140" s="287">
        <v>3744921.69</v>
      </c>
      <c r="D140" s="287">
        <v>9327113.1699999999</v>
      </c>
      <c r="E140" s="287">
        <v>9327113.1699999999</v>
      </c>
      <c r="F140" s="237">
        <f t="shared" si="22"/>
        <v>5582191.4800000004</v>
      </c>
      <c r="G140" s="236">
        <f t="shared" si="7"/>
        <v>1.4906029930895563</v>
      </c>
      <c r="I140" s="221" t="str">
        <f>I127</f>
        <v>Амортизация зданий</v>
      </c>
      <c r="J140" s="221" t="e">
        <f t="shared" ref="J140" si="29">J127</f>
        <v>#REF!</v>
      </c>
      <c r="L140" s="221">
        <f t="shared" ref="L140:Q140" si="30">L127</f>
        <v>4025</v>
      </c>
      <c r="M140" s="221">
        <f t="shared" si="30"/>
        <v>3745</v>
      </c>
      <c r="N140" s="221">
        <f t="shared" si="30"/>
        <v>9327</v>
      </c>
      <c r="O140" s="221">
        <f t="shared" si="30"/>
        <v>5582</v>
      </c>
      <c r="P140" s="317">
        <f t="shared" si="30"/>
        <v>1.4905206942590121</v>
      </c>
      <c r="Q140" s="317">
        <f t="shared" si="30"/>
        <v>1.3172670807453417</v>
      </c>
    </row>
    <row r="141" spans="1:17" ht="11.1" customHeight="1" outlineLevel="5" x14ac:dyDescent="0.2">
      <c r="A141" s="235" t="s">
        <v>139</v>
      </c>
      <c r="B141" s="287">
        <v>0</v>
      </c>
      <c r="C141" s="287">
        <v>0</v>
      </c>
      <c r="D141" s="287">
        <v>0</v>
      </c>
      <c r="E141" s="287">
        <v>0</v>
      </c>
      <c r="F141" s="237">
        <f t="shared" si="22"/>
        <v>0</v>
      </c>
      <c r="G141" s="236" t="e">
        <f t="shared" si="7"/>
        <v>#DIV/0!</v>
      </c>
      <c r="I141" s="221" t="str">
        <f>I172</f>
        <v>ФОТ</v>
      </c>
      <c r="J141" s="221" t="e">
        <f t="shared" ref="J141" si="31">J172</f>
        <v>#REF!</v>
      </c>
      <c r="L141" s="221">
        <f t="shared" ref="L141:Q141" si="32">L172</f>
        <v>2935473</v>
      </c>
      <c r="M141" s="221">
        <f t="shared" si="32"/>
        <v>3408561</v>
      </c>
      <c r="N141" s="221">
        <f t="shared" si="32"/>
        <v>3233917</v>
      </c>
      <c r="O141" s="221">
        <f t="shared" si="32"/>
        <v>-174644</v>
      </c>
      <c r="P141" s="317">
        <f t="shared" si="32"/>
        <v>-5.123687092588336E-2</v>
      </c>
      <c r="Q141" s="317">
        <f t="shared" si="32"/>
        <v>0.10166811277092314</v>
      </c>
    </row>
    <row r="142" spans="1:17" ht="11.1" customHeight="1" outlineLevel="4" x14ac:dyDescent="0.2">
      <c r="A142" s="234" t="s">
        <v>140</v>
      </c>
      <c r="B142" s="285">
        <v>821143820.87</v>
      </c>
      <c r="C142" s="285">
        <v>795299345.23000002</v>
      </c>
      <c r="D142" s="285">
        <v>1026132079.99</v>
      </c>
      <c r="E142" s="285">
        <v>899075965.61000001</v>
      </c>
      <c r="F142" s="229">
        <f t="shared" si="22"/>
        <v>230832734.75999999</v>
      </c>
      <c r="G142" s="228">
        <f t="shared" si="7"/>
        <v>0.29024635333157889</v>
      </c>
      <c r="I142" s="221" t="str">
        <f>I174</f>
        <v>Авиапревозки</v>
      </c>
      <c r="J142" s="221" t="e">
        <f t="shared" ref="J142" si="33">J174</f>
        <v>#REF!</v>
      </c>
      <c r="L142" s="221">
        <f t="shared" ref="L142:Q142" si="34">L174</f>
        <v>220370</v>
      </c>
      <c r="M142" s="221">
        <f t="shared" si="34"/>
        <v>202922</v>
      </c>
      <c r="N142" s="221">
        <f t="shared" si="34"/>
        <v>191228</v>
      </c>
      <c r="O142" s="221">
        <f t="shared" si="34"/>
        <v>-11694</v>
      </c>
      <c r="P142" s="317">
        <f t="shared" si="34"/>
        <v>-5.7628054129172823E-2</v>
      </c>
      <c r="Q142" s="317">
        <f t="shared" si="34"/>
        <v>-0.13224123065753046</v>
      </c>
    </row>
    <row r="143" spans="1:17" ht="11.1" customHeight="1" outlineLevel="5" x14ac:dyDescent="0.2">
      <c r="A143" s="238" t="s">
        <v>141</v>
      </c>
      <c r="B143" s="285">
        <v>28356297.73</v>
      </c>
      <c r="C143" s="285">
        <v>18575490.98</v>
      </c>
      <c r="D143" s="285">
        <v>16750194.83</v>
      </c>
      <c r="E143" s="285">
        <v>16750194.83</v>
      </c>
      <c r="F143" s="229">
        <f t="shared" si="22"/>
        <v>-1825296.1500000004</v>
      </c>
      <c r="G143" s="228">
        <f t="shared" si="7"/>
        <v>-9.8263682610880809E-2</v>
      </c>
      <c r="I143" s="221" t="str">
        <f>I179</f>
        <v>Содержание имущества</v>
      </c>
      <c r="J143" s="221" t="e">
        <f t="shared" ref="J143" si="35">J179</f>
        <v>#REF!</v>
      </c>
      <c r="L143" s="221">
        <f t="shared" ref="L143:Q143" si="36">L179</f>
        <v>118630</v>
      </c>
      <c r="M143" s="221">
        <f t="shared" si="36"/>
        <v>127774</v>
      </c>
      <c r="N143" s="221">
        <f t="shared" si="36"/>
        <v>106409</v>
      </c>
      <c r="O143" s="221">
        <f t="shared" si="36"/>
        <v>-21365</v>
      </c>
      <c r="P143" s="317">
        <f t="shared" si="36"/>
        <v>-0.16720929140513718</v>
      </c>
      <c r="Q143" s="317">
        <f t="shared" si="36"/>
        <v>-0.10301778639467252</v>
      </c>
    </row>
    <row r="144" spans="1:17" ht="11.1" customHeight="1" outlineLevel="6" x14ac:dyDescent="0.2">
      <c r="A144" s="239" t="s">
        <v>142</v>
      </c>
      <c r="B144" s="287">
        <v>11324.66</v>
      </c>
      <c r="C144" s="287">
        <v>43199.98</v>
      </c>
      <c r="D144" s="287">
        <v>17699.349999999999</v>
      </c>
      <c r="E144" s="287">
        <v>17699.349999999999</v>
      </c>
      <c r="F144" s="237">
        <f t="shared" si="22"/>
        <v>-25500.630000000005</v>
      </c>
      <c r="G144" s="236">
        <f t="shared" si="7"/>
        <v>-0.59029263439473822</v>
      </c>
      <c r="I144" s="221" t="str">
        <f>I175</f>
        <v>Пассажирские перевозки</v>
      </c>
      <c r="J144" s="221" t="e">
        <f t="shared" ref="J144" si="37">J175</f>
        <v>#REF!</v>
      </c>
      <c r="L144" s="221">
        <f t="shared" ref="L144:Q144" si="38">L175</f>
        <v>56959</v>
      </c>
      <c r="M144" s="221">
        <f t="shared" si="38"/>
        <v>56828</v>
      </c>
      <c r="N144" s="221">
        <f t="shared" si="38"/>
        <v>51941</v>
      </c>
      <c r="O144" s="221">
        <f t="shared" si="38"/>
        <v>-4887</v>
      </c>
      <c r="P144" s="317">
        <f t="shared" si="38"/>
        <v>-8.5996339832476898E-2</v>
      </c>
      <c r="Q144" s="317">
        <f t="shared" si="38"/>
        <v>-8.8098456784704737E-2</v>
      </c>
    </row>
    <row r="145" spans="1:17" ht="11.1" customHeight="1" outlineLevel="6" x14ac:dyDescent="0.2">
      <c r="A145" s="239" t="s">
        <v>143</v>
      </c>
      <c r="B145" s="287">
        <v>0</v>
      </c>
      <c r="C145" s="287">
        <v>0</v>
      </c>
      <c r="D145" s="287">
        <v>20207.54</v>
      </c>
      <c r="E145" s="287">
        <v>20207.54</v>
      </c>
      <c r="F145" s="237">
        <f t="shared" si="22"/>
        <v>20207.54</v>
      </c>
      <c r="G145" s="236" t="e">
        <f t="shared" si="7"/>
        <v>#DIV/0!</v>
      </c>
      <c r="I145" s="221" t="str">
        <f>I173</f>
        <v>Упаковка</v>
      </c>
      <c r="J145" s="221" t="e">
        <f t="shared" ref="J145" si="39">J173</f>
        <v>#REF!</v>
      </c>
      <c r="L145" s="221">
        <f t="shared" ref="L145:Q145" si="40">L173</f>
        <v>58724</v>
      </c>
      <c r="M145" s="221">
        <f t="shared" si="40"/>
        <v>45366</v>
      </c>
      <c r="N145" s="221">
        <f t="shared" si="40"/>
        <v>36280</v>
      </c>
      <c r="O145" s="221">
        <f t="shared" si="40"/>
        <v>-9086</v>
      </c>
      <c r="P145" s="317">
        <f t="shared" si="40"/>
        <v>-0.20028214962747437</v>
      </c>
      <c r="Q145" s="317">
        <f t="shared" si="40"/>
        <v>-0.38219467338737145</v>
      </c>
    </row>
    <row r="146" spans="1:17" ht="11.1" customHeight="1" outlineLevel="6" x14ac:dyDescent="0.2">
      <c r="A146" s="239" t="s">
        <v>144</v>
      </c>
      <c r="B146" s="287">
        <v>13960263.16</v>
      </c>
      <c r="C146" s="287">
        <v>6555372</v>
      </c>
      <c r="D146" s="287">
        <v>6506184.7599999998</v>
      </c>
      <c r="E146" s="287">
        <v>6506184.7599999998</v>
      </c>
      <c r="F146" s="237">
        <f t="shared" si="22"/>
        <v>-49187.240000000224</v>
      </c>
      <c r="G146" s="236">
        <f t="shared" si="7"/>
        <v>-7.5033483988399263E-3</v>
      </c>
      <c r="I146" s="221" t="str">
        <f>I177</f>
        <v>Безопасность</v>
      </c>
      <c r="J146" s="221" t="e">
        <f t="shared" ref="J146" si="41">J177</f>
        <v>#REF!</v>
      </c>
      <c r="L146" s="221">
        <f t="shared" ref="L146:Q146" si="42">L177</f>
        <v>28533</v>
      </c>
      <c r="M146" s="221">
        <f t="shared" si="42"/>
        <v>35278</v>
      </c>
      <c r="N146" s="221">
        <f t="shared" si="42"/>
        <v>29803</v>
      </c>
      <c r="O146" s="221">
        <f t="shared" si="42"/>
        <v>-5475</v>
      </c>
      <c r="P146" s="317">
        <f t="shared" si="42"/>
        <v>-0.15519587278190372</v>
      </c>
      <c r="Q146" s="317">
        <f t="shared" si="42"/>
        <v>4.4509865769460033E-2</v>
      </c>
    </row>
    <row r="147" spans="1:17" ht="11.1" customHeight="1" outlineLevel="6" x14ac:dyDescent="0.2">
      <c r="A147" s="239" t="s">
        <v>145</v>
      </c>
      <c r="B147" s="287">
        <v>14384709.91</v>
      </c>
      <c r="C147" s="287">
        <v>11976919</v>
      </c>
      <c r="D147" s="287">
        <v>10206103.18</v>
      </c>
      <c r="E147" s="287">
        <v>10206103.18</v>
      </c>
      <c r="F147" s="237">
        <f t="shared" si="22"/>
        <v>-1770815.8200000003</v>
      </c>
      <c r="G147" s="236">
        <f t="shared" si="7"/>
        <v>-0.14785236670632906</v>
      </c>
      <c r="I147" s="221" t="str">
        <f>I176</f>
        <v>Расходы на персонал</v>
      </c>
      <c r="J147" s="221" t="e">
        <f t="shared" ref="J147" si="43">J176</f>
        <v>#REF!</v>
      </c>
      <c r="L147" s="221">
        <f t="shared" ref="L147:Q147" si="44">L176</f>
        <v>21101</v>
      </c>
      <c r="M147" s="221">
        <f t="shared" si="44"/>
        <v>27542</v>
      </c>
      <c r="N147" s="221">
        <f t="shared" si="44"/>
        <v>19554</v>
      </c>
      <c r="O147" s="221">
        <f t="shared" si="44"/>
        <v>-7988</v>
      </c>
      <c r="P147" s="317">
        <f t="shared" si="44"/>
        <v>-0.29002977271076902</v>
      </c>
      <c r="Q147" s="317">
        <f t="shared" si="44"/>
        <v>-7.3314060944978943E-2</v>
      </c>
    </row>
    <row r="148" spans="1:17" ht="11.1" customHeight="1" outlineLevel="5" x14ac:dyDescent="0.2">
      <c r="A148" s="238" t="s">
        <v>146</v>
      </c>
      <c r="B148" s="285">
        <v>507857615.10000002</v>
      </c>
      <c r="C148" s="285">
        <v>587157068.05999994</v>
      </c>
      <c r="D148" s="285">
        <v>832521595.25</v>
      </c>
      <c r="E148" s="285">
        <v>705465480.87</v>
      </c>
      <c r="F148" s="229">
        <f t="shared" si="22"/>
        <v>245364527.19000006</v>
      </c>
      <c r="G148" s="228">
        <f t="shared" si="7"/>
        <v>0.41788567410198829</v>
      </c>
      <c r="I148" s="221" t="str">
        <f>I180</f>
        <v>Налог на имущество</v>
      </c>
      <c r="J148" s="221" t="e">
        <f t="shared" ref="J148" si="45">J180</f>
        <v>#REF!</v>
      </c>
      <c r="L148" s="221">
        <f t="shared" ref="L148:Q148" si="46">L180</f>
        <v>13321</v>
      </c>
      <c r="M148" s="221">
        <f t="shared" si="46"/>
        <v>8807</v>
      </c>
      <c r="N148" s="221">
        <f t="shared" si="46"/>
        <v>4564</v>
      </c>
      <c r="O148" s="221">
        <f t="shared" si="46"/>
        <v>-4243</v>
      </c>
      <c r="P148" s="317">
        <f t="shared" si="46"/>
        <v>-0.48177586011127516</v>
      </c>
      <c r="Q148" s="317">
        <f t="shared" si="46"/>
        <v>-0.65738307934839724</v>
      </c>
    </row>
    <row r="149" spans="1:17" ht="11.1" customHeight="1" outlineLevel="6" x14ac:dyDescent="0.2">
      <c r="A149" s="242" t="s">
        <v>147</v>
      </c>
      <c r="B149" s="285">
        <v>11404090.35</v>
      </c>
      <c r="C149" s="285">
        <v>8340818</v>
      </c>
      <c r="D149" s="285">
        <v>10295199.939999999</v>
      </c>
      <c r="E149" s="285">
        <v>10295199.939999999</v>
      </c>
      <c r="F149" s="322">
        <f t="shared" si="22"/>
        <v>1954381.9399999995</v>
      </c>
      <c r="G149" s="228">
        <f t="shared" si="7"/>
        <v>0.23431538009821096</v>
      </c>
      <c r="I149" s="221" t="str">
        <f>I178</f>
        <v>Расходы на рекламу и PR</v>
      </c>
      <c r="J149" s="221" t="e">
        <f t="shared" ref="J149" si="47">J178</f>
        <v>#REF!</v>
      </c>
      <c r="L149" s="221">
        <f t="shared" ref="L149:Q149" si="48">L178</f>
        <v>4361</v>
      </c>
      <c r="M149" s="221">
        <f t="shared" si="48"/>
        <v>7657</v>
      </c>
      <c r="N149" s="221">
        <f t="shared" si="48"/>
        <v>2685</v>
      </c>
      <c r="O149" s="221">
        <f t="shared" si="48"/>
        <v>-4972</v>
      </c>
      <c r="P149" s="317">
        <f t="shared" si="48"/>
        <v>-0.64934047277001439</v>
      </c>
      <c r="Q149" s="317">
        <f t="shared" si="48"/>
        <v>-0.38431552396239399</v>
      </c>
    </row>
    <row r="150" spans="1:17" ht="11.1" customHeight="1" outlineLevel="7" x14ac:dyDescent="0.2">
      <c r="A150" s="243" t="s">
        <v>148</v>
      </c>
      <c r="B150" s="287">
        <v>11390705.689999999</v>
      </c>
      <c r="C150" s="287">
        <v>8317418</v>
      </c>
      <c r="D150" s="287">
        <v>10279599.939999999</v>
      </c>
      <c r="E150" s="287">
        <v>10279599.939999999</v>
      </c>
      <c r="F150" s="237">
        <f t="shared" si="22"/>
        <v>1962181.9399999995</v>
      </c>
      <c r="G150" s="236">
        <f t="shared" si="7"/>
        <v>0.23591238771455281</v>
      </c>
      <c r="P150" s="317"/>
      <c r="Q150" s="317"/>
    </row>
    <row r="151" spans="1:17" ht="11.1" customHeight="1" outlineLevel="7" x14ac:dyDescent="0.2">
      <c r="A151" s="243" t="s">
        <v>149</v>
      </c>
      <c r="B151" s="287">
        <v>13384.66</v>
      </c>
      <c r="C151" s="287">
        <v>23400</v>
      </c>
      <c r="D151" s="287">
        <v>15600</v>
      </c>
      <c r="E151" s="287">
        <v>15600</v>
      </c>
      <c r="F151" s="237">
        <f t="shared" si="22"/>
        <v>-7800</v>
      </c>
      <c r="G151" s="236">
        <f t="shared" si="7"/>
        <v>-0.33333333333333337</v>
      </c>
      <c r="P151" s="317"/>
      <c r="Q151" s="317"/>
    </row>
    <row r="152" spans="1:17" ht="11.1" customHeight="1" outlineLevel="6" x14ac:dyDescent="0.2">
      <c r="A152" s="242" t="s">
        <v>150</v>
      </c>
      <c r="B152" s="285">
        <v>295306.89</v>
      </c>
      <c r="C152" s="285">
        <v>2845001</v>
      </c>
      <c r="D152" s="285">
        <v>1619900.94</v>
      </c>
      <c r="E152" s="285">
        <v>1619900.94</v>
      </c>
      <c r="F152" s="229">
        <f t="shared" si="22"/>
        <v>-1225100.06</v>
      </c>
      <c r="G152" s="228">
        <f t="shared" si="7"/>
        <v>-0.43061498396661368</v>
      </c>
      <c r="P152" s="317"/>
      <c r="Q152" s="317"/>
    </row>
    <row r="153" spans="1:17" ht="11.1" customHeight="1" outlineLevel="7" x14ac:dyDescent="0.2">
      <c r="A153" s="243" t="s">
        <v>151</v>
      </c>
      <c r="B153" s="287">
        <v>276826.67</v>
      </c>
      <c r="C153" s="287">
        <v>2845001</v>
      </c>
      <c r="D153" s="287">
        <v>1579271.74</v>
      </c>
      <c r="E153" s="287">
        <v>1579271.74</v>
      </c>
      <c r="F153" s="237">
        <f t="shared" si="22"/>
        <v>-1265729.26</v>
      </c>
      <c r="G153" s="236">
        <f t="shared" si="7"/>
        <v>-0.44489589283096909</v>
      </c>
      <c r="P153" s="317"/>
      <c r="Q153" s="317"/>
    </row>
    <row r="154" spans="1:17" ht="11.1" customHeight="1" outlineLevel="7" x14ac:dyDescent="0.2">
      <c r="A154" s="243" t="s">
        <v>152</v>
      </c>
      <c r="B154" s="287">
        <v>18480.22</v>
      </c>
      <c r="C154" s="287">
        <v>0</v>
      </c>
      <c r="D154" s="287">
        <v>40629.199999999997</v>
      </c>
      <c r="E154" s="287">
        <v>40629.199999999997</v>
      </c>
      <c r="F154" s="237">
        <f t="shared" si="22"/>
        <v>40629.199999999997</v>
      </c>
      <c r="G154" s="236" t="e">
        <f t="shared" si="7"/>
        <v>#DIV/0!</v>
      </c>
      <c r="P154" s="317"/>
      <c r="Q154" s="317"/>
    </row>
    <row r="155" spans="1:17" ht="11.1" customHeight="1" outlineLevel="6" x14ac:dyDescent="0.2">
      <c r="A155" s="242" t="s">
        <v>153</v>
      </c>
      <c r="B155" s="285">
        <v>44270590.240000002</v>
      </c>
      <c r="C155" s="285">
        <v>194168568.74000001</v>
      </c>
      <c r="D155" s="285">
        <v>230446327.94</v>
      </c>
      <c r="E155" s="285">
        <v>225852448.5</v>
      </c>
      <c r="F155" s="322">
        <f t="shared" si="22"/>
        <v>36277759.199999988</v>
      </c>
      <c r="G155" s="228">
        <f t="shared" si="7"/>
        <v>0.18683641454131261</v>
      </c>
      <c r="P155" s="317"/>
      <c r="Q155" s="317"/>
    </row>
    <row r="156" spans="1:17" ht="11.1" customHeight="1" outlineLevel="7" x14ac:dyDescent="0.2">
      <c r="A156" s="243" t="s">
        <v>154</v>
      </c>
      <c r="B156" s="287">
        <v>60159.77</v>
      </c>
      <c r="C156" s="287">
        <v>754310.24</v>
      </c>
      <c r="D156" s="287">
        <v>8549219.6799999997</v>
      </c>
      <c r="E156" s="287">
        <v>8175886.3499999996</v>
      </c>
      <c r="F156" s="237">
        <f t="shared" si="22"/>
        <v>7794909.4399999995</v>
      </c>
      <c r="G156" s="236">
        <f t="shared" si="7"/>
        <v>10.333824236563458</v>
      </c>
      <c r="P156" s="317"/>
      <c r="Q156" s="317"/>
    </row>
    <row r="157" spans="1:17" ht="11.1" customHeight="1" outlineLevel="7" x14ac:dyDescent="0.2">
      <c r="A157" s="243" t="s">
        <v>155</v>
      </c>
      <c r="B157" s="287">
        <v>44210430.469999999</v>
      </c>
      <c r="C157" s="287">
        <v>193414258.5</v>
      </c>
      <c r="D157" s="287">
        <v>221897108.25999999</v>
      </c>
      <c r="E157" s="287">
        <v>217676562.15000001</v>
      </c>
      <c r="F157" s="237">
        <f t="shared" si="22"/>
        <v>28482849.75999999</v>
      </c>
      <c r="G157" s="236">
        <f t="shared" si="7"/>
        <v>0.14726344366178146</v>
      </c>
      <c r="P157" s="317"/>
      <c r="Q157" s="317"/>
    </row>
    <row r="158" spans="1:17" ht="11.1" customHeight="1" outlineLevel="6" x14ac:dyDescent="0.2">
      <c r="A158" s="242" t="s">
        <v>156</v>
      </c>
      <c r="B158" s="285">
        <v>160365750.93000001</v>
      </c>
      <c r="C158" s="285">
        <v>118083154.05</v>
      </c>
      <c r="D158" s="285">
        <v>341353312.50999999</v>
      </c>
      <c r="E158" s="285">
        <v>223935312.50999999</v>
      </c>
      <c r="F158" s="322">
        <f t="shared" si="22"/>
        <v>223270158.45999998</v>
      </c>
      <c r="G158" s="228">
        <f t="shared" si="7"/>
        <v>1.8907875577701847</v>
      </c>
    </row>
    <row r="159" spans="1:17" ht="11.1" customHeight="1" outlineLevel="7" x14ac:dyDescent="0.2">
      <c r="A159" s="243" t="s">
        <v>157</v>
      </c>
      <c r="B159" s="287">
        <v>16539937.630000001</v>
      </c>
      <c r="C159" s="287">
        <v>1775600</v>
      </c>
      <c r="D159" s="287">
        <v>6331132.6399999997</v>
      </c>
      <c r="E159" s="287">
        <v>6331132.6399999997</v>
      </c>
      <c r="F159" s="237">
        <f t="shared" si="22"/>
        <v>4555532.6399999997</v>
      </c>
      <c r="G159" s="236">
        <f t="shared" si="7"/>
        <v>2.5656300067582789</v>
      </c>
    </row>
    <row r="160" spans="1:17" ht="11.1" customHeight="1" outlineLevel="7" x14ac:dyDescent="0.2">
      <c r="A160" s="243" t="s">
        <v>158</v>
      </c>
      <c r="B160" s="287">
        <v>143825813.30000001</v>
      </c>
      <c r="C160" s="287">
        <v>116307554.05</v>
      </c>
      <c r="D160" s="287">
        <v>335022179.87</v>
      </c>
      <c r="E160" s="287">
        <v>217604179.87</v>
      </c>
      <c r="F160" s="237">
        <f t="shared" si="22"/>
        <v>218714625.81999999</v>
      </c>
      <c r="G160" s="236">
        <f t="shared" si="7"/>
        <v>1.880485129331976</v>
      </c>
    </row>
    <row r="161" spans="1:17" ht="11.1" customHeight="1" outlineLevel="6" x14ac:dyDescent="0.2">
      <c r="A161" s="242" t="s">
        <v>159</v>
      </c>
      <c r="B161" s="285">
        <v>6332831.6100000003</v>
      </c>
      <c r="C161" s="285">
        <v>3130021.23</v>
      </c>
      <c r="D161" s="285">
        <v>3890685.29</v>
      </c>
      <c r="E161" s="285">
        <v>3890685.29</v>
      </c>
      <c r="F161" s="322">
        <f t="shared" si="22"/>
        <v>760664.06</v>
      </c>
      <c r="G161" s="228">
        <f t="shared" si="7"/>
        <v>0.2430220129848768</v>
      </c>
    </row>
    <row r="162" spans="1:17" ht="11.1" customHeight="1" outlineLevel="7" x14ac:dyDescent="0.2">
      <c r="A162" s="243" t="s">
        <v>160</v>
      </c>
      <c r="B162" s="287">
        <v>10653.34</v>
      </c>
      <c r="C162" s="287">
        <v>167400</v>
      </c>
      <c r="D162" s="287">
        <v>34666.699999999997</v>
      </c>
      <c r="E162" s="287">
        <v>34666.699999999997</v>
      </c>
      <c r="F162" s="237">
        <f t="shared" si="22"/>
        <v>-132733.29999999999</v>
      </c>
      <c r="G162" s="236">
        <f t="shared" si="7"/>
        <v>-0.79291099163679812</v>
      </c>
    </row>
    <row r="163" spans="1:17" ht="11.1" customHeight="1" outlineLevel="7" x14ac:dyDescent="0.2">
      <c r="A163" s="243" t="s">
        <v>161</v>
      </c>
      <c r="B163" s="287">
        <v>6322178.2699999996</v>
      </c>
      <c r="C163" s="287">
        <v>2962621.23</v>
      </c>
      <c r="D163" s="287">
        <v>3856018.59</v>
      </c>
      <c r="E163" s="287">
        <v>3856018.59</v>
      </c>
      <c r="F163" s="237">
        <f t="shared" si="22"/>
        <v>893397.35999999987</v>
      </c>
      <c r="G163" s="236">
        <f t="shared" si="7"/>
        <v>0.30155638896842718</v>
      </c>
    </row>
    <row r="164" spans="1:17" ht="11.1" customHeight="1" outlineLevel="6" x14ac:dyDescent="0.2">
      <c r="A164" s="242" t="s">
        <v>162</v>
      </c>
      <c r="B164" s="285">
        <v>220369513.16</v>
      </c>
      <c r="C164" s="285">
        <v>202921619.46000001</v>
      </c>
      <c r="D164" s="285">
        <v>191227700.00999999</v>
      </c>
      <c r="E164" s="285">
        <v>186183465.06999999</v>
      </c>
      <c r="F164" s="229">
        <f t="shared" si="22"/>
        <v>-11693919.450000018</v>
      </c>
      <c r="G164" s="228">
        <f t="shared" si="7"/>
        <v>-5.7627765248074669E-2</v>
      </c>
    </row>
    <row r="165" spans="1:17" ht="11.1" customHeight="1" outlineLevel="7" x14ac:dyDescent="0.2">
      <c r="A165" s="243" t="s">
        <v>163</v>
      </c>
      <c r="B165" s="287">
        <v>8897926.0399999991</v>
      </c>
      <c r="C165" s="287">
        <v>13546798.380000001</v>
      </c>
      <c r="D165" s="287">
        <v>6252589.5899999999</v>
      </c>
      <c r="E165" s="287">
        <v>6252589.5899999999</v>
      </c>
      <c r="F165" s="237">
        <f t="shared" si="22"/>
        <v>-7294208.790000001</v>
      </c>
      <c r="G165" s="236">
        <f t="shared" si="7"/>
        <v>-0.53844521675091173</v>
      </c>
    </row>
    <row r="166" spans="1:17" ht="11.1" customHeight="1" outlineLevel="7" x14ac:dyDescent="0.2">
      <c r="A166" s="243" t="s">
        <v>164</v>
      </c>
      <c r="B166" s="287">
        <v>211471587.12</v>
      </c>
      <c r="C166" s="287">
        <v>189374821.08000001</v>
      </c>
      <c r="D166" s="287">
        <v>184975110.41999999</v>
      </c>
      <c r="E166" s="287">
        <v>179930875.47999999</v>
      </c>
      <c r="F166" s="237">
        <f t="shared" si="22"/>
        <v>-4399710.6600000262</v>
      </c>
      <c r="G166" s="236">
        <f t="shared" si="7"/>
        <v>-2.323281751453854E-2</v>
      </c>
    </row>
    <row r="167" spans="1:17" ht="11.1" customHeight="1" outlineLevel="6" x14ac:dyDescent="0.2">
      <c r="A167" s="239" t="s">
        <v>165</v>
      </c>
      <c r="B167" s="287">
        <v>56959436.619999997</v>
      </c>
      <c r="C167" s="287">
        <v>56827803.32</v>
      </c>
      <c r="D167" s="287">
        <v>51940565.18</v>
      </c>
      <c r="E167" s="287">
        <v>51940565.18</v>
      </c>
      <c r="F167" s="237">
        <f t="shared" si="22"/>
        <v>-4887238.1400000006</v>
      </c>
      <c r="G167" s="236">
        <f t="shared" si="7"/>
        <v>-8.6000828018632625E-2</v>
      </c>
    </row>
    <row r="168" spans="1:17" ht="11.1" customHeight="1" outlineLevel="6" x14ac:dyDescent="0.2">
      <c r="A168" s="239" t="s">
        <v>166</v>
      </c>
      <c r="B168" s="287">
        <v>6407965.6200000001</v>
      </c>
      <c r="C168" s="287">
        <v>547667.86</v>
      </c>
      <c r="D168" s="287">
        <v>1184991.8</v>
      </c>
      <c r="E168" s="287">
        <v>1184991.8</v>
      </c>
      <c r="F168" s="321">
        <f t="shared" si="22"/>
        <v>637323.94000000006</v>
      </c>
      <c r="G168" s="236">
        <f t="shared" si="7"/>
        <v>1.1637052062905426</v>
      </c>
    </row>
    <row r="169" spans="1:17" ht="11.1" customHeight="1" outlineLevel="6" x14ac:dyDescent="0.2">
      <c r="A169" s="239" t="s">
        <v>167</v>
      </c>
      <c r="B169" s="287">
        <v>1452129.68</v>
      </c>
      <c r="C169" s="287">
        <v>292414.40000000002</v>
      </c>
      <c r="D169" s="287">
        <v>562911.64</v>
      </c>
      <c r="E169" s="287">
        <v>562911.64</v>
      </c>
      <c r="F169" s="321">
        <f t="shared" si="22"/>
        <v>270497.24</v>
      </c>
      <c r="G169" s="236">
        <f t="shared" si="7"/>
        <v>0.92504760367478478</v>
      </c>
    </row>
    <row r="170" spans="1:17" ht="11.1" customHeight="1" outlineLevel="5" x14ac:dyDescent="0.2">
      <c r="A170" s="238" t="s">
        <v>168</v>
      </c>
      <c r="B170" s="285">
        <v>233060321</v>
      </c>
      <c r="C170" s="285">
        <v>140966411.75</v>
      </c>
      <c r="D170" s="285">
        <v>138629866.72</v>
      </c>
      <c r="E170" s="285">
        <v>138629866.72</v>
      </c>
      <c r="F170" s="229">
        <f t="shared" si="22"/>
        <v>-2336545.0300000012</v>
      </c>
      <c r="G170" s="228">
        <f t="shared" si="7"/>
        <v>-1.657518979871464E-2</v>
      </c>
    </row>
    <row r="171" spans="1:17" ht="11.1" customHeight="1" outlineLevel="6" x14ac:dyDescent="0.2">
      <c r="A171" s="239" t="s">
        <v>168</v>
      </c>
      <c r="B171" s="287">
        <v>233060321</v>
      </c>
      <c r="C171" s="287">
        <v>138466411.75999999</v>
      </c>
      <c r="D171" s="287">
        <v>138629866.72</v>
      </c>
      <c r="E171" s="287">
        <v>138629866.72</v>
      </c>
      <c r="F171" s="237">
        <f t="shared" si="22"/>
        <v>163454.96000000834</v>
      </c>
      <c r="G171" s="236">
        <f t="shared" si="7"/>
        <v>1.1804664966932332E-3</v>
      </c>
      <c r="J171" s="221" t="s">
        <v>414</v>
      </c>
      <c r="L171" s="221" t="s">
        <v>389</v>
      </c>
      <c r="M171" s="221" t="s">
        <v>414</v>
      </c>
      <c r="N171" s="221" t="s">
        <v>754</v>
      </c>
    </row>
    <row r="172" spans="1:17" ht="11.1" customHeight="1" outlineLevel="6" x14ac:dyDescent="0.2">
      <c r="A172" s="239" t="s">
        <v>169</v>
      </c>
      <c r="B172" s="287">
        <v>0</v>
      </c>
      <c r="C172" s="287">
        <v>2499999.9900000002</v>
      </c>
      <c r="D172" s="287">
        <v>0</v>
      </c>
      <c r="E172" s="287">
        <v>0</v>
      </c>
      <c r="F172" s="237">
        <f t="shared" si="22"/>
        <v>-2499999.9900000002</v>
      </c>
      <c r="G172" s="236">
        <f t="shared" si="7"/>
        <v>-1</v>
      </c>
      <c r="I172" s="221" t="s">
        <v>868</v>
      </c>
      <c r="J172" s="226" t="e">
        <f>ROUND(#REF!/1000,0)</f>
        <v>#REF!</v>
      </c>
      <c r="L172" s="226">
        <f>ROUND(B120/1000,0)</f>
        <v>2935473</v>
      </c>
      <c r="M172" s="226">
        <f>ROUND(C120/1000,0)</f>
        <v>3408561</v>
      </c>
      <c r="N172" s="226">
        <f>ROUND(D120/1000,0)</f>
        <v>3233917</v>
      </c>
      <c r="O172" s="226">
        <f t="shared" ref="O172:O180" si="49">N172-M172</f>
        <v>-174644</v>
      </c>
      <c r="P172" s="320">
        <f t="shared" ref="P172:P180" si="50">N172/M172-100%</f>
        <v>-5.123687092588336E-2</v>
      </c>
      <c r="Q172" s="320">
        <f t="shared" ref="Q172:Q180" si="51">N172/L172-100%</f>
        <v>0.10166811277092314</v>
      </c>
    </row>
    <row r="173" spans="1:17" ht="11.1" customHeight="1" outlineLevel="5" x14ac:dyDescent="0.2">
      <c r="A173" s="235" t="s">
        <v>170</v>
      </c>
      <c r="B173" s="287">
        <v>40925275.020000003</v>
      </c>
      <c r="C173" s="287">
        <v>45269078.340000004</v>
      </c>
      <c r="D173" s="287">
        <v>33699750.719999999</v>
      </c>
      <c r="E173" s="287">
        <v>33699750.719999999</v>
      </c>
      <c r="F173" s="237">
        <f t="shared" si="22"/>
        <v>-11569327.620000005</v>
      </c>
      <c r="G173" s="236">
        <f t="shared" si="7"/>
        <v>-0.25556799573224986</v>
      </c>
      <c r="I173" s="221" t="s">
        <v>876</v>
      </c>
      <c r="J173" s="226" t="e">
        <f>ROUND(#REF!/1000,0)</f>
        <v>#REF!</v>
      </c>
      <c r="L173" s="226">
        <f>ROUND(B132/1000,0)</f>
        <v>58724</v>
      </c>
      <c r="M173" s="226">
        <f>ROUND(C132/1000,0)</f>
        <v>45366</v>
      </c>
      <c r="N173" s="226">
        <f>ROUND(D132/1000,0)</f>
        <v>36280</v>
      </c>
      <c r="O173" s="226">
        <f t="shared" si="49"/>
        <v>-9086</v>
      </c>
      <c r="P173" s="320">
        <f t="shared" si="50"/>
        <v>-0.20028214962747437</v>
      </c>
      <c r="Q173" s="320">
        <f t="shared" si="51"/>
        <v>-0.38219467338737145</v>
      </c>
    </row>
    <row r="174" spans="1:17" ht="11.1" customHeight="1" outlineLevel="5" x14ac:dyDescent="0.2">
      <c r="A174" s="235" t="s">
        <v>171</v>
      </c>
      <c r="B174" s="287">
        <v>10944312.02</v>
      </c>
      <c r="C174" s="287">
        <v>3331296.1</v>
      </c>
      <c r="D174" s="287">
        <v>4530672.47</v>
      </c>
      <c r="E174" s="287">
        <v>4530672.47</v>
      </c>
      <c r="F174" s="321">
        <f t="shared" si="22"/>
        <v>1199376.3699999996</v>
      </c>
      <c r="G174" s="236">
        <f t="shared" si="7"/>
        <v>0.36003295233948118</v>
      </c>
      <c r="I174" s="221" t="s">
        <v>877</v>
      </c>
      <c r="J174" s="226" t="e">
        <f>ROUND(#REF!/1000,0)</f>
        <v>#REF!</v>
      </c>
      <c r="L174" s="226">
        <f>ROUND(B164/1000,0)</f>
        <v>220370</v>
      </c>
      <c r="M174" s="226">
        <f>ROUND(C164/1000,0)</f>
        <v>202922</v>
      </c>
      <c r="N174" s="226">
        <f>ROUND(D164/1000,0)</f>
        <v>191228</v>
      </c>
      <c r="O174" s="226">
        <f t="shared" si="49"/>
        <v>-11694</v>
      </c>
      <c r="P174" s="320">
        <f t="shared" si="50"/>
        <v>-5.7628054129172823E-2</v>
      </c>
      <c r="Q174" s="320">
        <f t="shared" si="51"/>
        <v>-0.13224123065753046</v>
      </c>
    </row>
    <row r="175" spans="1:17" ht="11.1" customHeight="1" outlineLevel="4" x14ac:dyDescent="0.2">
      <c r="A175" s="240" t="s">
        <v>172</v>
      </c>
      <c r="B175" s="287">
        <v>91929433.609999999</v>
      </c>
      <c r="C175" s="287">
        <v>98478491.049999997</v>
      </c>
      <c r="D175" s="287">
        <v>102559051.75</v>
      </c>
      <c r="E175" s="287">
        <v>102559051.75</v>
      </c>
      <c r="F175" s="321">
        <f t="shared" si="22"/>
        <v>4080560.700000003</v>
      </c>
      <c r="G175" s="236">
        <f t="shared" si="7"/>
        <v>4.1436060367011418E-2</v>
      </c>
      <c r="I175" s="221" t="s">
        <v>878</v>
      </c>
      <c r="J175" s="226" t="e">
        <f>ROUND(#REF!/1000,0)</f>
        <v>#REF!</v>
      </c>
      <c r="L175" s="226">
        <f>ROUND(B167/1000,0)</f>
        <v>56959</v>
      </c>
      <c r="M175" s="226">
        <f>ROUND(C167/1000,0)</f>
        <v>56828</v>
      </c>
      <c r="N175" s="226">
        <f>ROUND(D167/1000,0)</f>
        <v>51941</v>
      </c>
      <c r="O175" s="226">
        <f t="shared" si="49"/>
        <v>-4887</v>
      </c>
      <c r="P175" s="320">
        <f t="shared" si="50"/>
        <v>-8.5996339832476898E-2</v>
      </c>
      <c r="Q175" s="320">
        <f t="shared" si="51"/>
        <v>-8.8098456784704737E-2</v>
      </c>
    </row>
    <row r="176" spans="1:17" ht="11.1" customHeight="1" outlineLevel="4" x14ac:dyDescent="0.2">
      <c r="A176" s="234" t="s">
        <v>173</v>
      </c>
      <c r="B176" s="285">
        <v>1949318985.4000001</v>
      </c>
      <c r="C176" s="285">
        <v>2345809509.23</v>
      </c>
      <c r="D176" s="285">
        <v>2136512283.02</v>
      </c>
      <c r="E176" s="285">
        <v>2136512283.02</v>
      </c>
      <c r="F176" s="229">
        <f t="shared" si="22"/>
        <v>-209297226.21000004</v>
      </c>
      <c r="G176" s="228">
        <f t="shared" si="7"/>
        <v>-8.9221748563335312E-2</v>
      </c>
      <c r="I176" s="221" t="s">
        <v>178</v>
      </c>
      <c r="J176" s="226" t="e">
        <f>ROUND((#REF!+#REF!+#REF!)/1000,0)</f>
        <v>#REF!</v>
      </c>
      <c r="L176" s="226">
        <f>ROUND((B181+B196+B281)/1000,0)</f>
        <v>21101</v>
      </c>
      <c r="M176" s="226">
        <f>ROUND((C181+C196+C281)/1000,0)</f>
        <v>27542</v>
      </c>
      <c r="N176" s="226">
        <f>ROUND((D181+D196+D281)/1000,0)</f>
        <v>19554</v>
      </c>
      <c r="O176" s="226">
        <f t="shared" si="49"/>
        <v>-7988</v>
      </c>
      <c r="P176" s="320">
        <f t="shared" si="50"/>
        <v>-0.29002977271076902</v>
      </c>
      <c r="Q176" s="320">
        <f t="shared" si="51"/>
        <v>-7.3314060944978943E-2</v>
      </c>
    </row>
    <row r="177" spans="1:17" ht="11.1" customHeight="1" outlineLevel="5" x14ac:dyDescent="0.2">
      <c r="A177" s="235" t="s">
        <v>174</v>
      </c>
      <c r="B177" s="287">
        <v>1385594833.5100002</v>
      </c>
      <c r="C177" s="287">
        <v>1639032593.71</v>
      </c>
      <c r="D177" s="287">
        <v>1511295225.0799999</v>
      </c>
      <c r="E177" s="287">
        <v>1511295225.0799999</v>
      </c>
      <c r="F177" s="237">
        <f t="shared" si="22"/>
        <v>-127737368.63000011</v>
      </c>
      <c r="G177" s="236">
        <f t="shared" si="7"/>
        <v>-7.7934611624081662E-2</v>
      </c>
      <c r="I177" s="221" t="str">
        <f>A246</f>
        <v>Безопасность</v>
      </c>
      <c r="J177" s="226" t="e">
        <f>ROUND(#REF!/1000,0)</f>
        <v>#REF!</v>
      </c>
      <c r="L177" s="226">
        <f>ROUND(B246/1000,0)</f>
        <v>28533</v>
      </c>
      <c r="M177" s="226">
        <f>ROUND(C246/1000,0)</f>
        <v>35278</v>
      </c>
      <c r="N177" s="226">
        <f>ROUND(D246/1000,0)</f>
        <v>29803</v>
      </c>
      <c r="O177" s="226">
        <f t="shared" si="49"/>
        <v>-5475</v>
      </c>
      <c r="P177" s="320">
        <f t="shared" si="50"/>
        <v>-0.15519587278190372</v>
      </c>
      <c r="Q177" s="320">
        <f t="shared" si="51"/>
        <v>4.4509865769460033E-2</v>
      </c>
    </row>
    <row r="178" spans="1:17" ht="11.1" customHeight="1" outlineLevel="5" x14ac:dyDescent="0.2">
      <c r="A178" s="235" t="s">
        <v>175</v>
      </c>
      <c r="B178" s="287">
        <v>455671434.92000002</v>
      </c>
      <c r="C178" s="287">
        <v>543707931.60000002</v>
      </c>
      <c r="D178" s="287">
        <v>492823745.54000002</v>
      </c>
      <c r="E178" s="287">
        <v>492823745.54000002</v>
      </c>
      <c r="F178" s="237">
        <f t="shared" si="22"/>
        <v>-50884186.060000002</v>
      </c>
      <c r="G178" s="236">
        <f t="shared" si="7"/>
        <v>-9.3587352883119146E-2</v>
      </c>
      <c r="I178" s="221" t="str">
        <f>A200</f>
        <v>Расходы на рекламу и PR</v>
      </c>
      <c r="J178" s="226" t="e">
        <f>ROUND(#REF!/1000,0)</f>
        <v>#REF!</v>
      </c>
      <c r="L178" s="226">
        <f>ROUND(B200/1000,0)</f>
        <v>4361</v>
      </c>
      <c r="M178" s="226">
        <f>ROUND(C200/1000,0)</f>
        <v>7657</v>
      </c>
      <c r="N178" s="226">
        <f>ROUND(D200/1000,0)</f>
        <v>2685</v>
      </c>
      <c r="O178" s="226">
        <f t="shared" si="49"/>
        <v>-4972</v>
      </c>
      <c r="P178" s="320">
        <f t="shared" si="50"/>
        <v>-0.64934047277001439</v>
      </c>
      <c r="Q178" s="320">
        <f t="shared" si="51"/>
        <v>-0.38431552396239399</v>
      </c>
    </row>
    <row r="179" spans="1:17" ht="11.1" customHeight="1" outlineLevel="5" x14ac:dyDescent="0.2">
      <c r="A179" s="235" t="s">
        <v>176</v>
      </c>
      <c r="B179" s="287">
        <v>108001058.87</v>
      </c>
      <c r="C179" s="287">
        <v>161169583.91999999</v>
      </c>
      <c r="D179" s="287">
        <v>132002056.87</v>
      </c>
      <c r="E179" s="287">
        <v>132002056.87</v>
      </c>
      <c r="F179" s="237">
        <f t="shared" si="22"/>
        <v>-29167527.049999982</v>
      </c>
      <c r="G179" s="236">
        <f t="shared" si="7"/>
        <v>-0.18097414127766143</v>
      </c>
      <c r="I179" s="221" t="s">
        <v>879</v>
      </c>
      <c r="J179" s="226" t="e">
        <f>ROUND((#REF!+#REF!+#REF!+#REF!+#REF!+#REF!)/1000,0)</f>
        <v>#REF!</v>
      </c>
      <c r="L179" s="226">
        <f>ROUND((B173+B240+B266+B267+B268+B271)/1000,0)</f>
        <v>118630</v>
      </c>
      <c r="M179" s="226">
        <f>ROUND((C173+C240+C266+C267+C268+C271)/1000,0)</f>
        <v>127774</v>
      </c>
      <c r="N179" s="226">
        <f>ROUND((D173+D240+D266+D267+D268+D271)/1000,0)</f>
        <v>106409</v>
      </c>
      <c r="O179" s="226">
        <f t="shared" si="49"/>
        <v>-21365</v>
      </c>
      <c r="P179" s="320">
        <f t="shared" si="50"/>
        <v>-0.16720929140513718</v>
      </c>
      <c r="Q179" s="320">
        <f t="shared" si="51"/>
        <v>-0.10301778639467252</v>
      </c>
    </row>
    <row r="180" spans="1:17" ht="11.1" customHeight="1" outlineLevel="5" x14ac:dyDescent="0.2">
      <c r="A180" s="235" t="s">
        <v>177</v>
      </c>
      <c r="B180" s="287">
        <v>51658.1</v>
      </c>
      <c r="C180" s="287">
        <v>1899400</v>
      </c>
      <c r="D180" s="287">
        <v>391255.53</v>
      </c>
      <c r="E180" s="287">
        <v>391255.53</v>
      </c>
      <c r="F180" s="237">
        <f t="shared" si="22"/>
        <v>-1508144.47</v>
      </c>
      <c r="G180" s="236">
        <f t="shared" si="7"/>
        <v>-0.79401098768032008</v>
      </c>
      <c r="I180" s="221" t="str">
        <f>A296</f>
        <v>Налог на имущество</v>
      </c>
      <c r="J180" s="226" t="e">
        <f>ROUND(#REF!/1000,0)</f>
        <v>#REF!</v>
      </c>
      <c r="L180" s="226">
        <f>ROUND(B296/1000,0)</f>
        <v>13321</v>
      </c>
      <c r="M180" s="226">
        <f>ROUND(C296/1000,0)</f>
        <v>8807</v>
      </c>
      <c r="N180" s="226">
        <f>ROUND(D296/1000,0)</f>
        <v>4564</v>
      </c>
      <c r="O180" s="226">
        <f t="shared" si="49"/>
        <v>-4243</v>
      </c>
      <c r="P180" s="320">
        <f t="shared" si="50"/>
        <v>-0.48177586011127516</v>
      </c>
      <c r="Q180" s="320">
        <f t="shared" si="51"/>
        <v>-0.65738307934839724</v>
      </c>
    </row>
    <row r="181" spans="1:17" ht="11.1" customHeight="1" outlineLevel="4" x14ac:dyDescent="0.2">
      <c r="A181" s="234" t="s">
        <v>178</v>
      </c>
      <c r="B181" s="285">
        <v>17201377.059999999</v>
      </c>
      <c r="C181" s="285">
        <v>21914962.120000001</v>
      </c>
      <c r="D181" s="285">
        <v>16003926.32</v>
      </c>
      <c r="E181" s="285">
        <v>16003926.32</v>
      </c>
      <c r="F181" s="229">
        <f t="shared" si="22"/>
        <v>-5911035.8000000007</v>
      </c>
      <c r="G181" s="228">
        <f t="shared" si="7"/>
        <v>-0.26972603318376165</v>
      </c>
    </row>
    <row r="182" spans="1:17" ht="11.1" customHeight="1" outlineLevel="5" x14ac:dyDescent="0.2">
      <c r="A182" s="235" t="s">
        <v>179</v>
      </c>
      <c r="B182" s="287">
        <v>2063417.6</v>
      </c>
      <c r="C182" s="287">
        <v>2959114.1</v>
      </c>
      <c r="D182" s="287">
        <v>1046983.33</v>
      </c>
      <c r="E182" s="287">
        <v>1046983.33</v>
      </c>
      <c r="F182" s="237">
        <f t="shared" si="22"/>
        <v>-1912130.77</v>
      </c>
      <c r="G182" s="236">
        <f t="shared" si="7"/>
        <v>-0.64618352161547277</v>
      </c>
    </row>
    <row r="183" spans="1:17" ht="11.1" customHeight="1" outlineLevel="5" x14ac:dyDescent="0.2">
      <c r="A183" s="235" t="s">
        <v>180</v>
      </c>
      <c r="B183" s="287">
        <v>38990.54</v>
      </c>
      <c r="C183" s="287">
        <v>200364</v>
      </c>
      <c r="D183" s="287">
        <v>19350.57</v>
      </c>
      <c r="E183" s="287">
        <v>19350.57</v>
      </c>
      <c r="F183" s="237">
        <f t="shared" si="22"/>
        <v>-181013.43</v>
      </c>
      <c r="G183" s="236">
        <f t="shared" si="7"/>
        <v>-0.9034229202850812</v>
      </c>
    </row>
    <row r="184" spans="1:17" ht="11.1" customHeight="1" outlineLevel="5" x14ac:dyDescent="0.2">
      <c r="A184" s="235" t="s">
        <v>181</v>
      </c>
      <c r="B184" s="287">
        <v>15098968.92</v>
      </c>
      <c r="C184" s="287">
        <v>18755484.02</v>
      </c>
      <c r="D184" s="287">
        <v>14937592.42</v>
      </c>
      <c r="E184" s="287">
        <v>14937592.42</v>
      </c>
      <c r="F184" s="237">
        <f t="shared" si="22"/>
        <v>-3817891.5999999996</v>
      </c>
      <c r="G184" s="236">
        <f t="shared" si="7"/>
        <v>-0.20356134749328636</v>
      </c>
    </row>
    <row r="185" spans="1:17" ht="11.1" customHeight="1" outlineLevel="4" x14ac:dyDescent="0.2">
      <c r="A185" s="240" t="s">
        <v>182</v>
      </c>
      <c r="B185" s="287">
        <v>0</v>
      </c>
      <c r="C185" s="287">
        <v>0</v>
      </c>
      <c r="D185" s="287">
        <v>0</v>
      </c>
      <c r="E185" s="287">
        <v>0</v>
      </c>
      <c r="F185" s="237">
        <f t="shared" si="22"/>
        <v>0</v>
      </c>
      <c r="G185" s="236" t="e">
        <f t="shared" ref="G185:G248" si="52">D185/C185-1</f>
        <v>#DIV/0!</v>
      </c>
    </row>
    <row r="186" spans="1:17" ht="11.1" customHeight="1" outlineLevel="4" x14ac:dyDescent="0.2">
      <c r="A186" s="240" t="s">
        <v>183</v>
      </c>
      <c r="B186" s="287">
        <v>2680414.7200000002</v>
      </c>
      <c r="C186" s="287">
        <v>3210237.82</v>
      </c>
      <c r="D186" s="287">
        <v>399705.85</v>
      </c>
      <c r="E186" s="287">
        <v>399705.85</v>
      </c>
      <c r="F186" s="237">
        <f t="shared" si="22"/>
        <v>-2810531.9699999997</v>
      </c>
      <c r="G186" s="236">
        <f t="shared" si="52"/>
        <v>-0.87549026819452269</v>
      </c>
    </row>
    <row r="187" spans="1:17" ht="11.1" customHeight="1" outlineLevel="4" x14ac:dyDescent="0.2">
      <c r="A187" s="240" t="s">
        <v>184</v>
      </c>
      <c r="B187" s="287">
        <v>3472518.45</v>
      </c>
      <c r="C187" s="287">
        <v>2452134.1800000002</v>
      </c>
      <c r="D187" s="287">
        <v>1773014.97</v>
      </c>
      <c r="E187" s="287">
        <v>1773014.97</v>
      </c>
      <c r="F187" s="237">
        <f t="shared" si="22"/>
        <v>-679119.2100000002</v>
      </c>
      <c r="G187" s="236">
        <f t="shared" si="52"/>
        <v>-0.27695026460583005</v>
      </c>
    </row>
    <row r="188" spans="1:17" ht="11.1" customHeight="1" outlineLevel="3" x14ac:dyDescent="0.2">
      <c r="A188" s="246" t="s">
        <v>185</v>
      </c>
      <c r="B188" s="284">
        <v>130335672.28</v>
      </c>
      <c r="C188" s="284">
        <v>164231614.72999999</v>
      </c>
      <c r="D188" s="284">
        <v>135778866.97999999</v>
      </c>
      <c r="E188" s="284">
        <v>135778866.97999999</v>
      </c>
      <c r="F188" s="225">
        <f t="shared" si="22"/>
        <v>-28452747.75</v>
      </c>
      <c r="G188" s="224">
        <f t="shared" si="52"/>
        <v>-0.17324768922705214</v>
      </c>
    </row>
    <row r="189" spans="1:17" ht="11.1" customHeight="1" outlineLevel="4" x14ac:dyDescent="0.2">
      <c r="A189" s="240" t="s">
        <v>186</v>
      </c>
      <c r="B189" s="287">
        <v>3053686.96</v>
      </c>
      <c r="C189" s="287">
        <v>5474658</v>
      </c>
      <c r="D189" s="287">
        <v>4075133.95</v>
      </c>
      <c r="E189" s="287">
        <v>4075133.95</v>
      </c>
      <c r="F189" s="237">
        <f t="shared" si="22"/>
        <v>-1399524.0499999998</v>
      </c>
      <c r="G189" s="236">
        <f t="shared" si="52"/>
        <v>-0.2556367995955181</v>
      </c>
    </row>
    <row r="190" spans="1:17" ht="11.1" customHeight="1" outlineLevel="4" x14ac:dyDescent="0.2">
      <c r="A190" s="240" t="s">
        <v>172</v>
      </c>
      <c r="B190" s="287">
        <v>524871.91</v>
      </c>
      <c r="C190" s="287">
        <v>599345</v>
      </c>
      <c r="D190" s="287">
        <v>502451.54</v>
      </c>
      <c r="E190" s="287">
        <v>502451.54</v>
      </c>
      <c r="F190" s="237">
        <f t="shared" si="22"/>
        <v>-96893.460000000021</v>
      </c>
      <c r="G190" s="236">
        <f t="shared" si="52"/>
        <v>-0.16166558493021554</v>
      </c>
    </row>
    <row r="191" spans="1:17" ht="11.1" customHeight="1" outlineLevel="4" x14ac:dyDescent="0.2">
      <c r="A191" s="234" t="s">
        <v>173</v>
      </c>
      <c r="B191" s="285">
        <v>119409169.45</v>
      </c>
      <c r="C191" s="285">
        <v>148249332.88999999</v>
      </c>
      <c r="D191" s="285">
        <v>127991279.45</v>
      </c>
      <c r="E191" s="285">
        <v>127991279.45</v>
      </c>
      <c r="F191" s="229">
        <f t="shared" si="22"/>
        <v>-20258053.439999983</v>
      </c>
      <c r="G191" s="228">
        <f t="shared" si="52"/>
        <v>-0.13664853018280576</v>
      </c>
    </row>
    <row r="192" spans="1:17" ht="11.1" customHeight="1" outlineLevel="5" x14ac:dyDescent="0.2">
      <c r="A192" s="235" t="s">
        <v>174</v>
      </c>
      <c r="B192" s="287">
        <v>86738089.109999999</v>
      </c>
      <c r="C192" s="287">
        <v>103872577.16</v>
      </c>
      <c r="D192" s="287">
        <v>91420513.810000002</v>
      </c>
      <c r="E192" s="287">
        <v>91420513.810000002</v>
      </c>
      <c r="F192" s="237">
        <f t="shared" si="22"/>
        <v>-12452063.349999994</v>
      </c>
      <c r="G192" s="236">
        <f t="shared" si="52"/>
        <v>-0.11987825555554932</v>
      </c>
    </row>
    <row r="193" spans="1:7" ht="11.1" customHeight="1" outlineLevel="5" x14ac:dyDescent="0.2">
      <c r="A193" s="235" t="s">
        <v>175</v>
      </c>
      <c r="B193" s="287">
        <v>27625105.329999998</v>
      </c>
      <c r="C193" s="287">
        <v>34305561.25</v>
      </c>
      <c r="D193" s="287">
        <v>29362272.98</v>
      </c>
      <c r="E193" s="287">
        <v>29362272.98</v>
      </c>
      <c r="F193" s="237">
        <f t="shared" si="22"/>
        <v>-4943288.2699999996</v>
      </c>
      <c r="G193" s="236">
        <f t="shared" si="52"/>
        <v>-0.14409582848611757</v>
      </c>
    </row>
    <row r="194" spans="1:7" ht="11.1" customHeight="1" outlineLevel="5" x14ac:dyDescent="0.2">
      <c r="A194" s="235" t="s">
        <v>176</v>
      </c>
      <c r="B194" s="287">
        <v>5020929.01</v>
      </c>
      <c r="C194" s="287">
        <v>9891194.4800000004</v>
      </c>
      <c r="D194" s="287">
        <v>7147825.6600000001</v>
      </c>
      <c r="E194" s="287">
        <v>7147825.6600000001</v>
      </c>
      <c r="F194" s="237">
        <f t="shared" si="22"/>
        <v>-2743368.8200000003</v>
      </c>
      <c r="G194" s="236">
        <f t="shared" si="52"/>
        <v>-0.27735465373237711</v>
      </c>
    </row>
    <row r="195" spans="1:7" ht="11.1" customHeight="1" outlineLevel="5" x14ac:dyDescent="0.2">
      <c r="A195" s="235" t="s">
        <v>177</v>
      </c>
      <c r="B195" s="287">
        <v>25046</v>
      </c>
      <c r="C195" s="287">
        <v>180000</v>
      </c>
      <c r="D195" s="287">
        <v>60667</v>
      </c>
      <c r="E195" s="287">
        <v>60667</v>
      </c>
      <c r="F195" s="237">
        <f t="shared" si="22"/>
        <v>-119333</v>
      </c>
      <c r="G195" s="236">
        <f t="shared" si="52"/>
        <v>-0.66296111111111111</v>
      </c>
    </row>
    <row r="196" spans="1:7" ht="11.1" customHeight="1" outlineLevel="4" x14ac:dyDescent="0.2">
      <c r="A196" s="234" t="s">
        <v>178</v>
      </c>
      <c r="B196" s="285">
        <v>132853.73000000001</v>
      </c>
      <c r="C196" s="285">
        <v>31000</v>
      </c>
      <c r="D196" s="285">
        <v>44533.32</v>
      </c>
      <c r="E196" s="285">
        <v>44533.32</v>
      </c>
      <c r="F196" s="229">
        <f t="shared" si="22"/>
        <v>13533.32</v>
      </c>
      <c r="G196" s="228">
        <f t="shared" si="52"/>
        <v>0.43655870967741928</v>
      </c>
    </row>
    <row r="197" spans="1:7" ht="11.1" customHeight="1" outlineLevel="5" x14ac:dyDescent="0.2">
      <c r="A197" s="235" t="s">
        <v>179</v>
      </c>
      <c r="B197" s="287">
        <v>132853.73000000001</v>
      </c>
      <c r="C197" s="287">
        <v>31000</v>
      </c>
      <c r="D197" s="287">
        <v>44533.32</v>
      </c>
      <c r="E197" s="287">
        <v>44533.32</v>
      </c>
      <c r="F197" s="237">
        <f t="shared" si="22"/>
        <v>13533.32</v>
      </c>
      <c r="G197" s="236">
        <f t="shared" si="52"/>
        <v>0.43655870967741928</v>
      </c>
    </row>
    <row r="198" spans="1:7" ht="11.1" customHeight="1" outlineLevel="5" x14ac:dyDescent="0.2">
      <c r="A198" s="235" t="s">
        <v>180</v>
      </c>
      <c r="B198" s="287">
        <v>0</v>
      </c>
      <c r="C198" s="287">
        <v>0</v>
      </c>
      <c r="D198" s="287">
        <v>0</v>
      </c>
      <c r="E198" s="287">
        <v>0</v>
      </c>
      <c r="F198" s="237">
        <f t="shared" si="22"/>
        <v>0</v>
      </c>
      <c r="G198" s="236" t="e">
        <f t="shared" si="52"/>
        <v>#DIV/0!</v>
      </c>
    </row>
    <row r="199" spans="1:7" ht="11.1" customHeight="1" outlineLevel="4" x14ac:dyDescent="0.2">
      <c r="A199" s="240" t="s">
        <v>187</v>
      </c>
      <c r="B199" s="287">
        <v>13933.56</v>
      </c>
      <c r="C199" s="287">
        <v>845000</v>
      </c>
      <c r="D199" s="287">
        <v>174124.83</v>
      </c>
      <c r="E199" s="287">
        <v>174124.83</v>
      </c>
      <c r="F199" s="237">
        <f t="shared" si="22"/>
        <v>-670875.17000000004</v>
      </c>
      <c r="G199" s="236">
        <f t="shared" si="52"/>
        <v>-0.79393511242603554</v>
      </c>
    </row>
    <row r="200" spans="1:7" ht="11.1" customHeight="1" outlineLevel="4" x14ac:dyDescent="0.2">
      <c r="A200" s="234" t="s">
        <v>188</v>
      </c>
      <c r="B200" s="285">
        <v>4360882.9400000004</v>
      </c>
      <c r="C200" s="285">
        <v>7657278.8399999999</v>
      </c>
      <c r="D200" s="285">
        <v>2685417.89</v>
      </c>
      <c r="E200" s="285">
        <v>2685417.89</v>
      </c>
      <c r="F200" s="229">
        <f t="shared" si="22"/>
        <v>-4971860.9499999993</v>
      </c>
      <c r="G200" s="228">
        <f t="shared" si="52"/>
        <v>-0.649298667828061</v>
      </c>
    </row>
    <row r="201" spans="1:7" ht="11.1" customHeight="1" outlineLevel="5" x14ac:dyDescent="0.2">
      <c r="A201" s="235" t="s">
        <v>189</v>
      </c>
      <c r="B201" s="287">
        <v>237194</v>
      </c>
      <c r="C201" s="287">
        <v>615925.32999999996</v>
      </c>
      <c r="D201" s="287">
        <v>128999.62</v>
      </c>
      <c r="E201" s="287">
        <v>128999.62</v>
      </c>
      <c r="F201" s="237">
        <f t="shared" ref="F201:F264" si="53">D201-C201</f>
        <v>-486925.70999999996</v>
      </c>
      <c r="G201" s="236">
        <f t="shared" si="52"/>
        <v>-0.79055964462445472</v>
      </c>
    </row>
    <row r="202" spans="1:7" ht="11.1" customHeight="1" outlineLevel="5" x14ac:dyDescent="0.2">
      <c r="A202" s="235" t="s">
        <v>190</v>
      </c>
      <c r="B202" s="287">
        <v>349608.88</v>
      </c>
      <c r="C202" s="287">
        <v>1591472.22</v>
      </c>
      <c r="D202" s="287">
        <v>1598050.94</v>
      </c>
      <c r="E202" s="287">
        <v>1598050.94</v>
      </c>
      <c r="F202" s="237">
        <f t="shared" si="53"/>
        <v>6578.7199999999721</v>
      </c>
      <c r="G202" s="236">
        <f t="shared" si="52"/>
        <v>4.1337322243677477E-3</v>
      </c>
    </row>
    <row r="203" spans="1:7" ht="11.1" customHeight="1" outlineLevel="5" x14ac:dyDescent="0.2">
      <c r="A203" s="235" t="s">
        <v>191</v>
      </c>
      <c r="B203" s="287">
        <v>0</v>
      </c>
      <c r="C203" s="287">
        <v>452360</v>
      </c>
      <c r="D203" s="287">
        <v>107390</v>
      </c>
      <c r="E203" s="287">
        <v>107390</v>
      </c>
      <c r="F203" s="237">
        <f t="shared" si="53"/>
        <v>-344970</v>
      </c>
      <c r="G203" s="236">
        <f t="shared" si="52"/>
        <v>-0.76260058360597749</v>
      </c>
    </row>
    <row r="204" spans="1:7" ht="11.1" customHeight="1" outlineLevel="5" x14ac:dyDescent="0.2">
      <c r="A204" s="235" t="s">
        <v>192</v>
      </c>
      <c r="B204" s="287">
        <v>730180</v>
      </c>
      <c r="C204" s="287">
        <v>1528000</v>
      </c>
      <c r="D204" s="287">
        <v>474463.17</v>
      </c>
      <c r="E204" s="287">
        <v>474463.17</v>
      </c>
      <c r="F204" s="237">
        <f t="shared" si="53"/>
        <v>-1053536.83</v>
      </c>
      <c r="G204" s="236">
        <f t="shared" si="52"/>
        <v>-0.68948745418848167</v>
      </c>
    </row>
    <row r="205" spans="1:7" ht="11.1" customHeight="1" outlineLevel="5" x14ac:dyDescent="0.2">
      <c r="A205" s="235" t="s">
        <v>193</v>
      </c>
      <c r="B205" s="287">
        <v>0</v>
      </c>
      <c r="C205" s="287">
        <v>94000</v>
      </c>
      <c r="D205" s="287">
        <v>0</v>
      </c>
      <c r="E205" s="287">
        <v>0</v>
      </c>
      <c r="F205" s="237">
        <f t="shared" si="53"/>
        <v>-94000</v>
      </c>
      <c r="G205" s="236">
        <f t="shared" si="52"/>
        <v>-1</v>
      </c>
    </row>
    <row r="206" spans="1:7" ht="11.1" customHeight="1" outlineLevel="5" x14ac:dyDescent="0.2">
      <c r="A206" s="235" t="s">
        <v>194</v>
      </c>
      <c r="B206" s="287">
        <v>3043900.06</v>
      </c>
      <c r="C206" s="287">
        <v>3255521.29</v>
      </c>
      <c r="D206" s="287">
        <v>376514.16</v>
      </c>
      <c r="E206" s="287">
        <v>376514.16</v>
      </c>
      <c r="F206" s="237">
        <f t="shared" si="53"/>
        <v>-2879007.13</v>
      </c>
      <c r="G206" s="236">
        <f t="shared" si="52"/>
        <v>-0.88434596905984297</v>
      </c>
    </row>
    <row r="207" spans="1:7" ht="11.1" customHeight="1" outlineLevel="5" x14ac:dyDescent="0.2">
      <c r="A207" s="235" t="s">
        <v>195</v>
      </c>
      <c r="B207" s="287">
        <v>0</v>
      </c>
      <c r="C207" s="287">
        <v>120000</v>
      </c>
      <c r="D207" s="287">
        <v>0</v>
      </c>
      <c r="E207" s="287">
        <v>0</v>
      </c>
      <c r="F207" s="237">
        <f t="shared" si="53"/>
        <v>-120000</v>
      </c>
      <c r="G207" s="236">
        <f t="shared" si="52"/>
        <v>-1</v>
      </c>
    </row>
    <row r="208" spans="1:7" ht="11.1" customHeight="1" outlineLevel="4" x14ac:dyDescent="0.2">
      <c r="A208" s="240" t="s">
        <v>196</v>
      </c>
      <c r="B208" s="287">
        <v>2840273.73</v>
      </c>
      <c r="C208" s="287">
        <v>1375000</v>
      </c>
      <c r="D208" s="287">
        <v>305926</v>
      </c>
      <c r="E208" s="287">
        <v>305926</v>
      </c>
      <c r="F208" s="237">
        <f t="shared" si="53"/>
        <v>-1069074</v>
      </c>
      <c r="G208" s="236">
        <f t="shared" si="52"/>
        <v>-0.77750836363636366</v>
      </c>
    </row>
    <row r="209" spans="1:7" ht="11.1" customHeight="1" outlineLevel="3" x14ac:dyDescent="0.2">
      <c r="A209" s="246" t="s">
        <v>197</v>
      </c>
      <c r="B209" s="284">
        <v>1195911273.2</v>
      </c>
      <c r="C209" s="284">
        <v>1258333481.04</v>
      </c>
      <c r="D209" s="284">
        <v>1294761496.29</v>
      </c>
      <c r="E209" s="284">
        <v>1293327391.9400001</v>
      </c>
      <c r="F209" s="225">
        <f t="shared" si="53"/>
        <v>36428015.25</v>
      </c>
      <c r="G209" s="224">
        <f t="shared" si="52"/>
        <v>2.8949412694552645E-2</v>
      </c>
    </row>
    <row r="210" spans="1:7" ht="11.1" customHeight="1" outlineLevel="4" x14ac:dyDescent="0.2">
      <c r="A210" s="234" t="s">
        <v>198</v>
      </c>
      <c r="B210" s="285">
        <v>18422224.25</v>
      </c>
      <c r="C210" s="285">
        <v>21916319.870000001</v>
      </c>
      <c r="D210" s="285">
        <v>20661874.629999999</v>
      </c>
      <c r="E210" s="285">
        <v>20661874.629999999</v>
      </c>
      <c r="F210" s="322">
        <f t="shared" si="53"/>
        <v>-1254445.2400000021</v>
      </c>
      <c r="G210" s="228">
        <f t="shared" si="52"/>
        <v>-5.7237950871356857E-2</v>
      </c>
    </row>
    <row r="211" spans="1:7" ht="11.1" customHeight="1" outlineLevel="5" x14ac:dyDescent="0.2">
      <c r="A211" s="235" t="s">
        <v>121</v>
      </c>
      <c r="B211" s="287">
        <v>572080.48</v>
      </c>
      <c r="C211" s="287">
        <v>1322756.69</v>
      </c>
      <c r="D211" s="287">
        <v>1126264.74</v>
      </c>
      <c r="E211" s="287">
        <v>1126264.74</v>
      </c>
      <c r="F211" s="237">
        <f t="shared" si="53"/>
        <v>-196491.94999999995</v>
      </c>
      <c r="G211" s="236">
        <f t="shared" si="52"/>
        <v>-0.1485473114484871</v>
      </c>
    </row>
    <row r="212" spans="1:7" ht="11.1" customHeight="1" outlineLevel="5" x14ac:dyDescent="0.2">
      <c r="A212" s="235" t="s">
        <v>122</v>
      </c>
      <c r="B212" s="287">
        <v>12840738.199999999</v>
      </c>
      <c r="C212" s="287">
        <v>12214650.619999999</v>
      </c>
      <c r="D212" s="287">
        <v>8503694.5800000001</v>
      </c>
      <c r="E212" s="287">
        <v>8503694.5800000001</v>
      </c>
      <c r="F212" s="237">
        <f t="shared" si="53"/>
        <v>-3710956.0399999991</v>
      </c>
      <c r="G212" s="236">
        <f t="shared" si="52"/>
        <v>-0.30381188586137386</v>
      </c>
    </row>
    <row r="213" spans="1:7" ht="11.1" customHeight="1" outlineLevel="5" x14ac:dyDescent="0.2">
      <c r="A213" s="235" t="s">
        <v>123</v>
      </c>
      <c r="B213" s="287">
        <v>2378573.89</v>
      </c>
      <c r="C213" s="287">
        <v>3582434.98</v>
      </c>
      <c r="D213" s="287">
        <v>7258520.3799999999</v>
      </c>
      <c r="E213" s="287">
        <v>7258520.3799999999</v>
      </c>
      <c r="F213" s="237">
        <f t="shared" si="53"/>
        <v>3676085.4</v>
      </c>
      <c r="G213" s="236">
        <f t="shared" si="52"/>
        <v>1.0261415547031087</v>
      </c>
    </row>
    <row r="214" spans="1:7" ht="11.1" customHeight="1" outlineLevel="5" x14ac:dyDescent="0.2">
      <c r="A214" s="235" t="s">
        <v>199</v>
      </c>
      <c r="B214" s="287">
        <v>106634.26</v>
      </c>
      <c r="C214" s="287">
        <v>440632.24</v>
      </c>
      <c r="D214" s="287">
        <v>920239.61</v>
      </c>
      <c r="E214" s="287">
        <v>920239.61</v>
      </c>
      <c r="F214" s="237">
        <f t="shared" si="53"/>
        <v>479607.37</v>
      </c>
      <c r="G214" s="236">
        <f t="shared" si="52"/>
        <v>1.0884527423594785</v>
      </c>
    </row>
    <row r="215" spans="1:7" ht="11.1" customHeight="1" outlineLevel="5" x14ac:dyDescent="0.2">
      <c r="A215" s="235" t="s">
        <v>126</v>
      </c>
      <c r="B215" s="287">
        <v>122910.48</v>
      </c>
      <c r="C215" s="287">
        <v>169912.1</v>
      </c>
      <c r="D215" s="287">
        <v>248450.71</v>
      </c>
      <c r="E215" s="287">
        <v>248450.71</v>
      </c>
      <c r="F215" s="237">
        <f t="shared" si="53"/>
        <v>78538.609999999986</v>
      </c>
      <c r="G215" s="236">
        <f t="shared" si="52"/>
        <v>0.46223082405549687</v>
      </c>
    </row>
    <row r="216" spans="1:7" ht="11.1" customHeight="1" outlineLevel="5" x14ac:dyDescent="0.2">
      <c r="A216" s="235" t="s">
        <v>127</v>
      </c>
      <c r="B216" s="287">
        <v>185356.18</v>
      </c>
      <c r="C216" s="287">
        <v>1383106.24</v>
      </c>
      <c r="D216" s="287">
        <v>1355257.98</v>
      </c>
      <c r="E216" s="287">
        <v>1355257.98</v>
      </c>
      <c r="F216" s="237">
        <f t="shared" si="53"/>
        <v>-27848.260000000009</v>
      </c>
      <c r="G216" s="236">
        <f t="shared" si="52"/>
        <v>-2.0134577659052466E-2</v>
      </c>
    </row>
    <row r="217" spans="1:7" ht="11.1" customHeight="1" outlineLevel="5" x14ac:dyDescent="0.2">
      <c r="A217" s="235" t="s">
        <v>200</v>
      </c>
      <c r="B217" s="287">
        <v>2215930.7599999998</v>
      </c>
      <c r="C217" s="287">
        <v>2802827</v>
      </c>
      <c r="D217" s="287">
        <v>1249446.6299999999</v>
      </c>
      <c r="E217" s="287">
        <v>1249446.6299999999</v>
      </c>
      <c r="F217" s="237">
        <f t="shared" si="53"/>
        <v>-1553380.37</v>
      </c>
      <c r="G217" s="236">
        <f t="shared" si="52"/>
        <v>-0.55421914017525875</v>
      </c>
    </row>
    <row r="218" spans="1:7" ht="11.1" customHeight="1" outlineLevel="4" x14ac:dyDescent="0.2">
      <c r="A218" s="234" t="s">
        <v>201</v>
      </c>
      <c r="B218" s="285">
        <v>26866737.609999999</v>
      </c>
      <c r="C218" s="285">
        <v>42037753.270000003</v>
      </c>
      <c r="D218" s="285">
        <v>43045081.770000003</v>
      </c>
      <c r="E218" s="285">
        <v>43045081.770000003</v>
      </c>
      <c r="F218" s="324">
        <f t="shared" si="53"/>
        <v>1007328.5</v>
      </c>
      <c r="G218" s="228">
        <f t="shared" si="52"/>
        <v>2.3962472340758323E-2</v>
      </c>
    </row>
    <row r="219" spans="1:7" ht="11.1" customHeight="1" outlineLevel="5" x14ac:dyDescent="0.2">
      <c r="A219" s="235" t="s">
        <v>202</v>
      </c>
      <c r="B219" s="287">
        <v>2913895.88</v>
      </c>
      <c r="C219" s="287">
        <v>3558582.92</v>
      </c>
      <c r="D219" s="287">
        <v>4069913.84</v>
      </c>
      <c r="E219" s="287">
        <v>4069913.84</v>
      </c>
      <c r="F219" s="321">
        <f t="shared" si="53"/>
        <v>511330.91999999993</v>
      </c>
      <c r="G219" s="236">
        <f t="shared" si="52"/>
        <v>0.1436894773833175</v>
      </c>
    </row>
    <row r="220" spans="1:7" ht="11.1" customHeight="1" outlineLevel="5" x14ac:dyDescent="0.2">
      <c r="A220" s="235" t="s">
        <v>203</v>
      </c>
      <c r="B220" s="287">
        <v>4213823.84</v>
      </c>
      <c r="C220" s="287">
        <v>6438897.8300000001</v>
      </c>
      <c r="D220" s="287">
        <v>5534915</v>
      </c>
      <c r="E220" s="287">
        <v>5534915</v>
      </c>
      <c r="F220" s="237">
        <f t="shared" si="53"/>
        <v>-903982.83000000007</v>
      </c>
      <c r="G220" s="236">
        <f t="shared" si="52"/>
        <v>-0.14039403231220393</v>
      </c>
    </row>
    <row r="221" spans="1:7" ht="11.1" customHeight="1" outlineLevel="5" x14ac:dyDescent="0.2">
      <c r="A221" s="235" t="s">
        <v>204</v>
      </c>
      <c r="B221" s="287">
        <v>4393553.42</v>
      </c>
      <c r="C221" s="287">
        <v>6287367.4100000001</v>
      </c>
      <c r="D221" s="287">
        <v>8847921.3499999996</v>
      </c>
      <c r="E221" s="287">
        <v>8847921.3499999996</v>
      </c>
      <c r="F221" s="321">
        <f t="shared" si="53"/>
        <v>2560553.9399999995</v>
      </c>
      <c r="G221" s="236">
        <f t="shared" si="52"/>
        <v>0.4072537475585507</v>
      </c>
    </row>
    <row r="222" spans="1:7" ht="11.1" customHeight="1" outlineLevel="5" x14ac:dyDescent="0.2">
      <c r="A222" s="235" t="s">
        <v>205</v>
      </c>
      <c r="B222" s="287">
        <v>5370972.4800000004</v>
      </c>
      <c r="C222" s="287">
        <v>6106083.4800000004</v>
      </c>
      <c r="D222" s="287">
        <v>5650490.3899999997</v>
      </c>
      <c r="E222" s="287">
        <v>5650490.3899999997</v>
      </c>
      <c r="F222" s="237">
        <f t="shared" si="53"/>
        <v>-455593.09000000078</v>
      </c>
      <c r="G222" s="236">
        <f t="shared" si="52"/>
        <v>-7.461298088902002E-2</v>
      </c>
    </row>
    <row r="223" spans="1:7" ht="11.1" customHeight="1" outlineLevel="5" x14ac:dyDescent="0.2">
      <c r="A223" s="238" t="s">
        <v>206</v>
      </c>
      <c r="B223" s="285">
        <v>2242270.96</v>
      </c>
      <c r="C223" s="285">
        <v>13031677.800000001</v>
      </c>
      <c r="D223" s="285">
        <v>13746854.77</v>
      </c>
      <c r="E223" s="285">
        <v>13746854.77</v>
      </c>
      <c r="F223" s="324">
        <f t="shared" si="53"/>
        <v>715176.96999999881</v>
      </c>
      <c r="G223" s="228">
        <f t="shared" si="52"/>
        <v>5.4879884307759585E-2</v>
      </c>
    </row>
    <row r="224" spans="1:7" ht="11.1" customHeight="1" outlineLevel="6" x14ac:dyDescent="0.2">
      <c r="A224" s="239" t="s">
        <v>207</v>
      </c>
      <c r="B224" s="287">
        <v>94364.78</v>
      </c>
      <c r="C224" s="287">
        <v>3856897.82</v>
      </c>
      <c r="D224" s="287">
        <v>180728.95999999999</v>
      </c>
      <c r="E224" s="287">
        <v>180728.95999999999</v>
      </c>
      <c r="F224" s="237">
        <f t="shared" si="53"/>
        <v>-3676168.86</v>
      </c>
      <c r="G224" s="236">
        <f t="shared" si="52"/>
        <v>-0.95314136686151563</v>
      </c>
    </row>
    <row r="225" spans="1:7" ht="11.1" customHeight="1" outlineLevel="6" x14ac:dyDescent="0.2">
      <c r="A225" s="239" t="s">
        <v>208</v>
      </c>
      <c r="B225" s="287">
        <v>253123.29</v>
      </c>
      <c r="C225" s="287">
        <v>4222745.71</v>
      </c>
      <c r="D225" s="287">
        <v>2701278.43</v>
      </c>
      <c r="E225" s="287">
        <v>2701278.43</v>
      </c>
      <c r="F225" s="237">
        <f t="shared" si="53"/>
        <v>-1521467.2799999998</v>
      </c>
      <c r="G225" s="236">
        <f t="shared" si="52"/>
        <v>-0.36030284191562167</v>
      </c>
    </row>
    <row r="226" spans="1:7" ht="11.1" customHeight="1" outlineLevel="6" x14ac:dyDescent="0.2">
      <c r="A226" s="239" t="s">
        <v>209</v>
      </c>
      <c r="B226" s="287">
        <v>1583349</v>
      </c>
      <c r="C226" s="287">
        <v>2507633.27</v>
      </c>
      <c r="D226" s="287">
        <v>10230784.73</v>
      </c>
      <c r="E226" s="287">
        <v>10230784.73</v>
      </c>
      <c r="F226" s="321">
        <f t="shared" si="53"/>
        <v>7723151.4600000009</v>
      </c>
      <c r="G226" s="236">
        <f t="shared" si="52"/>
        <v>3.0798568324944897</v>
      </c>
    </row>
    <row r="227" spans="1:7" ht="11.1" customHeight="1" outlineLevel="6" x14ac:dyDescent="0.2">
      <c r="A227" s="239" t="s">
        <v>210</v>
      </c>
      <c r="B227" s="287">
        <v>311433.89</v>
      </c>
      <c r="C227" s="287">
        <v>2444401</v>
      </c>
      <c r="D227" s="287">
        <v>634062.65</v>
      </c>
      <c r="E227" s="287">
        <v>634062.65</v>
      </c>
      <c r="F227" s="237">
        <f t="shared" si="53"/>
        <v>-1810338.35</v>
      </c>
      <c r="G227" s="236">
        <f t="shared" si="52"/>
        <v>-0.74060612395429393</v>
      </c>
    </row>
    <row r="228" spans="1:7" ht="11.1" customHeight="1" outlineLevel="5" x14ac:dyDescent="0.2">
      <c r="A228" s="235" t="s">
        <v>211</v>
      </c>
      <c r="B228" s="287">
        <v>1774206.09</v>
      </c>
      <c r="C228" s="287">
        <v>1650097.33</v>
      </c>
      <c r="D228" s="287">
        <v>1418265.55</v>
      </c>
      <c r="E228" s="287">
        <v>1418265.55</v>
      </c>
      <c r="F228" s="237">
        <f t="shared" si="53"/>
        <v>-231831.78000000003</v>
      </c>
      <c r="G228" s="236">
        <f t="shared" si="52"/>
        <v>-0.14049582154041784</v>
      </c>
    </row>
    <row r="229" spans="1:7" ht="11.1" customHeight="1" outlineLevel="5" x14ac:dyDescent="0.2">
      <c r="A229" s="235" t="s">
        <v>212</v>
      </c>
      <c r="B229" s="287">
        <v>4255188.83</v>
      </c>
      <c r="C229" s="287">
        <v>2577762.7599999998</v>
      </c>
      <c r="D229" s="287">
        <v>1982978.82</v>
      </c>
      <c r="E229" s="287">
        <v>1982978.82</v>
      </c>
      <c r="F229" s="237">
        <f t="shared" si="53"/>
        <v>-594783.93999999971</v>
      </c>
      <c r="G229" s="236">
        <f t="shared" si="52"/>
        <v>-0.2307364933769156</v>
      </c>
    </row>
    <row r="230" spans="1:7" ht="11.1" customHeight="1" outlineLevel="5" x14ac:dyDescent="0.2">
      <c r="A230" s="235" t="s">
        <v>213</v>
      </c>
      <c r="B230" s="287">
        <v>1702826.11</v>
      </c>
      <c r="C230" s="287">
        <v>2387283.7400000002</v>
      </c>
      <c r="D230" s="287">
        <v>1793742.05</v>
      </c>
      <c r="E230" s="287">
        <v>1793742.05</v>
      </c>
      <c r="F230" s="237">
        <f t="shared" si="53"/>
        <v>-593541.69000000018</v>
      </c>
      <c r="G230" s="236">
        <f t="shared" si="52"/>
        <v>-0.24862636981727193</v>
      </c>
    </row>
    <row r="231" spans="1:7" ht="11.1" customHeight="1" outlineLevel="4" x14ac:dyDescent="0.2">
      <c r="A231" s="234" t="s">
        <v>135</v>
      </c>
      <c r="B231" s="285">
        <v>25212055.550000001</v>
      </c>
      <c r="C231" s="285">
        <v>24328641.600000001</v>
      </c>
      <c r="D231" s="285">
        <v>36733371.850000001</v>
      </c>
      <c r="E231" s="285">
        <v>36733371.850000001</v>
      </c>
      <c r="F231" s="322">
        <f t="shared" si="53"/>
        <v>12404730.25</v>
      </c>
      <c r="G231" s="228">
        <f t="shared" si="52"/>
        <v>0.50988174571982681</v>
      </c>
    </row>
    <row r="232" spans="1:7" ht="11.1" customHeight="1" outlineLevel="5" x14ac:dyDescent="0.2">
      <c r="A232" s="235" t="s">
        <v>214</v>
      </c>
      <c r="B232" s="287">
        <v>18231121.59</v>
      </c>
      <c r="C232" s="287">
        <v>13180738.109999999</v>
      </c>
      <c r="D232" s="287">
        <v>28033313.420000002</v>
      </c>
      <c r="E232" s="287">
        <v>28033313.420000002</v>
      </c>
      <c r="F232" s="237">
        <f t="shared" si="53"/>
        <v>14852575.310000002</v>
      </c>
      <c r="G232" s="236">
        <f t="shared" si="52"/>
        <v>1.12683942174161</v>
      </c>
    </row>
    <row r="233" spans="1:7" ht="11.1" customHeight="1" outlineLevel="5" x14ac:dyDescent="0.2">
      <c r="A233" s="235" t="s">
        <v>215</v>
      </c>
      <c r="B233" s="287">
        <v>6980933.96</v>
      </c>
      <c r="C233" s="287">
        <v>8413759.0199999996</v>
      </c>
      <c r="D233" s="287">
        <v>6167074.6699999999</v>
      </c>
      <c r="E233" s="287">
        <v>6167074.6699999999</v>
      </c>
      <c r="F233" s="237">
        <f t="shared" si="53"/>
        <v>-2246684.3499999996</v>
      </c>
      <c r="G233" s="236">
        <f t="shared" si="52"/>
        <v>-0.26702504132332516</v>
      </c>
    </row>
    <row r="234" spans="1:7" ht="11.1" customHeight="1" outlineLevel="5" x14ac:dyDescent="0.2">
      <c r="A234" s="235" t="s">
        <v>818</v>
      </c>
      <c r="B234" s="287">
        <v>0</v>
      </c>
      <c r="C234" s="287">
        <v>2734144.47</v>
      </c>
      <c r="D234" s="287">
        <v>2532983.7599999998</v>
      </c>
      <c r="E234" s="287">
        <v>2532983.7599999998</v>
      </c>
      <c r="F234" s="237">
        <f t="shared" si="53"/>
        <v>-201160.71000000043</v>
      </c>
      <c r="G234" s="236">
        <f t="shared" si="52"/>
        <v>-7.3573548218540341E-2</v>
      </c>
    </row>
    <row r="235" spans="1:7" ht="11.1" customHeight="1" outlineLevel="4" x14ac:dyDescent="0.2">
      <c r="A235" s="234" t="s">
        <v>140</v>
      </c>
      <c r="B235" s="285">
        <v>187237560.56</v>
      </c>
      <c r="C235" s="285">
        <v>171944337.06999999</v>
      </c>
      <c r="D235" s="285">
        <v>154937003.66999999</v>
      </c>
      <c r="E235" s="285">
        <v>154937003.66999999</v>
      </c>
      <c r="F235" s="229">
        <f t="shared" si="53"/>
        <v>-17007333.400000006</v>
      </c>
      <c r="G235" s="228">
        <f t="shared" si="52"/>
        <v>-9.8911855370242163E-2</v>
      </c>
    </row>
    <row r="236" spans="1:7" ht="11.1" customHeight="1" outlineLevel="5" x14ac:dyDescent="0.2">
      <c r="A236" s="238" t="s">
        <v>216</v>
      </c>
      <c r="B236" s="285">
        <v>20919195.850000001</v>
      </c>
      <c r="C236" s="285">
        <v>25156729.93</v>
      </c>
      <c r="D236" s="285">
        <v>18993064.190000001</v>
      </c>
      <c r="E236" s="285">
        <v>18993064.190000001</v>
      </c>
      <c r="F236" s="229">
        <f t="shared" si="53"/>
        <v>-6163665.7399999984</v>
      </c>
      <c r="G236" s="228">
        <f t="shared" si="52"/>
        <v>-0.24501060977125166</v>
      </c>
    </row>
    <row r="237" spans="1:7" ht="11.1" customHeight="1" outlineLevel="6" x14ac:dyDescent="0.2">
      <c r="A237" s="239" t="s">
        <v>217</v>
      </c>
      <c r="B237" s="287">
        <v>13717543.1</v>
      </c>
      <c r="C237" s="287">
        <v>13750309</v>
      </c>
      <c r="D237" s="287">
        <v>13161452.890000001</v>
      </c>
      <c r="E237" s="287">
        <v>13161452.890000001</v>
      </c>
      <c r="F237" s="237">
        <f t="shared" si="53"/>
        <v>-588856.1099999994</v>
      </c>
      <c r="G237" s="236">
        <f t="shared" si="52"/>
        <v>-4.2824936515972079E-2</v>
      </c>
    </row>
    <row r="238" spans="1:7" ht="11.1" customHeight="1" outlineLevel="6" x14ac:dyDescent="0.2">
      <c r="A238" s="239" t="s">
        <v>218</v>
      </c>
      <c r="B238" s="287">
        <v>5848408.3300000001</v>
      </c>
      <c r="C238" s="287">
        <v>8837420.9299999997</v>
      </c>
      <c r="D238" s="287">
        <v>4842348.04</v>
      </c>
      <c r="E238" s="287">
        <v>4842348.04</v>
      </c>
      <c r="F238" s="237">
        <f t="shared" si="53"/>
        <v>-3995072.8899999997</v>
      </c>
      <c r="G238" s="236">
        <f t="shared" si="52"/>
        <v>-0.45206321184024445</v>
      </c>
    </row>
    <row r="239" spans="1:7" ht="11.1" customHeight="1" outlineLevel="6" x14ac:dyDescent="0.2">
      <c r="A239" s="239" t="s">
        <v>219</v>
      </c>
      <c r="B239" s="287">
        <v>1353244.42</v>
      </c>
      <c r="C239" s="287">
        <v>2569000</v>
      </c>
      <c r="D239" s="287">
        <v>989263.26</v>
      </c>
      <c r="E239" s="287">
        <v>989263.26</v>
      </c>
      <c r="F239" s="237">
        <f t="shared" si="53"/>
        <v>-1579736.74</v>
      </c>
      <c r="G239" s="236">
        <f t="shared" si="52"/>
        <v>-0.61492282600233561</v>
      </c>
    </row>
    <row r="240" spans="1:7" ht="11.1" customHeight="1" outlineLevel="5" x14ac:dyDescent="0.2">
      <c r="A240" s="235" t="s">
        <v>220</v>
      </c>
      <c r="B240" s="287">
        <v>18328235.670000002</v>
      </c>
      <c r="C240" s="287">
        <v>18305608.77</v>
      </c>
      <c r="D240" s="287">
        <v>15183447.66</v>
      </c>
      <c r="E240" s="287">
        <v>15183447.66</v>
      </c>
      <c r="F240" s="237">
        <f t="shared" si="53"/>
        <v>-3122161.1099999994</v>
      </c>
      <c r="G240" s="236">
        <f t="shared" si="52"/>
        <v>-0.17055762248763495</v>
      </c>
    </row>
    <row r="241" spans="1:7" ht="11.1" customHeight="1" outlineLevel="5" x14ac:dyDescent="0.2">
      <c r="A241" s="238" t="s">
        <v>221</v>
      </c>
      <c r="B241" s="285">
        <v>17847977.829999998</v>
      </c>
      <c r="C241" s="285">
        <v>18546829.379999999</v>
      </c>
      <c r="D241" s="285">
        <v>17298300.57</v>
      </c>
      <c r="E241" s="285">
        <v>17298300.57</v>
      </c>
      <c r="F241" s="229">
        <f t="shared" si="53"/>
        <v>-1248528.8099999987</v>
      </c>
      <c r="G241" s="228">
        <f t="shared" si="52"/>
        <v>-6.7317641437212528E-2</v>
      </c>
    </row>
    <row r="242" spans="1:7" ht="11.1" customHeight="1" outlineLevel="6" x14ac:dyDescent="0.2">
      <c r="A242" s="239" t="s">
        <v>222</v>
      </c>
      <c r="B242" s="287">
        <v>5684409.4299999997</v>
      </c>
      <c r="C242" s="287">
        <v>5523277.1100000003</v>
      </c>
      <c r="D242" s="287">
        <v>4977011.91</v>
      </c>
      <c r="E242" s="287">
        <v>4977011.91</v>
      </c>
      <c r="F242" s="237">
        <f t="shared" si="53"/>
        <v>-546265.20000000019</v>
      </c>
      <c r="G242" s="236">
        <f t="shared" si="52"/>
        <v>-9.8902370661608896E-2</v>
      </c>
    </row>
    <row r="243" spans="1:7" ht="11.1" customHeight="1" outlineLevel="6" x14ac:dyDescent="0.2">
      <c r="A243" s="239" t="s">
        <v>223</v>
      </c>
      <c r="B243" s="287">
        <v>4328309.59</v>
      </c>
      <c r="C243" s="287">
        <v>4906522.37</v>
      </c>
      <c r="D243" s="287">
        <v>4491073.3499999996</v>
      </c>
      <c r="E243" s="287">
        <v>4491073.3499999996</v>
      </c>
      <c r="F243" s="237">
        <f t="shared" si="53"/>
        <v>-415449.02000000048</v>
      </c>
      <c r="G243" s="236">
        <f t="shared" si="52"/>
        <v>-8.4672806658374733E-2</v>
      </c>
    </row>
    <row r="244" spans="1:7" ht="11.1" customHeight="1" outlineLevel="6" x14ac:dyDescent="0.2">
      <c r="A244" s="239" t="s">
        <v>224</v>
      </c>
      <c r="B244" s="287">
        <v>4178029.13</v>
      </c>
      <c r="C244" s="287">
        <v>5210233.2</v>
      </c>
      <c r="D244" s="287">
        <v>5227351.47</v>
      </c>
      <c r="E244" s="287">
        <v>5227351.47</v>
      </c>
      <c r="F244" s="237">
        <f t="shared" si="53"/>
        <v>17118.269999999553</v>
      </c>
      <c r="G244" s="236">
        <f t="shared" si="52"/>
        <v>3.2855093702905958E-3</v>
      </c>
    </row>
    <row r="245" spans="1:7" ht="11.1" customHeight="1" outlineLevel="6" x14ac:dyDescent="0.2">
      <c r="A245" s="239" t="s">
        <v>225</v>
      </c>
      <c r="B245" s="287">
        <v>3657229.68</v>
      </c>
      <c r="C245" s="287">
        <v>2906796.7</v>
      </c>
      <c r="D245" s="287">
        <v>2602863.84</v>
      </c>
      <c r="E245" s="287">
        <v>2602863.84</v>
      </c>
      <c r="F245" s="237">
        <f t="shared" si="53"/>
        <v>-303932.86000000034</v>
      </c>
      <c r="G245" s="236">
        <f t="shared" si="52"/>
        <v>-0.10455937974609653</v>
      </c>
    </row>
    <row r="246" spans="1:7" ht="11.1" customHeight="1" outlineLevel="5" x14ac:dyDescent="0.2">
      <c r="A246" s="238" t="s">
        <v>226</v>
      </c>
      <c r="B246" s="285">
        <v>28533226.559999999</v>
      </c>
      <c r="C246" s="285">
        <v>35277850.789999999</v>
      </c>
      <c r="D246" s="285">
        <v>29803425.300000001</v>
      </c>
      <c r="E246" s="285">
        <v>29803425.300000001</v>
      </c>
      <c r="F246" s="229">
        <f t="shared" si="53"/>
        <v>-5474425.4899999984</v>
      </c>
      <c r="G246" s="228">
        <f t="shared" si="52"/>
        <v>-0.15518024390396823</v>
      </c>
    </row>
    <row r="247" spans="1:7" ht="11.1" customHeight="1" outlineLevel="6" x14ac:dyDescent="0.2">
      <c r="A247" s="239" t="s">
        <v>227</v>
      </c>
      <c r="B247" s="287">
        <v>26287132.940000001</v>
      </c>
      <c r="C247" s="287">
        <v>30183851.879999999</v>
      </c>
      <c r="D247" s="287">
        <v>27056445.920000002</v>
      </c>
      <c r="E247" s="287">
        <v>27056445.920000002</v>
      </c>
      <c r="F247" s="237">
        <f t="shared" si="53"/>
        <v>-3127405.9599999972</v>
      </c>
      <c r="G247" s="236">
        <f t="shared" si="52"/>
        <v>-0.10361189063719978</v>
      </c>
    </row>
    <row r="248" spans="1:7" ht="11.1" customHeight="1" outlineLevel="6" x14ac:dyDescent="0.2">
      <c r="A248" s="239" t="s">
        <v>228</v>
      </c>
      <c r="B248" s="287">
        <v>2246093.62</v>
      </c>
      <c r="C248" s="287">
        <v>4465248.24</v>
      </c>
      <c r="D248" s="287">
        <v>2746979.38</v>
      </c>
      <c r="E248" s="287">
        <v>2746979.38</v>
      </c>
      <c r="F248" s="237">
        <f t="shared" si="53"/>
        <v>-1718268.8600000003</v>
      </c>
      <c r="G248" s="236">
        <f t="shared" si="52"/>
        <v>-0.38480925754757145</v>
      </c>
    </row>
    <row r="249" spans="1:7" ht="11.1" customHeight="1" outlineLevel="6" x14ac:dyDescent="0.2">
      <c r="A249" s="239" t="s">
        <v>229</v>
      </c>
      <c r="B249" s="287">
        <v>0</v>
      </c>
      <c r="C249" s="287">
        <v>628750.67000000004</v>
      </c>
      <c r="D249" s="287">
        <v>0</v>
      </c>
      <c r="E249" s="287">
        <v>0</v>
      </c>
      <c r="F249" s="237">
        <f t="shared" si="53"/>
        <v>-628750.67000000004</v>
      </c>
      <c r="G249" s="236">
        <f t="shared" ref="G249:G308" si="54">D249/C249-1</f>
        <v>-1</v>
      </c>
    </row>
    <row r="250" spans="1:7" ht="11.1" customHeight="1" outlineLevel="5" x14ac:dyDescent="0.2">
      <c r="A250" s="238" t="s">
        <v>230</v>
      </c>
      <c r="B250" s="285">
        <v>6189007.2699999996</v>
      </c>
      <c r="C250" s="285">
        <v>1206900</v>
      </c>
      <c r="D250" s="285">
        <v>1719900</v>
      </c>
      <c r="E250" s="285">
        <v>1719900</v>
      </c>
      <c r="F250" s="322">
        <f t="shared" si="53"/>
        <v>513000</v>
      </c>
      <c r="G250" s="228">
        <f t="shared" si="54"/>
        <v>0.42505592841163309</v>
      </c>
    </row>
    <row r="251" spans="1:7" ht="11.1" customHeight="1" outlineLevel="6" x14ac:dyDescent="0.2">
      <c r="A251" s="239" t="s">
        <v>231</v>
      </c>
      <c r="B251" s="287">
        <v>2339007.27</v>
      </c>
      <c r="C251" s="287">
        <v>1206900</v>
      </c>
      <c r="D251" s="287">
        <v>1719900</v>
      </c>
      <c r="E251" s="287">
        <v>1719900</v>
      </c>
      <c r="F251" s="237">
        <f t="shared" si="53"/>
        <v>513000</v>
      </c>
      <c r="G251" s="236">
        <f t="shared" si="54"/>
        <v>0.42505592841163309</v>
      </c>
    </row>
    <row r="252" spans="1:7" ht="11.1" customHeight="1" outlineLevel="6" x14ac:dyDescent="0.2">
      <c r="A252" s="239" t="s">
        <v>232</v>
      </c>
      <c r="B252" s="287">
        <v>3850000</v>
      </c>
      <c r="C252" s="287">
        <v>0</v>
      </c>
      <c r="D252" s="287">
        <v>0</v>
      </c>
      <c r="E252" s="287">
        <v>0</v>
      </c>
      <c r="F252" s="237">
        <f t="shared" si="53"/>
        <v>0</v>
      </c>
      <c r="G252" s="236" t="e">
        <f t="shared" si="54"/>
        <v>#DIV/0!</v>
      </c>
    </row>
    <row r="253" spans="1:7" ht="11.1" customHeight="1" outlineLevel="5" x14ac:dyDescent="0.2">
      <c r="A253" s="238" t="s">
        <v>233</v>
      </c>
      <c r="B253" s="285">
        <v>29507027.030000001</v>
      </c>
      <c r="C253" s="285">
        <v>40496515.18</v>
      </c>
      <c r="D253" s="285">
        <v>40659836.200000003</v>
      </c>
      <c r="E253" s="285">
        <v>40659836.200000003</v>
      </c>
      <c r="F253" s="322">
        <f t="shared" si="53"/>
        <v>163321.02000000328</v>
      </c>
      <c r="G253" s="228">
        <f t="shared" si="54"/>
        <v>4.032964793984517E-3</v>
      </c>
    </row>
    <row r="254" spans="1:7" ht="11.1" customHeight="1" outlineLevel="6" x14ac:dyDescent="0.2">
      <c r="A254" s="239" t="s">
        <v>234</v>
      </c>
      <c r="B254" s="287">
        <v>2573322.2599999998</v>
      </c>
      <c r="C254" s="287">
        <v>2996515.18</v>
      </c>
      <c r="D254" s="287">
        <v>3010388.52</v>
      </c>
      <c r="E254" s="287">
        <v>3010388.52</v>
      </c>
      <c r="F254" s="237">
        <f t="shared" si="53"/>
        <v>13873.339999999851</v>
      </c>
      <c r="G254" s="236">
        <f t="shared" si="54"/>
        <v>4.6298247019058714E-3</v>
      </c>
    </row>
    <row r="255" spans="1:7" ht="11.1" customHeight="1" outlineLevel="6" x14ac:dyDescent="0.2">
      <c r="A255" s="239" t="s">
        <v>235</v>
      </c>
      <c r="B255" s="287">
        <v>1351055.43</v>
      </c>
      <c r="C255" s="287">
        <v>1600000</v>
      </c>
      <c r="D255" s="287">
        <v>1942078.97</v>
      </c>
      <c r="E255" s="287">
        <v>1942078.97</v>
      </c>
      <c r="F255" s="237">
        <f t="shared" si="53"/>
        <v>342078.97</v>
      </c>
      <c r="G255" s="236">
        <f t="shared" si="54"/>
        <v>0.21379935625000002</v>
      </c>
    </row>
    <row r="256" spans="1:7" ht="11.1" customHeight="1" outlineLevel="6" x14ac:dyDescent="0.2">
      <c r="A256" s="239" t="s">
        <v>236</v>
      </c>
      <c r="B256" s="287">
        <v>25582649.34</v>
      </c>
      <c r="C256" s="287">
        <v>35900000</v>
      </c>
      <c r="D256" s="287">
        <v>35707368.710000001</v>
      </c>
      <c r="E256" s="287">
        <v>35707368.710000001</v>
      </c>
      <c r="F256" s="237">
        <f t="shared" si="53"/>
        <v>-192631.28999999911</v>
      </c>
      <c r="G256" s="236">
        <f t="shared" si="54"/>
        <v>-5.3657740947075094E-3</v>
      </c>
    </row>
    <row r="257" spans="1:7" ht="11.1" customHeight="1" outlineLevel="5" x14ac:dyDescent="0.2">
      <c r="A257" s="235" t="s">
        <v>237</v>
      </c>
      <c r="B257" s="287">
        <v>540363.25</v>
      </c>
      <c r="C257" s="287">
        <v>622571.56000000006</v>
      </c>
      <c r="D257" s="287">
        <v>325230.09999999998</v>
      </c>
      <c r="E257" s="287">
        <v>325230.09999999998</v>
      </c>
      <c r="F257" s="237">
        <f t="shared" si="53"/>
        <v>-297341.46000000008</v>
      </c>
      <c r="G257" s="236">
        <f t="shared" si="54"/>
        <v>-0.47760206071732547</v>
      </c>
    </row>
    <row r="258" spans="1:7" ht="11.1" customHeight="1" outlineLevel="5" x14ac:dyDescent="0.2">
      <c r="A258" s="238" t="s">
        <v>238</v>
      </c>
      <c r="B258" s="285">
        <v>65372527.100000001</v>
      </c>
      <c r="C258" s="285">
        <v>32331331.460000001</v>
      </c>
      <c r="D258" s="285">
        <v>30953799.649999999</v>
      </c>
      <c r="E258" s="285">
        <v>30953799.649999999</v>
      </c>
      <c r="F258" s="229">
        <f t="shared" si="53"/>
        <v>-1377531.8100000024</v>
      </c>
      <c r="G258" s="228">
        <f t="shared" si="54"/>
        <v>-4.2606714533370504E-2</v>
      </c>
    </row>
    <row r="259" spans="1:7" ht="11.1" customHeight="1" outlineLevel="6" x14ac:dyDescent="0.2">
      <c r="A259" s="242" t="s">
        <v>239</v>
      </c>
      <c r="B259" s="285">
        <v>19928108.760000002</v>
      </c>
      <c r="C259" s="285">
        <v>14996711.99</v>
      </c>
      <c r="D259" s="285">
        <v>15731442.039999999</v>
      </c>
      <c r="E259" s="285">
        <v>15731442.039999999</v>
      </c>
      <c r="F259" s="229">
        <f t="shared" si="53"/>
        <v>734730.04999999888</v>
      </c>
      <c r="G259" s="228">
        <f t="shared" si="54"/>
        <v>4.8992742575167503E-2</v>
      </c>
    </row>
    <row r="260" spans="1:7" ht="11.1" customHeight="1" outlineLevel="7" x14ac:dyDescent="0.2">
      <c r="A260" s="243" t="s">
        <v>240</v>
      </c>
      <c r="B260" s="287">
        <v>16691905.48</v>
      </c>
      <c r="C260" s="287">
        <v>10620688.32</v>
      </c>
      <c r="D260" s="287">
        <v>13610620.65</v>
      </c>
      <c r="E260" s="287">
        <v>13610620.65</v>
      </c>
      <c r="F260" s="321">
        <f t="shared" si="53"/>
        <v>2989932.33</v>
      </c>
      <c r="G260" s="236">
        <f t="shared" si="54"/>
        <v>0.28151963789104029</v>
      </c>
    </row>
    <row r="261" spans="1:7" ht="11.1" customHeight="1" outlineLevel="7" x14ac:dyDescent="0.2">
      <c r="A261" s="243" t="s">
        <v>241</v>
      </c>
      <c r="B261" s="287">
        <v>3236203.28</v>
      </c>
      <c r="C261" s="287">
        <v>4376023.67</v>
      </c>
      <c r="D261" s="287">
        <v>2120821.39</v>
      </c>
      <c r="E261" s="287">
        <v>2120821.39</v>
      </c>
      <c r="F261" s="237">
        <f t="shared" si="53"/>
        <v>-2255202.2799999998</v>
      </c>
      <c r="G261" s="236">
        <f t="shared" si="54"/>
        <v>-0.51535422339248904</v>
      </c>
    </row>
    <row r="262" spans="1:7" ht="11.1" customHeight="1" outlineLevel="6" x14ac:dyDescent="0.2">
      <c r="A262" s="239" t="s">
        <v>242</v>
      </c>
      <c r="B262" s="287">
        <v>45444418.340000004</v>
      </c>
      <c r="C262" s="287">
        <v>17334619.469999999</v>
      </c>
      <c r="D262" s="287">
        <v>15222357.609999999</v>
      </c>
      <c r="E262" s="287">
        <v>15222357.609999999</v>
      </c>
      <c r="F262" s="237">
        <f t="shared" si="53"/>
        <v>-2112261.8599999994</v>
      </c>
      <c r="G262" s="236">
        <f t="shared" si="54"/>
        <v>-0.12185221969571158</v>
      </c>
    </row>
    <row r="263" spans="1:7" ht="11.1" customHeight="1" outlineLevel="4" x14ac:dyDescent="0.2">
      <c r="A263" s="234" t="s">
        <v>243</v>
      </c>
      <c r="B263" s="285">
        <v>61680563.270000003</v>
      </c>
      <c r="C263" s="285">
        <v>66359031.729999997</v>
      </c>
      <c r="D263" s="285">
        <v>59255736.130000003</v>
      </c>
      <c r="E263" s="285">
        <v>57821631.780000001</v>
      </c>
      <c r="F263" s="229">
        <f t="shared" si="53"/>
        <v>-7103295.599999994</v>
      </c>
      <c r="G263" s="228">
        <f t="shared" si="54"/>
        <v>-0.10704338828965598</v>
      </c>
    </row>
    <row r="264" spans="1:7" ht="11.1" customHeight="1" outlineLevel="5" x14ac:dyDescent="0.2">
      <c r="A264" s="235" t="s">
        <v>244</v>
      </c>
      <c r="B264" s="287">
        <v>1689275.8</v>
      </c>
      <c r="C264" s="287">
        <v>577062.55000000005</v>
      </c>
      <c r="D264" s="287">
        <v>987398.99</v>
      </c>
      <c r="E264" s="287">
        <v>987398.99</v>
      </c>
      <c r="F264" s="321">
        <f t="shared" si="53"/>
        <v>410336.43999999994</v>
      </c>
      <c r="G264" s="236">
        <f t="shared" si="54"/>
        <v>0.7110779238749767</v>
      </c>
    </row>
    <row r="265" spans="1:7" ht="11.1" customHeight="1" outlineLevel="5" x14ac:dyDescent="0.2">
      <c r="A265" s="235" t="s">
        <v>243</v>
      </c>
      <c r="B265" s="287">
        <v>332228.36</v>
      </c>
      <c r="C265" s="287">
        <v>1126018.32</v>
      </c>
      <c r="D265" s="287">
        <v>492225.08</v>
      </c>
      <c r="E265" s="287">
        <v>492225.08</v>
      </c>
      <c r="F265" s="237">
        <f t="shared" ref="F265:F308" si="55">D265-C265</f>
        <v>-633793.24</v>
      </c>
      <c r="G265" s="236">
        <f t="shared" si="54"/>
        <v>-0.56286228096182311</v>
      </c>
    </row>
    <row r="266" spans="1:7" ht="11.1" customHeight="1" outlineLevel="5" x14ac:dyDescent="0.2">
      <c r="A266" s="235" t="s">
        <v>245</v>
      </c>
      <c r="B266" s="287">
        <v>22131145.34</v>
      </c>
      <c r="C266" s="287">
        <v>23859067.25</v>
      </c>
      <c r="D266" s="287">
        <v>22073051.77</v>
      </c>
      <c r="E266" s="287">
        <v>20638947.420000002</v>
      </c>
      <c r="F266" s="237">
        <f t="shared" si="55"/>
        <v>-1786015.4800000004</v>
      </c>
      <c r="G266" s="236">
        <f t="shared" si="54"/>
        <v>-7.4856886117373289E-2</v>
      </c>
    </row>
    <row r="267" spans="1:7" ht="11.1" customHeight="1" outlineLevel="5" x14ac:dyDescent="0.2">
      <c r="A267" s="235" t="s">
        <v>246</v>
      </c>
      <c r="B267" s="287">
        <v>2973515.6</v>
      </c>
      <c r="C267" s="287">
        <v>3814885.95</v>
      </c>
      <c r="D267" s="287">
        <v>3519661.18</v>
      </c>
      <c r="E267" s="287">
        <v>3519661.18</v>
      </c>
      <c r="F267" s="237">
        <f t="shared" si="55"/>
        <v>-295224.77</v>
      </c>
      <c r="G267" s="236">
        <f t="shared" si="54"/>
        <v>-7.7387574325780251E-2</v>
      </c>
    </row>
    <row r="268" spans="1:7" ht="11.1" customHeight="1" outlineLevel="5" x14ac:dyDescent="0.2">
      <c r="A268" s="235" t="s">
        <v>247</v>
      </c>
      <c r="B268" s="287">
        <v>26635006.920000002</v>
      </c>
      <c r="C268" s="287">
        <v>26254643.949999999</v>
      </c>
      <c r="D268" s="287">
        <v>23696795.600000001</v>
      </c>
      <c r="E268" s="287">
        <v>23696795.600000001</v>
      </c>
      <c r="F268" s="237">
        <f t="shared" si="55"/>
        <v>-2557848.3499999978</v>
      </c>
      <c r="G268" s="236">
        <f t="shared" si="54"/>
        <v>-9.7424606285700488E-2</v>
      </c>
    </row>
    <row r="269" spans="1:7" ht="11.1" customHeight="1" outlineLevel="5" x14ac:dyDescent="0.2">
      <c r="A269" s="235" t="s">
        <v>248</v>
      </c>
      <c r="B269" s="287">
        <v>135274.54</v>
      </c>
      <c r="C269" s="287">
        <v>234485</v>
      </c>
      <c r="D269" s="287">
        <v>141291.63</v>
      </c>
      <c r="E269" s="287">
        <v>141291.63</v>
      </c>
      <c r="F269" s="237">
        <f t="shared" si="55"/>
        <v>-93193.37</v>
      </c>
      <c r="G269" s="236">
        <f t="shared" si="54"/>
        <v>-0.39743851419067311</v>
      </c>
    </row>
    <row r="270" spans="1:7" ht="11.1" customHeight="1" outlineLevel="5" x14ac:dyDescent="0.2">
      <c r="A270" s="235" t="s">
        <v>249</v>
      </c>
      <c r="B270" s="287">
        <v>147209.89000000001</v>
      </c>
      <c r="C270" s="287">
        <v>221858.25</v>
      </c>
      <c r="D270" s="287">
        <v>108946.76</v>
      </c>
      <c r="E270" s="287">
        <v>108946.76</v>
      </c>
      <c r="F270" s="237">
        <f t="shared" si="55"/>
        <v>-112911.49</v>
      </c>
      <c r="G270" s="236">
        <f t="shared" si="54"/>
        <v>-0.50893527736741817</v>
      </c>
    </row>
    <row r="271" spans="1:7" ht="11.1" customHeight="1" outlineLevel="5" x14ac:dyDescent="0.2">
      <c r="A271" s="235" t="s">
        <v>250</v>
      </c>
      <c r="B271" s="287">
        <v>7636906.8200000003</v>
      </c>
      <c r="C271" s="287">
        <v>10271010.460000001</v>
      </c>
      <c r="D271" s="287">
        <v>8236365.1200000001</v>
      </c>
      <c r="E271" s="287">
        <v>8236365.1200000001</v>
      </c>
      <c r="F271" s="237">
        <f t="shared" si="55"/>
        <v>-2034645.3400000008</v>
      </c>
      <c r="G271" s="236">
        <f t="shared" si="54"/>
        <v>-0.19809592716547586</v>
      </c>
    </row>
    <row r="272" spans="1:7" ht="11.1" customHeight="1" outlineLevel="4" x14ac:dyDescent="0.2">
      <c r="A272" s="234" t="s">
        <v>251</v>
      </c>
      <c r="B272" s="285">
        <v>104713.76</v>
      </c>
      <c r="C272" s="285">
        <v>698740</v>
      </c>
      <c r="D272" s="285">
        <v>208928.36</v>
      </c>
      <c r="E272" s="285">
        <v>208928.36</v>
      </c>
      <c r="F272" s="229">
        <f t="shared" si="55"/>
        <v>-489811.64</v>
      </c>
      <c r="G272" s="228">
        <f t="shared" si="54"/>
        <v>-0.70099270114778034</v>
      </c>
    </row>
    <row r="273" spans="1:12" ht="11.1" customHeight="1" outlineLevel="5" x14ac:dyDescent="0.2">
      <c r="A273" s="235" t="s">
        <v>252</v>
      </c>
      <c r="B273" s="287">
        <v>27408.76</v>
      </c>
      <c r="C273" s="287">
        <v>300000</v>
      </c>
      <c r="D273" s="287">
        <v>2772</v>
      </c>
      <c r="E273" s="287">
        <v>2772</v>
      </c>
      <c r="F273" s="237">
        <f t="shared" si="55"/>
        <v>-297228</v>
      </c>
      <c r="G273" s="236">
        <f t="shared" si="54"/>
        <v>-0.99075999999999997</v>
      </c>
    </row>
    <row r="274" spans="1:12" ht="11.1" customHeight="1" outlineLevel="5" x14ac:dyDescent="0.2">
      <c r="A274" s="235" t="s">
        <v>253</v>
      </c>
      <c r="B274" s="287">
        <v>77305</v>
      </c>
      <c r="C274" s="287">
        <v>398740</v>
      </c>
      <c r="D274" s="287">
        <v>206156.36</v>
      </c>
      <c r="E274" s="287">
        <v>206156.36</v>
      </c>
      <c r="F274" s="237">
        <f t="shared" si="55"/>
        <v>-192583.64</v>
      </c>
      <c r="G274" s="236">
        <f t="shared" si="54"/>
        <v>-0.48298048853889752</v>
      </c>
    </row>
    <row r="275" spans="1:12" ht="11.1" customHeight="1" outlineLevel="4" x14ac:dyDescent="0.2">
      <c r="A275" s="240" t="s">
        <v>172</v>
      </c>
      <c r="B275" s="287">
        <v>5876051.5800000001</v>
      </c>
      <c r="C275" s="287">
        <v>10950259.880000001</v>
      </c>
      <c r="D275" s="287">
        <v>7000202.5599999996</v>
      </c>
      <c r="E275" s="287">
        <v>7000202.5599999996</v>
      </c>
      <c r="F275" s="237">
        <f t="shared" si="55"/>
        <v>-3950057.3200000012</v>
      </c>
      <c r="G275" s="236">
        <f t="shared" si="54"/>
        <v>-0.360727267050031</v>
      </c>
    </row>
    <row r="276" spans="1:12" ht="11.1" customHeight="1" outlineLevel="4" x14ac:dyDescent="0.2">
      <c r="A276" s="234" t="s">
        <v>173</v>
      </c>
      <c r="B276" s="285">
        <v>866744839.60000002</v>
      </c>
      <c r="C276" s="285">
        <v>914502620.50999999</v>
      </c>
      <c r="D276" s="285">
        <v>969413450.20000005</v>
      </c>
      <c r="E276" s="285">
        <v>969413450.20000005</v>
      </c>
      <c r="F276" s="229">
        <f t="shared" si="55"/>
        <v>54910829.690000057</v>
      </c>
      <c r="G276" s="228">
        <f t="shared" si="54"/>
        <v>6.0044474951178817E-2</v>
      </c>
      <c r="H276" s="226">
        <f>C276+C191+C176</f>
        <v>3408561462.6300001</v>
      </c>
      <c r="I276" s="226">
        <f>D276+D191+D176</f>
        <v>3233917012.6700001</v>
      </c>
      <c r="K276" s="226"/>
      <c r="L276" s="221">
        <f>I276/H276*100-100</f>
        <v>-5.1236995980482192</v>
      </c>
    </row>
    <row r="277" spans="1:12" ht="11.1" customHeight="1" outlineLevel="5" x14ac:dyDescent="0.2">
      <c r="A277" s="235" t="s">
        <v>174</v>
      </c>
      <c r="B277" s="287">
        <v>632731216.5</v>
      </c>
      <c r="C277" s="287">
        <v>643780286.03999996</v>
      </c>
      <c r="D277" s="287">
        <v>698359579.54999995</v>
      </c>
      <c r="E277" s="287">
        <v>698359579.54999995</v>
      </c>
      <c r="F277" s="237">
        <f t="shared" si="55"/>
        <v>54579293.50999999</v>
      </c>
      <c r="G277" s="236">
        <f t="shared" si="54"/>
        <v>8.4779380005135518E-2</v>
      </c>
    </row>
    <row r="278" spans="1:12" ht="11.1" customHeight="1" outlineLevel="5" x14ac:dyDescent="0.2">
      <c r="A278" s="235" t="s">
        <v>175</v>
      </c>
      <c r="B278" s="287">
        <v>196646519.46000001</v>
      </c>
      <c r="C278" s="287">
        <v>207977952.02000001</v>
      </c>
      <c r="D278" s="287">
        <v>220227405.19999999</v>
      </c>
      <c r="E278" s="287">
        <v>220227405.19999999</v>
      </c>
      <c r="F278" s="237">
        <f t="shared" si="55"/>
        <v>12249453.179999977</v>
      </c>
      <c r="G278" s="236">
        <f t="shared" si="54"/>
        <v>5.8897844992829018E-2</v>
      </c>
    </row>
    <row r="279" spans="1:12" ht="11.1" customHeight="1" outlineLevel="5" x14ac:dyDescent="0.2">
      <c r="A279" s="235" t="s">
        <v>176</v>
      </c>
      <c r="B279" s="287">
        <v>37367103.640000001</v>
      </c>
      <c r="C279" s="287">
        <v>61517582.450000003</v>
      </c>
      <c r="D279" s="287">
        <v>50719614.049999997</v>
      </c>
      <c r="E279" s="287">
        <v>50719614.049999997</v>
      </c>
      <c r="F279" s="237">
        <f t="shared" si="55"/>
        <v>-10797968.400000006</v>
      </c>
      <c r="G279" s="236">
        <f t="shared" si="54"/>
        <v>-0.17552654005505386</v>
      </c>
    </row>
    <row r="280" spans="1:12" ht="11.1" customHeight="1" outlineLevel="5" x14ac:dyDescent="0.2">
      <c r="A280" s="235" t="s">
        <v>177</v>
      </c>
      <c r="B280" s="287">
        <v>0</v>
      </c>
      <c r="C280" s="287">
        <v>1226800</v>
      </c>
      <c r="D280" s="287">
        <v>106851.4</v>
      </c>
      <c r="E280" s="287">
        <v>106851.4</v>
      </c>
      <c r="F280" s="237">
        <f t="shared" si="55"/>
        <v>-1119948.6000000001</v>
      </c>
      <c r="G280" s="236">
        <f t="shared" si="54"/>
        <v>-0.91290234757091615</v>
      </c>
    </row>
    <row r="281" spans="1:12" ht="11.1" customHeight="1" outlineLevel="4" x14ac:dyDescent="0.2">
      <c r="A281" s="234" t="s">
        <v>178</v>
      </c>
      <c r="B281" s="285">
        <v>3766527.02</v>
      </c>
      <c r="C281" s="285">
        <v>5595777.1100000003</v>
      </c>
      <c r="D281" s="285">
        <v>3505847.12</v>
      </c>
      <c r="E281" s="285">
        <v>3505847.12</v>
      </c>
      <c r="F281" s="229">
        <f t="shared" si="55"/>
        <v>-2089929.9900000002</v>
      </c>
      <c r="G281" s="228">
        <f t="shared" si="54"/>
        <v>-0.37348342310939542</v>
      </c>
    </row>
    <row r="282" spans="1:12" ht="11.1" customHeight="1" outlineLevel="5" x14ac:dyDescent="0.2">
      <c r="A282" s="235" t="s">
        <v>179</v>
      </c>
      <c r="B282" s="287">
        <v>1454493.32</v>
      </c>
      <c r="C282" s="287">
        <v>3523161.94</v>
      </c>
      <c r="D282" s="287">
        <v>1413116.19</v>
      </c>
      <c r="E282" s="287">
        <v>1413116.19</v>
      </c>
      <c r="F282" s="237">
        <f t="shared" si="55"/>
        <v>-2110045.75</v>
      </c>
      <c r="G282" s="236">
        <f t="shared" si="54"/>
        <v>-0.59890683026622393</v>
      </c>
    </row>
    <row r="283" spans="1:12" ht="11.1" customHeight="1" outlineLevel="5" x14ac:dyDescent="0.2">
      <c r="A283" s="235" t="s">
        <v>180</v>
      </c>
      <c r="B283" s="287">
        <v>340075.49</v>
      </c>
      <c r="C283" s="287">
        <v>662838.80000000005</v>
      </c>
      <c r="D283" s="287">
        <v>372143.77</v>
      </c>
      <c r="E283" s="287">
        <v>372143.77</v>
      </c>
      <c r="F283" s="237">
        <f t="shared" si="55"/>
        <v>-290695.03000000003</v>
      </c>
      <c r="G283" s="236">
        <f t="shared" si="54"/>
        <v>-0.4385606726703386</v>
      </c>
    </row>
    <row r="284" spans="1:12" ht="11.1" customHeight="1" outlineLevel="5" x14ac:dyDescent="0.2">
      <c r="A284" s="235" t="s">
        <v>181</v>
      </c>
      <c r="B284" s="287">
        <v>1971958.21</v>
      </c>
      <c r="C284" s="287">
        <v>1409776.37</v>
      </c>
      <c r="D284" s="287">
        <v>1720587.16</v>
      </c>
      <c r="E284" s="287">
        <v>1720587.16</v>
      </c>
      <c r="F284" s="237">
        <f t="shared" si="55"/>
        <v>310810.7899999998</v>
      </c>
      <c r="G284" s="236">
        <f t="shared" si="54"/>
        <v>0.22046815127139618</v>
      </c>
    </row>
    <row r="285" spans="1:12" ht="11.1" customHeight="1" outlineLevel="3" x14ac:dyDescent="0.2">
      <c r="A285" s="246" t="s">
        <v>254</v>
      </c>
      <c r="B285" s="284">
        <v>72271979.200000003</v>
      </c>
      <c r="C285" s="284">
        <v>32731405.949999999</v>
      </c>
      <c r="D285" s="284">
        <v>65484853.359999999</v>
      </c>
      <c r="E285" s="284">
        <v>65484853.359999999</v>
      </c>
      <c r="F285" s="323">
        <f t="shared" si="55"/>
        <v>32753447.41</v>
      </c>
      <c r="G285" s="224">
        <f t="shared" si="54"/>
        <v>1.0006734040093992</v>
      </c>
    </row>
    <row r="286" spans="1:12" ht="11.1" customHeight="1" outlineLevel="4" x14ac:dyDescent="0.2">
      <c r="A286" s="240" t="s">
        <v>255</v>
      </c>
      <c r="B286" s="287">
        <v>312495.25</v>
      </c>
      <c r="C286" s="287">
        <v>214320</v>
      </c>
      <c r="D286" s="287">
        <v>94612.62</v>
      </c>
      <c r="E286" s="287">
        <v>94612.62</v>
      </c>
      <c r="F286" s="237">
        <f t="shared" si="55"/>
        <v>-119707.38</v>
      </c>
      <c r="G286" s="236">
        <f t="shared" si="54"/>
        <v>-0.55854507278835386</v>
      </c>
    </row>
    <row r="287" spans="1:12" ht="11.1" customHeight="1" outlineLevel="4" x14ac:dyDescent="0.2">
      <c r="A287" s="240" t="s">
        <v>256</v>
      </c>
      <c r="B287" s="287">
        <v>6323372.9699999997</v>
      </c>
      <c r="C287" s="287">
        <v>2288350</v>
      </c>
      <c r="D287" s="287">
        <v>8518999.3599999994</v>
      </c>
      <c r="E287" s="287">
        <v>8518999.3599999994</v>
      </c>
      <c r="F287" s="237">
        <f t="shared" si="55"/>
        <v>6230649.3599999994</v>
      </c>
      <c r="G287" s="236">
        <f t="shared" si="54"/>
        <v>2.7227694015338559</v>
      </c>
    </row>
    <row r="288" spans="1:12" ht="11.1" customHeight="1" outlineLevel="4" x14ac:dyDescent="0.2">
      <c r="A288" s="240" t="s">
        <v>257</v>
      </c>
      <c r="B288" s="287">
        <v>296657.88</v>
      </c>
      <c r="C288" s="287">
        <v>635560</v>
      </c>
      <c r="D288" s="287">
        <v>2180074.16</v>
      </c>
      <c r="E288" s="287">
        <v>2180074.16</v>
      </c>
      <c r="F288" s="237">
        <f t="shared" si="55"/>
        <v>1544514.1600000001</v>
      </c>
      <c r="G288" s="236">
        <f t="shared" si="54"/>
        <v>2.430162628233369</v>
      </c>
    </row>
    <row r="289" spans="1:7" ht="11.1" customHeight="1" outlineLevel="4" x14ac:dyDescent="0.2">
      <c r="A289" s="240" t="s">
        <v>258</v>
      </c>
      <c r="B289" s="287">
        <v>26010604.98</v>
      </c>
      <c r="C289" s="287">
        <v>170000</v>
      </c>
      <c r="D289" s="287">
        <v>26166080.969999999</v>
      </c>
      <c r="E289" s="287">
        <v>26166080.969999999</v>
      </c>
      <c r="F289" s="237">
        <f t="shared" si="55"/>
        <v>25996080.969999999</v>
      </c>
      <c r="G289" s="236">
        <f t="shared" si="54"/>
        <v>152.91812335294117</v>
      </c>
    </row>
    <row r="290" spans="1:7" ht="11.1" customHeight="1" outlineLevel="4" x14ac:dyDescent="0.2">
      <c r="A290" s="240" t="s">
        <v>53</v>
      </c>
      <c r="B290" s="287">
        <v>486211.65</v>
      </c>
      <c r="C290" s="287">
        <v>0</v>
      </c>
      <c r="D290" s="287">
        <v>3706580.73</v>
      </c>
      <c r="E290" s="287">
        <v>3706580.73</v>
      </c>
      <c r="F290" s="237">
        <f t="shared" si="55"/>
        <v>3706580.73</v>
      </c>
      <c r="G290" s="236" t="e">
        <f t="shared" si="54"/>
        <v>#DIV/0!</v>
      </c>
    </row>
    <row r="291" spans="1:7" ht="11.1" customHeight="1" outlineLevel="4" x14ac:dyDescent="0.2">
      <c r="A291" s="240" t="s">
        <v>259</v>
      </c>
      <c r="B291" s="287">
        <v>119493.03</v>
      </c>
      <c r="C291" s="287">
        <v>0</v>
      </c>
      <c r="D291" s="287">
        <v>333601.11</v>
      </c>
      <c r="E291" s="287">
        <v>333601.11</v>
      </c>
      <c r="F291" s="237">
        <f t="shared" si="55"/>
        <v>333601.11</v>
      </c>
      <c r="G291" s="236" t="e">
        <f t="shared" si="54"/>
        <v>#DIV/0!</v>
      </c>
    </row>
    <row r="292" spans="1:7" ht="11.1" customHeight="1" outlineLevel="4" x14ac:dyDescent="0.2">
      <c r="A292" s="234" t="s">
        <v>260</v>
      </c>
      <c r="B292" s="285">
        <v>26119906.91</v>
      </c>
      <c r="C292" s="285">
        <v>20755728.920000002</v>
      </c>
      <c r="D292" s="285">
        <v>18718886.68</v>
      </c>
      <c r="E292" s="285">
        <v>18718886.68</v>
      </c>
      <c r="F292" s="229">
        <f t="shared" si="55"/>
        <v>-2036842.2400000021</v>
      </c>
      <c r="G292" s="228">
        <f t="shared" si="54"/>
        <v>-9.8133977749021439E-2</v>
      </c>
    </row>
    <row r="293" spans="1:7" ht="11.1" customHeight="1" outlineLevel="5" x14ac:dyDescent="0.2">
      <c r="A293" s="235" t="s">
        <v>261</v>
      </c>
      <c r="B293" s="287">
        <v>0</v>
      </c>
      <c r="C293" s="287">
        <v>0</v>
      </c>
      <c r="D293" s="287">
        <v>0</v>
      </c>
      <c r="E293" s="287">
        <v>0</v>
      </c>
      <c r="F293" s="237">
        <f t="shared" si="55"/>
        <v>0</v>
      </c>
      <c r="G293" s="236" t="e">
        <f t="shared" si="54"/>
        <v>#DIV/0!</v>
      </c>
    </row>
    <row r="294" spans="1:7" ht="11.1" customHeight="1" outlineLevel="5" x14ac:dyDescent="0.2">
      <c r="A294" s="235" t="s">
        <v>262</v>
      </c>
      <c r="B294" s="287">
        <v>5823967.6699999999</v>
      </c>
      <c r="C294" s="287">
        <v>5940796.2199999997</v>
      </c>
      <c r="D294" s="287">
        <v>6034898</v>
      </c>
      <c r="E294" s="287">
        <v>6034898</v>
      </c>
      <c r="F294" s="237">
        <f t="shared" si="55"/>
        <v>94101.780000000261</v>
      </c>
      <c r="G294" s="236">
        <f t="shared" si="54"/>
        <v>1.5839927261467324E-2</v>
      </c>
    </row>
    <row r="295" spans="1:7" ht="11.1" customHeight="1" outlineLevel="5" x14ac:dyDescent="0.2">
      <c r="A295" s="235" t="s">
        <v>263</v>
      </c>
      <c r="B295" s="287">
        <v>-23844.85</v>
      </c>
      <c r="C295" s="287">
        <v>83786.34</v>
      </c>
      <c r="D295" s="287">
        <v>5018.05</v>
      </c>
      <c r="E295" s="287">
        <v>5018.05</v>
      </c>
      <c r="F295" s="237">
        <f t="shared" si="55"/>
        <v>-78768.289999999994</v>
      </c>
      <c r="G295" s="236">
        <f t="shared" si="54"/>
        <v>-0.94010897241722213</v>
      </c>
    </row>
    <row r="296" spans="1:7" ht="11.1" customHeight="1" outlineLevel="5" x14ac:dyDescent="0.2">
      <c r="A296" s="235" t="s">
        <v>264</v>
      </c>
      <c r="B296" s="287">
        <v>13321185.32</v>
      </c>
      <c r="C296" s="287">
        <v>8806938.3499999996</v>
      </c>
      <c r="D296" s="287">
        <v>4563902.18</v>
      </c>
      <c r="E296" s="287">
        <v>4563902.18</v>
      </c>
      <c r="F296" s="237">
        <f t="shared" si="55"/>
        <v>-4243036.17</v>
      </c>
      <c r="G296" s="236">
        <f t="shared" si="54"/>
        <v>-0.48178333960972941</v>
      </c>
    </row>
    <row r="297" spans="1:7" ht="11.1" customHeight="1" outlineLevel="5" x14ac:dyDescent="0.2">
      <c r="A297" s="235" t="s">
        <v>265</v>
      </c>
      <c r="B297" s="287">
        <v>6998598.7699999996</v>
      </c>
      <c r="C297" s="287">
        <v>5924208.0099999998</v>
      </c>
      <c r="D297" s="287">
        <v>8115068.4500000002</v>
      </c>
      <c r="E297" s="287">
        <v>8115068.4500000002</v>
      </c>
      <c r="F297" s="237">
        <f t="shared" si="55"/>
        <v>2190860.4400000004</v>
      </c>
      <c r="G297" s="236">
        <f t="shared" si="54"/>
        <v>0.36981490796775729</v>
      </c>
    </row>
    <row r="298" spans="1:7" ht="11.1" customHeight="1" outlineLevel="4" x14ac:dyDescent="0.2">
      <c r="A298" s="240" t="s">
        <v>266</v>
      </c>
      <c r="B298" s="287">
        <v>64936.33</v>
      </c>
      <c r="C298" s="287">
        <v>45998</v>
      </c>
      <c r="D298" s="287">
        <v>8776.84</v>
      </c>
      <c r="E298" s="287">
        <v>8776.84</v>
      </c>
      <c r="F298" s="237">
        <f t="shared" si="55"/>
        <v>-37221.160000000003</v>
      </c>
      <c r="G298" s="236">
        <f t="shared" si="54"/>
        <v>-0.80919083438410366</v>
      </c>
    </row>
    <row r="299" spans="1:7" ht="11.1" customHeight="1" outlineLevel="4" x14ac:dyDescent="0.2">
      <c r="A299" s="240" t="s">
        <v>254</v>
      </c>
      <c r="B299" s="287">
        <v>8728240.5899999999</v>
      </c>
      <c r="C299" s="287">
        <v>1290921.32</v>
      </c>
      <c r="D299" s="287">
        <v>9275340.5999999996</v>
      </c>
      <c r="E299" s="287">
        <v>9275340.5999999996</v>
      </c>
      <c r="F299" s="237">
        <f t="shared" si="55"/>
        <v>7984419.2799999993</v>
      </c>
      <c r="G299" s="236">
        <f t="shared" si="54"/>
        <v>6.185054934254242</v>
      </c>
    </row>
    <row r="300" spans="1:7" ht="11.1" customHeight="1" outlineLevel="4" x14ac:dyDescent="0.2">
      <c r="A300" s="240" t="s">
        <v>267</v>
      </c>
      <c r="B300" s="287">
        <v>0</v>
      </c>
      <c r="C300" s="287">
        <v>2130527.71</v>
      </c>
      <c r="D300" s="287">
        <v>1687727.52</v>
      </c>
      <c r="E300" s="287">
        <v>1687727.52</v>
      </c>
      <c r="F300" s="237">
        <f t="shared" si="55"/>
        <v>-442800.18999999994</v>
      </c>
      <c r="G300" s="236">
        <f t="shared" si="54"/>
        <v>-0.20783592155203645</v>
      </c>
    </row>
    <row r="301" spans="1:7" ht="11.1" customHeight="1" outlineLevel="4" x14ac:dyDescent="0.2">
      <c r="A301" s="240" t="s">
        <v>58</v>
      </c>
      <c r="B301" s="287">
        <v>2204378.98</v>
      </c>
      <c r="C301" s="287">
        <v>1300000</v>
      </c>
      <c r="D301" s="287">
        <v>-10629298.58</v>
      </c>
      <c r="E301" s="287">
        <v>-10629298.58</v>
      </c>
      <c r="F301" s="237">
        <f t="shared" si="55"/>
        <v>-11929298.58</v>
      </c>
      <c r="G301" s="236">
        <f t="shared" si="54"/>
        <v>-9.1763835230769235</v>
      </c>
    </row>
    <row r="302" spans="1:7" ht="11.1" customHeight="1" outlineLevel="4" x14ac:dyDescent="0.2">
      <c r="A302" s="240" t="s">
        <v>268</v>
      </c>
      <c r="B302" s="287">
        <v>1585147.06</v>
      </c>
      <c r="C302" s="287">
        <v>3900000</v>
      </c>
      <c r="D302" s="287">
        <v>3818443.27</v>
      </c>
      <c r="E302" s="287">
        <v>3818443.27</v>
      </c>
      <c r="F302" s="237">
        <f t="shared" si="55"/>
        <v>-81556.729999999981</v>
      </c>
      <c r="G302" s="236">
        <f t="shared" si="54"/>
        <v>-2.0911982051282085E-2</v>
      </c>
    </row>
    <row r="303" spans="1:7" ht="11.1" customHeight="1" outlineLevel="4" x14ac:dyDescent="0.2">
      <c r="A303" s="240" t="s">
        <v>269</v>
      </c>
      <c r="B303" s="287">
        <v>7500</v>
      </c>
      <c r="C303" s="287">
        <v>0</v>
      </c>
      <c r="D303" s="287">
        <v>15000</v>
      </c>
      <c r="E303" s="287">
        <v>15000</v>
      </c>
      <c r="F303" s="237">
        <f t="shared" si="55"/>
        <v>15000</v>
      </c>
      <c r="G303" s="236" t="e">
        <f t="shared" si="54"/>
        <v>#DIV/0!</v>
      </c>
    </row>
    <row r="304" spans="1:7" ht="11.1" customHeight="1" outlineLevel="4" x14ac:dyDescent="0.2">
      <c r="A304" s="240" t="s">
        <v>819</v>
      </c>
      <c r="B304" s="287">
        <v>0</v>
      </c>
      <c r="C304" s="287">
        <v>0</v>
      </c>
      <c r="D304" s="287">
        <v>1557200.14</v>
      </c>
      <c r="E304" s="287">
        <v>1557200.14</v>
      </c>
      <c r="F304" s="237">
        <f t="shared" si="55"/>
        <v>1557200.14</v>
      </c>
      <c r="G304" s="236" t="e">
        <f t="shared" si="54"/>
        <v>#DIV/0!</v>
      </c>
    </row>
    <row r="305" spans="1:7" ht="11.1" customHeight="1" outlineLevel="4" x14ac:dyDescent="0.2">
      <c r="A305" s="240" t="s">
        <v>271</v>
      </c>
      <c r="B305" s="287">
        <v>13033.57</v>
      </c>
      <c r="C305" s="287">
        <v>0</v>
      </c>
      <c r="D305" s="287">
        <v>32827.94</v>
      </c>
      <c r="E305" s="287">
        <v>32827.94</v>
      </c>
      <c r="F305" s="237">
        <f t="shared" si="55"/>
        <v>32827.94</v>
      </c>
      <c r="G305" s="236" t="e">
        <f t="shared" si="54"/>
        <v>#DIV/0!</v>
      </c>
    </row>
    <row r="306" spans="1:7" ht="11.1" customHeight="1" outlineLevel="4" x14ac:dyDescent="0.2">
      <c r="A306" s="240" t="s">
        <v>272</v>
      </c>
      <c r="B306" s="287">
        <v>0</v>
      </c>
      <c r="C306" s="287">
        <v>0</v>
      </c>
      <c r="D306" s="287">
        <v>0</v>
      </c>
      <c r="E306" s="287">
        <v>0</v>
      </c>
      <c r="F306" s="237">
        <f t="shared" si="55"/>
        <v>0</v>
      </c>
      <c r="G306" s="236" t="e">
        <f t="shared" si="54"/>
        <v>#DIV/0!</v>
      </c>
    </row>
    <row r="307" spans="1:7" ht="11.1" customHeight="1" outlineLevel="1" x14ac:dyDescent="0.2">
      <c r="A307" s="247" t="s">
        <v>273</v>
      </c>
      <c r="B307" s="287">
        <v>-17103263.199999999</v>
      </c>
      <c r="C307" s="287">
        <v>-31171899.48</v>
      </c>
      <c r="D307" s="287">
        <v>12729944.08</v>
      </c>
      <c r="E307" s="287">
        <v>5205037.22</v>
      </c>
      <c r="F307" s="321">
        <f t="shared" si="55"/>
        <v>43901843.560000002</v>
      </c>
      <c r="G307" s="236">
        <f t="shared" si="54"/>
        <v>-1.4083788377467203</v>
      </c>
    </row>
    <row r="308" spans="1:7" ht="11.1" customHeight="1" outlineLevel="1" x14ac:dyDescent="0.2">
      <c r="A308" s="247" t="s">
        <v>274</v>
      </c>
      <c r="B308" s="287">
        <v>500.77</v>
      </c>
      <c r="C308" s="287">
        <v>0</v>
      </c>
      <c r="D308" s="287">
        <v>-232145.42</v>
      </c>
      <c r="E308" s="287">
        <v>-232145.42</v>
      </c>
      <c r="F308" s="237">
        <f t="shared" si="55"/>
        <v>-232145.42</v>
      </c>
      <c r="G308" s="236" t="e">
        <f t="shared" si="54"/>
        <v>#DIV/0!</v>
      </c>
    </row>
    <row r="310" spans="1:7" ht="11.45" customHeight="1" x14ac:dyDescent="0.2">
      <c r="B310" s="219">
        <v>-1</v>
      </c>
      <c r="C310" s="289">
        <f>C119+C307+C308</f>
        <v>5326925000.4100018</v>
      </c>
      <c r="D310" s="289">
        <f t="shared" ref="D310:E310" si="56">D119+D307+D308</f>
        <v>5471242759.7299986</v>
      </c>
      <c r="E310" s="289">
        <f t="shared" si="56"/>
        <v>5335227634.1400003</v>
      </c>
      <c r="F310" s="225">
        <f t="shared" ref="F310" si="57">D310-C310</f>
        <v>144317759.31999683</v>
      </c>
      <c r="G310" s="224">
        <f t="shared" ref="G310" si="58">D310/C310-1</f>
        <v>2.7092132761187493E-2</v>
      </c>
    </row>
  </sheetData>
  <mergeCells count="1">
    <mergeCell ref="C5:G5"/>
  </mergeCells>
  <conditionalFormatting sqref="G7:G44 G46:G60 G120">
    <cfRule type="cellIs" dxfId="49" priority="3" operator="lessThan">
      <formula>0</formula>
    </cfRule>
  </conditionalFormatting>
  <conditionalFormatting sqref="G119 G121:G308">
    <cfRule type="cellIs" dxfId="48" priority="2" operator="greaterThan">
      <formula>0</formula>
    </cfRule>
  </conditionalFormatting>
  <conditionalFormatting sqref="G310">
    <cfRule type="cellIs" dxfId="47" priority="1" operator="greaterThan">
      <formula>0</formula>
    </cfRule>
  </conditionalFormatting>
  <pageMargins left="0.75" right="1" top="0.75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zoomScale="140" zoomScaleNormal="140" workbookViewId="0">
      <selection activeCell="K5" sqref="K5"/>
    </sheetView>
  </sheetViews>
  <sheetFormatPr defaultRowHeight="15" x14ac:dyDescent="0.25"/>
  <cols>
    <col min="1" max="1" width="34.140625" customWidth="1"/>
    <col min="2" max="10" width="12.7109375" customWidth="1"/>
    <col min="12" max="12" width="44.5703125" customWidth="1"/>
    <col min="13" max="13" width="38.5703125" customWidth="1"/>
    <col min="14" max="15" width="29.85546875" customWidth="1"/>
    <col min="16" max="17" width="19.140625" customWidth="1"/>
  </cols>
  <sheetData>
    <row r="2" spans="1:17" ht="34.5" customHeight="1" x14ac:dyDescent="0.25">
      <c r="A2" s="211"/>
      <c r="B2" s="210" t="s">
        <v>5</v>
      </c>
      <c r="C2" s="210" t="s">
        <v>5</v>
      </c>
      <c r="D2" s="210" t="s">
        <v>5</v>
      </c>
      <c r="E2" s="210" t="s">
        <v>5</v>
      </c>
      <c r="F2" s="210" t="s">
        <v>5</v>
      </c>
      <c r="G2" s="210" t="s">
        <v>5</v>
      </c>
      <c r="H2" s="210" t="s">
        <v>5</v>
      </c>
      <c r="I2" s="210" t="s">
        <v>5</v>
      </c>
      <c r="J2" s="210" t="s">
        <v>5</v>
      </c>
      <c r="L2" s="291" t="s">
        <v>836</v>
      </c>
      <c r="M2" s="291" t="s">
        <v>837</v>
      </c>
      <c r="N2" s="292" t="s">
        <v>778</v>
      </c>
      <c r="O2" s="292" t="s">
        <v>779</v>
      </c>
      <c r="P2" s="292" t="s">
        <v>780</v>
      </c>
      <c r="Q2" s="292" t="s">
        <v>781</v>
      </c>
    </row>
    <row r="3" spans="1:17" ht="28.5" customHeight="1" x14ac:dyDescent="0.25">
      <c r="A3" s="211" t="s">
        <v>3</v>
      </c>
      <c r="B3" s="210" t="s">
        <v>827</v>
      </c>
      <c r="C3" s="210" t="s">
        <v>828</v>
      </c>
      <c r="D3" s="210" t="s">
        <v>829</v>
      </c>
      <c r="E3" s="210" t="s">
        <v>830</v>
      </c>
      <c r="F3" s="210" t="s">
        <v>831</v>
      </c>
      <c r="G3" s="210" t="s">
        <v>832</v>
      </c>
      <c r="H3" s="210" t="s">
        <v>833</v>
      </c>
      <c r="I3" s="210" t="s">
        <v>834</v>
      </c>
      <c r="J3" s="210" t="s">
        <v>835</v>
      </c>
      <c r="L3" s="293" t="s">
        <v>782</v>
      </c>
      <c r="M3" s="294">
        <f>'[2]январь-июнь'!$U$106</f>
        <v>4768649</v>
      </c>
      <c r="N3" s="294">
        <f>'[2]январь-июнь'!$I$101</f>
        <v>5086810.9361400008</v>
      </c>
      <c r="O3" s="294">
        <f>'[2]январь-июнь'!$O$101</f>
        <v>5172599.6897100005</v>
      </c>
      <c r="P3" s="295">
        <f>O3/N3</f>
        <v>1.0168649384942736</v>
      </c>
      <c r="Q3" s="296">
        <f>O3-N3</f>
        <v>85788.75356999971</v>
      </c>
    </row>
    <row r="4" spans="1:17" ht="23.25" customHeight="1" x14ac:dyDescent="0.25">
      <c r="A4" s="212" t="s">
        <v>365</v>
      </c>
      <c r="B4" s="265">
        <f>'[3]Нарастающий с ФОТ '!$F$98</f>
        <v>3580360.1109698145</v>
      </c>
      <c r="C4" s="265">
        <f>'[4]Нарастающий  итог  '!$F$98</f>
        <v>3937462.1388452034</v>
      </c>
      <c r="D4" s="265">
        <f>'[5]6 мес. БУ с изм Уфа-Калуга'!$H$99</f>
        <v>4328870.82</v>
      </c>
      <c r="E4" s="265">
        <f>'[5]6 мес. БУ с изм Уфа-Калуга'!$G$99</f>
        <v>4839285.5999999996</v>
      </c>
      <c r="F4" s="213">
        <f>4502530761.16/1000</f>
        <v>4502530.7611600002</v>
      </c>
      <c r="G4" s="213">
        <f>4600953306.52/1000</f>
        <v>4600953.3065200001</v>
      </c>
      <c r="H4" s="209">
        <f>4387013735.24/1000</f>
        <v>4387013.7352399994</v>
      </c>
      <c r="I4" s="209">
        <f>4556519160.14/1000</f>
        <v>4556519.1601400003</v>
      </c>
      <c r="J4" s="209">
        <f>5172599689.71/1000</f>
        <v>5172599.6897099996</v>
      </c>
      <c r="L4" s="293" t="s">
        <v>7</v>
      </c>
      <c r="M4" s="294">
        <f>'[2]январь-июнь'!$Y$106</f>
        <v>-80163</v>
      </c>
      <c r="N4" s="294">
        <f>'[2]январь-июнь'!$S$101</f>
        <v>-124686.97591999997</v>
      </c>
      <c r="O4" s="294">
        <f>'[2]январь-июнь'!$Y$101</f>
        <v>-25785.070910000126</v>
      </c>
      <c r="P4" s="295">
        <f>(O4/N4-1)*-1</f>
        <v>0.79320156961265942</v>
      </c>
      <c r="Q4" s="296">
        <f>O4-N4</f>
        <v>98901.905009999842</v>
      </c>
    </row>
    <row r="5" spans="1:17" x14ac:dyDescent="0.25">
      <c r="A5" s="212" t="s">
        <v>7</v>
      </c>
      <c r="B5" s="265">
        <f>'[3]Нарастающий с ФОТ '!$N$98</f>
        <v>-123440.26756200015</v>
      </c>
      <c r="C5" s="265">
        <f>'[4]Нарастающий  итог  '!$L$98</f>
        <v>-245448.06266027116</v>
      </c>
      <c r="D5" s="265">
        <f>'[5]6 мес. БУ с изм Уфа-Калуга'!$R$99</f>
        <v>-62287.199999999997</v>
      </c>
      <c r="E5" s="265">
        <f>'[5]6 мес. БУ с изм Уфа-Калуга'!$Q$99</f>
        <v>54804.88</v>
      </c>
      <c r="F5" s="209">
        <f>-91854880.99/1000</f>
        <v>-91854.880989999991</v>
      </c>
      <c r="G5" s="209">
        <f>-56998301.79/1000</f>
        <v>-56998.301789999998</v>
      </c>
      <c r="H5" s="209">
        <f>-235789170.03/1000</f>
        <v>-235789.17003000001</v>
      </c>
      <c r="I5" s="209">
        <f>-272618641.96/1000</f>
        <v>-272618.64195999998</v>
      </c>
      <c r="J5" s="209">
        <f>-25785070.91/1000</f>
        <v>-25785.070909999999</v>
      </c>
    </row>
    <row r="6" spans="1:17" x14ac:dyDescent="0.25">
      <c r="A6" s="212" t="s">
        <v>880</v>
      </c>
      <c r="H6" s="176">
        <f>'[6]6 мес.'!$N$106</f>
        <v>4351983</v>
      </c>
      <c r="I6" s="176">
        <f>'[7]6 мес.'!$Q$103</f>
        <v>4933990</v>
      </c>
      <c r="J6" s="176">
        <f>M3</f>
        <v>4768649</v>
      </c>
    </row>
    <row r="7" spans="1:17" x14ac:dyDescent="0.25">
      <c r="A7" s="212" t="s">
        <v>881</v>
      </c>
      <c r="H7" s="176">
        <f>'[6]6 мес.'!$N$110</f>
        <v>-236853</v>
      </c>
      <c r="I7" s="176">
        <f>'[7]6 мес.'!$U$103</f>
        <v>-104132</v>
      </c>
      <c r="J7" s="176">
        <f>M4</f>
        <v>-80163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310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0" sqref="F120"/>
    </sheetView>
  </sheetViews>
  <sheetFormatPr defaultColWidth="21.28515625" defaultRowHeight="11.45" customHeight="1" outlineLevelRow="7" x14ac:dyDescent="0.2"/>
  <cols>
    <col min="1" max="1" width="49.7109375" style="218" customWidth="1"/>
    <col min="2" max="2" width="21.28515625" style="219"/>
    <col min="3" max="4" width="21.28515625" style="288"/>
    <col min="5" max="5" width="0" style="288" hidden="1" customWidth="1"/>
    <col min="6" max="6" width="21.28515625" style="218"/>
    <col min="7" max="7" width="21.28515625" style="219"/>
    <col min="8" max="16384" width="21.28515625" style="221"/>
  </cols>
  <sheetData>
    <row r="1" spans="1:14" s="218" customFormat="1" ht="9.9499999999999993" customHeight="1" x14ac:dyDescent="0.2">
      <c r="B1" s="219"/>
      <c r="C1" s="288"/>
      <c r="D1" s="288"/>
      <c r="E1" s="288"/>
      <c r="G1" s="219"/>
    </row>
    <row r="2" spans="1:14" ht="24.95" customHeight="1" x14ac:dyDescent="0.2">
      <c r="A2" s="220" t="s">
        <v>900</v>
      </c>
    </row>
    <row r="3" spans="1:14" s="218" customFormat="1" ht="9.9499999999999993" customHeight="1" x14ac:dyDescent="0.2">
      <c r="B3" s="219">
        <v>-1</v>
      </c>
      <c r="C3" s="289"/>
      <c r="D3" s="288"/>
      <c r="E3" s="288"/>
      <c r="G3" s="219"/>
    </row>
    <row r="4" spans="1:14" s="218" customFormat="1" ht="9.9499999999999993" customHeight="1" x14ac:dyDescent="0.2">
      <c r="B4" s="219"/>
      <c r="C4" s="288"/>
      <c r="D4" s="288"/>
      <c r="E4" s="288"/>
      <c r="G4" s="219"/>
    </row>
    <row r="5" spans="1:14" ht="26.1" customHeight="1" x14ac:dyDescent="0.2">
      <c r="A5" s="222"/>
      <c r="B5" s="328" t="s">
        <v>901</v>
      </c>
      <c r="C5" s="469" t="s">
        <v>902</v>
      </c>
      <c r="D5" s="470"/>
      <c r="E5" s="470"/>
      <c r="F5" s="470"/>
      <c r="G5" s="471"/>
    </row>
    <row r="6" spans="1:14" ht="12.75" x14ac:dyDescent="0.2">
      <c r="A6" s="222" t="s">
        <v>3</v>
      </c>
      <c r="B6" s="290" t="s">
        <v>813</v>
      </c>
      <c r="C6" s="264" t="s">
        <v>408</v>
      </c>
      <c r="D6" s="290" t="s">
        <v>813</v>
      </c>
      <c r="E6" s="290" t="s">
        <v>855</v>
      </c>
      <c r="F6" s="290" t="s">
        <v>820</v>
      </c>
      <c r="G6" s="264" t="s">
        <v>821</v>
      </c>
    </row>
    <row r="7" spans="1:14" ht="11.1" customHeight="1" x14ac:dyDescent="0.2">
      <c r="A7" s="223" t="s">
        <v>7</v>
      </c>
      <c r="B7" s="361">
        <v>-100076092.62</v>
      </c>
      <c r="C7" s="284">
        <v>-54801189.240000002</v>
      </c>
      <c r="D7" s="284">
        <v>62354939.729999997</v>
      </c>
      <c r="E7" s="284">
        <v>62354939.729999997</v>
      </c>
      <c r="F7" s="225">
        <f>D7-C7</f>
        <v>117156128.97</v>
      </c>
      <c r="G7" s="224">
        <f>(D7/C7-1)*-1</f>
        <v>2.1378391709150435</v>
      </c>
    </row>
    <row r="8" spans="1:14" ht="11.1" customHeight="1" outlineLevel="1" x14ac:dyDescent="0.2">
      <c r="A8" s="227" t="s">
        <v>8</v>
      </c>
      <c r="B8" s="361">
        <v>-93007506.370000005</v>
      </c>
      <c r="C8" s="285">
        <v>-68614253.189999998</v>
      </c>
      <c r="D8" s="285">
        <v>90533590.569999993</v>
      </c>
      <c r="E8" s="285">
        <v>90533590.569999993</v>
      </c>
      <c r="F8" s="229">
        <f t="shared" ref="F8:F72" si="0">D8-C8</f>
        <v>159147843.75999999</v>
      </c>
      <c r="G8" s="228">
        <f>(D8/C8-1)*-1</f>
        <v>2.3194574940472363</v>
      </c>
      <c r="J8" s="221">
        <v>1000</v>
      </c>
    </row>
    <row r="9" spans="1:14" ht="11.1" customHeight="1" outlineLevel="2" x14ac:dyDescent="0.2">
      <c r="A9" s="230" t="s">
        <v>9</v>
      </c>
      <c r="B9" s="361">
        <v>5575160088.1300001</v>
      </c>
      <c r="C9" s="284">
        <v>6175616056.2599993</v>
      </c>
      <c r="D9" s="284">
        <v>6419911396.3699999</v>
      </c>
      <c r="E9" s="284">
        <v>6419911396.3699999</v>
      </c>
      <c r="F9" s="225">
        <f t="shared" si="0"/>
        <v>244295340.11000061</v>
      </c>
      <c r="G9" s="224">
        <f t="shared" ref="G9:G73" si="1">D9/C9-1</f>
        <v>3.9558051842029096E-2</v>
      </c>
    </row>
    <row r="10" spans="1:14" ht="11.1" customHeight="1" outlineLevel="3" x14ac:dyDescent="0.2">
      <c r="A10" s="231" t="s">
        <v>10</v>
      </c>
      <c r="B10" s="361">
        <v>5451533704.8800001</v>
      </c>
      <c r="C10" s="286">
        <v>6040335188.3599997</v>
      </c>
      <c r="D10" s="286">
        <v>6263515130.3000002</v>
      </c>
      <c r="E10" s="286">
        <v>6263515130.3000002</v>
      </c>
      <c r="F10" s="233">
        <f t="shared" si="0"/>
        <v>223179941.94000053</v>
      </c>
      <c r="G10" s="232">
        <f t="shared" si="1"/>
        <v>3.694827107775045E-2</v>
      </c>
      <c r="J10" s="221" t="s">
        <v>754</v>
      </c>
      <c r="K10" s="221" t="s">
        <v>389</v>
      </c>
      <c r="L10" s="221" t="s">
        <v>414</v>
      </c>
      <c r="M10" s="221" t="s">
        <v>754</v>
      </c>
      <c r="N10" s="221" t="s">
        <v>864</v>
      </c>
    </row>
    <row r="11" spans="1:14" ht="11.1" customHeight="1" outlineLevel="4" x14ac:dyDescent="0.2">
      <c r="A11" s="234" t="s">
        <v>11</v>
      </c>
      <c r="B11" s="361">
        <v>1338407555.4400001</v>
      </c>
      <c r="C11" s="285">
        <v>1393079248.7900002</v>
      </c>
      <c r="D11" s="285">
        <v>1458924055.26</v>
      </c>
      <c r="E11" s="285">
        <v>1458924055.26</v>
      </c>
      <c r="F11" s="229">
        <f t="shared" si="0"/>
        <v>65844806.46999979</v>
      </c>
      <c r="G11" s="228">
        <f t="shared" si="1"/>
        <v>4.7265657375336945E-2</v>
      </c>
      <c r="I11" s="221" t="s">
        <v>860</v>
      </c>
      <c r="J11" s="226">
        <v>13182</v>
      </c>
      <c r="K11" s="226">
        <v>11928</v>
      </c>
      <c r="L11" s="226">
        <v>20715</v>
      </c>
      <c r="M11" s="226">
        <v>13182</v>
      </c>
      <c r="N11" s="318">
        <f t="shared" ref="N11:N18" si="2">M11/L11-100%</f>
        <v>-0.36364952932657491</v>
      </c>
    </row>
    <row r="12" spans="1:14" ht="11.1" customHeight="1" outlineLevel="4" x14ac:dyDescent="0.2">
      <c r="A12" s="234"/>
      <c r="B12" s="285"/>
      <c r="C12" s="285"/>
      <c r="D12" s="285"/>
      <c r="E12" s="285"/>
      <c r="F12" s="229"/>
      <c r="G12" s="228"/>
      <c r="I12" s="221" t="s">
        <v>866</v>
      </c>
      <c r="J12" s="226">
        <v>65229</v>
      </c>
      <c r="K12" s="226">
        <v>55765</v>
      </c>
      <c r="L12" s="226">
        <v>62251</v>
      </c>
      <c r="M12" s="226">
        <v>65229</v>
      </c>
      <c r="N12" s="318">
        <f t="shared" si="2"/>
        <v>4.7838588938330373E-2</v>
      </c>
    </row>
    <row r="13" spans="1:14" ht="11.1" customHeight="1" outlineLevel="5" x14ac:dyDescent="0.2">
      <c r="A13" s="235" t="s">
        <v>12</v>
      </c>
      <c r="B13" s="362">
        <v>1119550673.8699999</v>
      </c>
      <c r="C13" s="287">
        <v>1137377791.3299999</v>
      </c>
      <c r="D13" s="287">
        <v>1213919810.8399999</v>
      </c>
      <c r="E13" s="287">
        <v>1213919810.8399999</v>
      </c>
      <c r="F13" s="237">
        <f t="shared" si="0"/>
        <v>76542019.50999999</v>
      </c>
      <c r="G13" s="236">
        <f t="shared" si="1"/>
        <v>6.7296917605974338E-2</v>
      </c>
      <c r="I13" s="221" t="s">
        <v>859</v>
      </c>
      <c r="J13" s="226">
        <v>246139</v>
      </c>
      <c r="K13" s="226">
        <v>218503</v>
      </c>
      <c r="L13" s="226">
        <v>276664</v>
      </c>
      <c r="M13" s="226">
        <v>246139</v>
      </c>
      <c r="N13" s="318">
        <f t="shared" si="2"/>
        <v>-0.11033238874591567</v>
      </c>
    </row>
    <row r="14" spans="1:14" ht="11.1" customHeight="1" outlineLevel="5" x14ac:dyDescent="0.2">
      <c r="A14" s="235" t="s">
        <v>13</v>
      </c>
      <c r="B14" s="362">
        <v>65413832.450000003</v>
      </c>
      <c r="C14" s="287">
        <v>93070720.819999993</v>
      </c>
      <c r="D14" s="287">
        <v>70575628.329999998</v>
      </c>
      <c r="E14" s="287">
        <v>70575628.329999998</v>
      </c>
      <c r="F14" s="237">
        <f t="shared" si="0"/>
        <v>-22495092.489999995</v>
      </c>
      <c r="G14" s="236">
        <f t="shared" si="1"/>
        <v>-0.24169891768116636</v>
      </c>
      <c r="I14" s="221" t="s">
        <v>865</v>
      </c>
      <c r="J14" s="226">
        <v>717529</v>
      </c>
      <c r="K14" s="226">
        <v>685235</v>
      </c>
      <c r="L14" s="226">
        <v>744548</v>
      </c>
      <c r="M14" s="226">
        <v>717529</v>
      </c>
      <c r="N14" s="318">
        <f t="shared" si="2"/>
        <v>-3.6289131123849683E-2</v>
      </c>
    </row>
    <row r="15" spans="1:14" ht="11.1" customHeight="1" outlineLevel="5" x14ac:dyDescent="0.2">
      <c r="A15" s="235" t="s">
        <v>14</v>
      </c>
      <c r="B15" s="362">
        <v>153443049.12</v>
      </c>
      <c r="C15" s="287">
        <v>162630736.63999999</v>
      </c>
      <c r="D15" s="287">
        <v>174428616.09</v>
      </c>
      <c r="E15" s="287">
        <v>174428616.09</v>
      </c>
      <c r="F15" s="237">
        <f t="shared" si="0"/>
        <v>11797879.450000018</v>
      </c>
      <c r="G15" s="236">
        <f t="shared" si="1"/>
        <v>7.2543971045988975E-2</v>
      </c>
      <c r="I15" s="221" t="s">
        <v>863</v>
      </c>
      <c r="J15" s="226">
        <v>758658</v>
      </c>
      <c r="K15" s="226">
        <v>837150</v>
      </c>
      <c r="L15" s="226">
        <v>873614</v>
      </c>
      <c r="M15" s="226">
        <v>758658</v>
      </c>
      <c r="N15" s="318">
        <f t="shared" si="2"/>
        <v>-0.13158671907730413</v>
      </c>
    </row>
    <row r="16" spans="1:14" ht="11.1" customHeight="1" outlineLevel="4" x14ac:dyDescent="0.2">
      <c r="A16" s="234" t="s">
        <v>15</v>
      </c>
      <c r="B16" s="361">
        <v>2064572251.3500001</v>
      </c>
      <c r="C16" s="285">
        <v>2136596021.6199999</v>
      </c>
      <c r="D16" s="285">
        <v>2065294301.3699999</v>
      </c>
      <c r="E16" s="285">
        <v>2065294301.3699999</v>
      </c>
      <c r="F16" s="229">
        <f t="shared" si="0"/>
        <v>-71301720.25</v>
      </c>
      <c r="G16" s="228">
        <f t="shared" si="1"/>
        <v>-3.337164327205755E-2</v>
      </c>
      <c r="I16" s="221" t="s">
        <v>857</v>
      </c>
      <c r="J16" s="226">
        <v>975326</v>
      </c>
      <c r="K16" s="226">
        <v>881007</v>
      </c>
      <c r="L16" s="226">
        <v>924422</v>
      </c>
      <c r="M16" s="226">
        <v>975326</v>
      </c>
      <c r="N16" s="318">
        <f t="shared" si="2"/>
        <v>5.50657600100386E-2</v>
      </c>
    </row>
    <row r="17" spans="1:15" ht="11.1" customHeight="1" outlineLevel="5" x14ac:dyDescent="0.2">
      <c r="A17" s="238" t="s">
        <v>16</v>
      </c>
      <c r="B17" s="361">
        <v>1060846979.9400001</v>
      </c>
      <c r="C17" s="285">
        <v>1108323612.24</v>
      </c>
      <c r="D17" s="285">
        <v>1152305988.6700001</v>
      </c>
      <c r="E17" s="285">
        <v>1152305988.6700001</v>
      </c>
      <c r="F17" s="229">
        <f t="shared" si="0"/>
        <v>43982376.430000067</v>
      </c>
      <c r="G17" s="228">
        <f t="shared" si="1"/>
        <v>3.9683695217057169E-2</v>
      </c>
      <c r="I17" s="221" t="s">
        <v>856</v>
      </c>
      <c r="J17" s="226">
        <v>1245512</v>
      </c>
      <c r="K17" s="226">
        <v>1126991</v>
      </c>
      <c r="L17" s="226">
        <v>1175260</v>
      </c>
      <c r="M17" s="226">
        <v>1245512</v>
      </c>
      <c r="N17" s="318">
        <f t="shared" si="2"/>
        <v>5.977570920477171E-2</v>
      </c>
    </row>
    <row r="18" spans="1:15" ht="11.1" customHeight="1" outlineLevel="6" x14ac:dyDescent="0.2">
      <c r="A18" s="239" t="s">
        <v>17</v>
      </c>
      <c r="B18" s="362">
        <v>510757155.74000001</v>
      </c>
      <c r="C18" s="287">
        <v>548332646.05999994</v>
      </c>
      <c r="D18" s="287">
        <v>557583678.85000002</v>
      </c>
      <c r="E18" s="287">
        <v>557583678.85000002</v>
      </c>
      <c r="F18" s="237">
        <f t="shared" si="0"/>
        <v>9251032.7900000811</v>
      </c>
      <c r="G18" s="236">
        <f t="shared" si="1"/>
        <v>1.6871205565586189E-2</v>
      </c>
      <c r="I18" s="221" t="s">
        <v>858</v>
      </c>
      <c r="J18" s="226">
        <v>1301837</v>
      </c>
      <c r="K18" s="226">
        <v>728666</v>
      </c>
      <c r="L18" s="226">
        <v>993201</v>
      </c>
      <c r="M18" s="226">
        <v>1301837</v>
      </c>
      <c r="N18" s="318">
        <f t="shared" si="2"/>
        <v>0.31074878096175906</v>
      </c>
    </row>
    <row r="19" spans="1:15" ht="11.1" customHeight="1" outlineLevel="6" x14ac:dyDescent="0.2">
      <c r="A19" s="239" t="s">
        <v>18</v>
      </c>
      <c r="B19" s="362">
        <v>395399528.06999999</v>
      </c>
      <c r="C19" s="287">
        <v>411526148.06999999</v>
      </c>
      <c r="D19" s="287">
        <v>428120044.81</v>
      </c>
      <c r="E19" s="287">
        <v>428120044.81</v>
      </c>
      <c r="F19" s="237">
        <f t="shared" si="0"/>
        <v>16593896.74000001</v>
      </c>
      <c r="G19" s="236">
        <f t="shared" si="1"/>
        <v>4.0322824728934226E-2</v>
      </c>
      <c r="J19" s="226"/>
      <c r="K19" s="226"/>
      <c r="L19" s="226"/>
      <c r="M19" s="226"/>
      <c r="N19" s="318"/>
    </row>
    <row r="20" spans="1:15" ht="11.1" customHeight="1" outlineLevel="6" x14ac:dyDescent="0.2">
      <c r="A20" s="239" t="s">
        <v>19</v>
      </c>
      <c r="B20" s="362">
        <v>154690296.13</v>
      </c>
      <c r="C20" s="287">
        <v>148464818.11000001</v>
      </c>
      <c r="D20" s="287">
        <v>166602265.00999999</v>
      </c>
      <c r="E20" s="287">
        <v>166602265.00999999</v>
      </c>
      <c r="F20" s="237">
        <f t="shared" si="0"/>
        <v>18137446.899999976</v>
      </c>
      <c r="G20" s="236">
        <f t="shared" si="1"/>
        <v>0.12216663268035433</v>
      </c>
      <c r="I20" s="221" t="s">
        <v>860</v>
      </c>
      <c r="J20" s="226">
        <f>M20</f>
        <v>47343.63</v>
      </c>
      <c r="K20" s="226">
        <f>(B36)/1000</f>
        <v>14563.19543</v>
      </c>
      <c r="L20" s="226">
        <f>(C36)/1000</f>
        <v>25269.340899999999</v>
      </c>
      <c r="M20" s="226">
        <f>(D36)/1000</f>
        <v>47343.63</v>
      </c>
      <c r="N20" s="318">
        <f t="shared" ref="N20:N27" si="3">M20/L20-100%</f>
        <v>0.87356014497394341</v>
      </c>
      <c r="O20" s="226">
        <f>J20-L20</f>
        <v>22074.289099999998</v>
      </c>
    </row>
    <row r="21" spans="1:15" ht="11.1" customHeight="1" outlineLevel="5" x14ac:dyDescent="0.2">
      <c r="A21" s="238" t="s">
        <v>20</v>
      </c>
      <c r="B21" s="361">
        <v>989766358.54999995</v>
      </c>
      <c r="C21" s="285">
        <v>1006960162.84</v>
      </c>
      <c r="D21" s="285">
        <v>895190525.09000003</v>
      </c>
      <c r="E21" s="285">
        <v>895190525.09000003</v>
      </c>
      <c r="F21" s="229">
        <f t="shared" si="0"/>
        <v>-111769637.75</v>
      </c>
      <c r="G21" s="228">
        <f t="shared" si="1"/>
        <v>-0.11099707999844632</v>
      </c>
      <c r="I21" s="221" t="s">
        <v>866</v>
      </c>
      <c r="J21" s="226">
        <f t="shared" ref="J21:J27" si="4">M21</f>
        <v>75452.13109000001</v>
      </c>
      <c r="K21" s="226">
        <f>(B35)/1000</f>
        <v>66846.049159999995</v>
      </c>
      <c r="L21" s="226">
        <f>(C35)/1000</f>
        <v>74767.159879999992</v>
      </c>
      <c r="M21" s="226">
        <f>(D35)/1000</f>
        <v>75452.13109000001</v>
      </c>
      <c r="N21" s="318">
        <f t="shared" si="3"/>
        <v>9.1613913260766289E-3</v>
      </c>
      <c r="O21" s="226">
        <f t="shared" ref="O21:O27" si="5">J21-L21</f>
        <v>684.97121000001789</v>
      </c>
    </row>
    <row r="22" spans="1:15" ht="11.1" customHeight="1" outlineLevel="6" x14ac:dyDescent="0.2">
      <c r="A22" s="239" t="s">
        <v>814</v>
      </c>
      <c r="B22" s="362">
        <v>231693125.03999999</v>
      </c>
      <c r="C22" s="287">
        <v>260208987.05000001</v>
      </c>
      <c r="D22" s="287">
        <v>206392622.28</v>
      </c>
      <c r="E22" s="287">
        <v>206392622.28</v>
      </c>
      <c r="F22" s="237">
        <f t="shared" si="0"/>
        <v>-53816364.770000011</v>
      </c>
      <c r="G22" s="236">
        <f t="shared" si="1"/>
        <v>-0.20681977736479573</v>
      </c>
      <c r="I22" s="221" t="s">
        <v>859</v>
      </c>
      <c r="J22" s="226">
        <f t="shared" si="4"/>
        <v>302083.59267000004</v>
      </c>
      <c r="K22" s="226">
        <f>(B34)/1000</f>
        <v>274106.52849</v>
      </c>
      <c r="L22" s="226">
        <f>(C34)/1000</f>
        <v>349193.65194000001</v>
      </c>
      <c r="M22" s="226">
        <f>(D34)/1000</f>
        <v>302083.59267000004</v>
      </c>
      <c r="N22" s="318">
        <f t="shared" si="3"/>
        <v>-0.13491098422973224</v>
      </c>
      <c r="O22" s="226">
        <f t="shared" si="5"/>
        <v>-47110.059269999969</v>
      </c>
    </row>
    <row r="23" spans="1:15" ht="11.1" customHeight="1" outlineLevel="6" x14ac:dyDescent="0.2">
      <c r="A23" s="239" t="s">
        <v>815</v>
      </c>
      <c r="B23" s="362">
        <v>640848023.85000002</v>
      </c>
      <c r="C23" s="287">
        <v>647746178.89999998</v>
      </c>
      <c r="D23" s="287">
        <v>598752610.26999998</v>
      </c>
      <c r="E23" s="287">
        <v>598752610.26999998</v>
      </c>
      <c r="F23" s="237">
        <f t="shared" si="0"/>
        <v>-48993568.629999995</v>
      </c>
      <c r="G23" s="236">
        <f t="shared" si="1"/>
        <v>-7.56369859459467E-2</v>
      </c>
      <c r="I23" s="221" t="s">
        <v>865</v>
      </c>
      <c r="J23" s="226">
        <f t="shared" si="4"/>
        <v>832424.64196000004</v>
      </c>
      <c r="K23" s="226">
        <f>(B30)/1000</f>
        <v>806043.57007000002</v>
      </c>
      <c r="L23" s="226">
        <f>(C30)/1000</f>
        <v>877425.98372999998</v>
      </c>
      <c r="M23" s="226">
        <f>(D30)/1000</f>
        <v>832424.64196000004</v>
      </c>
      <c r="N23" s="318">
        <f t="shared" si="3"/>
        <v>-5.1287906449608456E-2</v>
      </c>
      <c r="O23" s="226">
        <f t="shared" si="5"/>
        <v>-45001.341769999941</v>
      </c>
    </row>
    <row r="24" spans="1:15" ht="11.1" customHeight="1" outlineLevel="6" x14ac:dyDescent="0.2">
      <c r="A24" s="239" t="s">
        <v>23</v>
      </c>
      <c r="B24" s="362">
        <v>117225209.66</v>
      </c>
      <c r="C24" s="287">
        <v>99004996.890000001</v>
      </c>
      <c r="D24" s="287">
        <v>90045292.540000007</v>
      </c>
      <c r="E24" s="287">
        <v>90045292.540000007</v>
      </c>
      <c r="F24" s="237">
        <f t="shared" si="0"/>
        <v>-8959704.349999994</v>
      </c>
      <c r="G24" s="236">
        <f t="shared" si="1"/>
        <v>-9.049749640368876E-2</v>
      </c>
      <c r="I24" s="221" t="s">
        <v>863</v>
      </c>
      <c r="J24" s="226">
        <f t="shared" si="4"/>
        <v>895190.52509000001</v>
      </c>
      <c r="K24" s="226">
        <f>(B21)/1000</f>
        <v>989766.35855</v>
      </c>
      <c r="L24" s="226">
        <f>(C21)/1000</f>
        <v>1006960.16284</v>
      </c>
      <c r="M24" s="226">
        <f>(D21)/1000</f>
        <v>895190.52509000001</v>
      </c>
      <c r="N24" s="318">
        <f t="shared" si="3"/>
        <v>-0.11099707999844632</v>
      </c>
      <c r="O24" s="226">
        <f t="shared" si="5"/>
        <v>-111769.63774999999</v>
      </c>
    </row>
    <row r="25" spans="1:15" ht="11.1" customHeight="1" outlineLevel="5" x14ac:dyDescent="0.2">
      <c r="A25" s="235" t="s">
        <v>24</v>
      </c>
      <c r="B25" s="362">
        <v>13958912.859999999</v>
      </c>
      <c r="C25" s="287">
        <v>21312246.539999999</v>
      </c>
      <c r="D25" s="287">
        <v>17797787.609999999</v>
      </c>
      <c r="E25" s="287">
        <v>17797787.609999999</v>
      </c>
      <c r="F25" s="237">
        <f t="shared" si="0"/>
        <v>-3514458.9299999997</v>
      </c>
      <c r="G25" s="236">
        <f t="shared" si="1"/>
        <v>-0.16490325988880949</v>
      </c>
      <c r="I25" s="221" t="s">
        <v>857</v>
      </c>
      <c r="J25" s="226">
        <f t="shared" si="4"/>
        <v>1152305.9886700001</v>
      </c>
      <c r="K25" s="226">
        <f>(B17)/1000</f>
        <v>1060846.97994</v>
      </c>
      <c r="L25" s="226">
        <f>(C17)/1000</f>
        <v>1108323.6122399999</v>
      </c>
      <c r="M25" s="226">
        <f>(D17)/1000</f>
        <v>1152305.9886700001</v>
      </c>
      <c r="N25" s="318">
        <f t="shared" si="3"/>
        <v>3.9683695217057391E-2</v>
      </c>
      <c r="O25" s="226">
        <f t="shared" si="5"/>
        <v>43982.376430000179</v>
      </c>
    </row>
    <row r="26" spans="1:15" ht="11.1" customHeight="1" outlineLevel="4" x14ac:dyDescent="0.2">
      <c r="A26" s="234" t="s">
        <v>25</v>
      </c>
      <c r="B26" s="361">
        <v>886994554.94000006</v>
      </c>
      <c r="C26" s="285">
        <v>1184003781.5</v>
      </c>
      <c r="D26" s="285">
        <v>1481992777.95</v>
      </c>
      <c r="E26" s="285">
        <v>1481992777.95</v>
      </c>
      <c r="F26" s="229">
        <f t="shared" si="0"/>
        <v>297988996.45000005</v>
      </c>
      <c r="G26" s="228">
        <f t="shared" si="1"/>
        <v>0.25167909182898174</v>
      </c>
      <c r="I26" s="221" t="s">
        <v>858</v>
      </c>
      <c r="J26" s="226">
        <f t="shared" si="4"/>
        <v>1481992.77795</v>
      </c>
      <c r="K26" s="226">
        <f>(B26)/1000</f>
        <v>886994.55494000006</v>
      </c>
      <c r="L26" s="226">
        <f>(C26)/1000</f>
        <v>1184003.7815</v>
      </c>
      <c r="M26" s="226">
        <f>(D26)/1000</f>
        <v>1481992.77795</v>
      </c>
      <c r="N26" s="318">
        <f t="shared" si="3"/>
        <v>0.25167909182898152</v>
      </c>
      <c r="O26" s="226">
        <f t="shared" si="5"/>
        <v>297988.99644999998</v>
      </c>
    </row>
    <row r="27" spans="1:15" ht="11.1" customHeight="1" outlineLevel="5" x14ac:dyDescent="0.2">
      <c r="A27" s="235" t="s">
        <v>26</v>
      </c>
      <c r="B27" s="362">
        <v>188270760.03999999</v>
      </c>
      <c r="C27" s="287">
        <v>169409655.56</v>
      </c>
      <c r="D27" s="287">
        <v>322117707.31</v>
      </c>
      <c r="E27" s="287">
        <v>322117707.31</v>
      </c>
      <c r="F27" s="237">
        <f t="shared" si="0"/>
        <v>152708051.75</v>
      </c>
      <c r="G27" s="236">
        <f t="shared" si="1"/>
        <v>0.90141291678569768</v>
      </c>
      <c r="I27" s="221" t="s">
        <v>856</v>
      </c>
      <c r="J27" s="226">
        <f t="shared" si="4"/>
        <v>1458924.0552600001</v>
      </c>
      <c r="K27" s="226">
        <f>(B11)/1000</f>
        <v>1338407.55544</v>
      </c>
      <c r="L27" s="226">
        <f>(C11)/1000</f>
        <v>1393079.2487900001</v>
      </c>
      <c r="M27" s="226">
        <f>(D11)/1000</f>
        <v>1458924.0552600001</v>
      </c>
      <c r="N27" s="318">
        <f t="shared" si="3"/>
        <v>4.7265657375336945E-2</v>
      </c>
      <c r="O27" s="226">
        <f t="shared" si="5"/>
        <v>65844.806469999952</v>
      </c>
    </row>
    <row r="28" spans="1:15" ht="11.1" customHeight="1" outlineLevel="5" x14ac:dyDescent="0.2">
      <c r="A28" s="235" t="s">
        <v>816</v>
      </c>
      <c r="B28" s="362">
        <v>376647047.07999998</v>
      </c>
      <c r="C28" s="287">
        <v>621463686.66999996</v>
      </c>
      <c r="D28" s="287">
        <v>772052600.13999999</v>
      </c>
      <c r="E28" s="287">
        <v>772052600.13999999</v>
      </c>
      <c r="F28" s="237">
        <f t="shared" si="0"/>
        <v>150588913.47000003</v>
      </c>
      <c r="G28" s="236">
        <f t="shared" si="1"/>
        <v>0.24231329472668528</v>
      </c>
    </row>
    <row r="29" spans="1:15" ht="11.1" customHeight="1" outlineLevel="5" x14ac:dyDescent="0.2">
      <c r="A29" s="235" t="s">
        <v>28</v>
      </c>
      <c r="B29" s="362">
        <v>322076747.81999999</v>
      </c>
      <c r="C29" s="287">
        <v>393130439.26999998</v>
      </c>
      <c r="D29" s="287">
        <v>387822470.5</v>
      </c>
      <c r="E29" s="287">
        <v>387822470.5</v>
      </c>
      <c r="F29" s="237">
        <f t="shared" si="0"/>
        <v>-5307968.7699999809</v>
      </c>
      <c r="G29" s="236">
        <f t="shared" si="1"/>
        <v>-1.3501800521618978E-2</v>
      </c>
    </row>
    <row r="30" spans="1:15" ht="11.1" customHeight="1" outlineLevel="4" x14ac:dyDescent="0.2">
      <c r="A30" s="234" t="s">
        <v>29</v>
      </c>
      <c r="B30" s="361">
        <v>806043570.07000005</v>
      </c>
      <c r="C30" s="285">
        <v>877425983.73000002</v>
      </c>
      <c r="D30" s="285">
        <v>832424641.96000004</v>
      </c>
      <c r="E30" s="285">
        <v>832424641.96000004</v>
      </c>
      <c r="F30" s="229">
        <f t="shared" si="0"/>
        <v>-45001341.769999981</v>
      </c>
      <c r="G30" s="228">
        <f t="shared" si="1"/>
        <v>-5.1287906449608567E-2</v>
      </c>
    </row>
    <row r="31" spans="1:15" ht="11.1" customHeight="1" outlineLevel="5" x14ac:dyDescent="0.2">
      <c r="A31" s="235" t="s">
        <v>30</v>
      </c>
      <c r="B31" s="362">
        <v>661338680.27999997</v>
      </c>
      <c r="C31" s="287">
        <v>718458306.17999995</v>
      </c>
      <c r="D31" s="287">
        <v>643545096.89999998</v>
      </c>
      <c r="E31" s="287">
        <v>643545096.89999998</v>
      </c>
      <c r="F31" s="237">
        <f t="shared" si="0"/>
        <v>-74913209.279999971</v>
      </c>
      <c r="G31" s="236">
        <f t="shared" si="1"/>
        <v>-0.10426938993622192</v>
      </c>
    </row>
    <row r="32" spans="1:15" ht="11.1" customHeight="1" outlineLevel="5" x14ac:dyDescent="0.2">
      <c r="A32" s="235" t="s">
        <v>31</v>
      </c>
      <c r="B32" s="362">
        <v>130957853.7</v>
      </c>
      <c r="C32" s="287">
        <v>146562558.25</v>
      </c>
      <c r="D32" s="287">
        <v>166875242.24000001</v>
      </c>
      <c r="E32" s="287">
        <v>166875242.24000001</v>
      </c>
      <c r="F32" s="237">
        <f t="shared" si="0"/>
        <v>20312683.99000001</v>
      </c>
      <c r="G32" s="236">
        <f t="shared" si="1"/>
        <v>0.13859395081895021</v>
      </c>
    </row>
    <row r="33" spans="1:7" ht="11.1" customHeight="1" outlineLevel="5" x14ac:dyDescent="0.2">
      <c r="A33" s="235" t="s">
        <v>817</v>
      </c>
      <c r="B33" s="362">
        <v>13747036.09</v>
      </c>
      <c r="C33" s="287">
        <v>12405119.300000001</v>
      </c>
      <c r="D33" s="287">
        <v>22004302.82</v>
      </c>
      <c r="E33" s="287">
        <v>22004302.82</v>
      </c>
      <c r="F33" s="237">
        <f t="shared" si="0"/>
        <v>9599183.5199999996</v>
      </c>
      <c r="G33" s="236">
        <f t="shared" si="1"/>
        <v>0.77380823899049478</v>
      </c>
    </row>
    <row r="34" spans="1:7" ht="11.1" customHeight="1" outlineLevel="4" x14ac:dyDescent="0.2">
      <c r="A34" s="240" t="s">
        <v>33</v>
      </c>
      <c r="B34" s="362">
        <v>274106528.49000001</v>
      </c>
      <c r="C34" s="287">
        <v>349193651.94</v>
      </c>
      <c r="D34" s="287">
        <v>302083592.67000002</v>
      </c>
      <c r="E34" s="287">
        <v>302083592.67000002</v>
      </c>
      <c r="F34" s="237">
        <f t="shared" si="0"/>
        <v>-47110059.269999981</v>
      </c>
      <c r="G34" s="236">
        <f t="shared" si="1"/>
        <v>-0.13491098422973236</v>
      </c>
    </row>
    <row r="35" spans="1:7" ht="11.1" customHeight="1" outlineLevel="4" x14ac:dyDescent="0.2">
      <c r="A35" s="240" t="s">
        <v>34</v>
      </c>
      <c r="B35" s="362">
        <v>66846049.159999996</v>
      </c>
      <c r="C35" s="287">
        <v>74767159.879999995</v>
      </c>
      <c r="D35" s="287">
        <v>75452131.090000004</v>
      </c>
      <c r="E35" s="287">
        <v>75452131.090000004</v>
      </c>
      <c r="F35" s="237">
        <f t="shared" si="0"/>
        <v>684971.21000000834</v>
      </c>
      <c r="G35" s="236">
        <f t="shared" si="1"/>
        <v>9.1613913260766289E-3</v>
      </c>
    </row>
    <row r="36" spans="1:7" ht="11.1" customHeight="1" outlineLevel="4" x14ac:dyDescent="0.2">
      <c r="A36" s="234" t="s">
        <v>35</v>
      </c>
      <c r="B36" s="361">
        <v>14563195.43</v>
      </c>
      <c r="C36" s="285">
        <v>25269340.899999999</v>
      </c>
      <c r="D36" s="285">
        <v>47343630</v>
      </c>
      <c r="E36" s="285">
        <v>47343630</v>
      </c>
      <c r="F36" s="229">
        <f t="shared" si="0"/>
        <v>22074289.100000001</v>
      </c>
      <c r="G36" s="228">
        <f t="shared" si="1"/>
        <v>0.87356014497394363</v>
      </c>
    </row>
    <row r="37" spans="1:7" ht="11.1" customHeight="1" outlineLevel="5" x14ac:dyDescent="0.2">
      <c r="A37" s="235" t="s">
        <v>36</v>
      </c>
      <c r="B37" s="362">
        <v>1866855.08</v>
      </c>
      <c r="C37" s="287">
        <v>6017044.46</v>
      </c>
      <c r="D37" s="287">
        <v>1596040.87</v>
      </c>
      <c r="E37" s="287">
        <v>1596040.87</v>
      </c>
      <c r="F37" s="237">
        <f t="shared" si="0"/>
        <v>-4421003.59</v>
      </c>
      <c r="G37" s="236">
        <f t="shared" si="1"/>
        <v>-0.73474670486313798</v>
      </c>
    </row>
    <row r="38" spans="1:7" ht="11.1" customHeight="1" outlineLevel="5" x14ac:dyDescent="0.2">
      <c r="A38" s="235" t="s">
        <v>37</v>
      </c>
      <c r="B38" s="362">
        <v>12314600.210000001</v>
      </c>
      <c r="C38" s="287">
        <v>12017449.6</v>
      </c>
      <c r="D38" s="287">
        <v>43115692.810000002</v>
      </c>
      <c r="E38" s="287">
        <v>43115692.810000002</v>
      </c>
      <c r="F38" s="237">
        <f t="shared" si="0"/>
        <v>31098243.210000001</v>
      </c>
      <c r="G38" s="236">
        <f t="shared" si="1"/>
        <v>2.5877573233175868</v>
      </c>
    </row>
    <row r="39" spans="1:7" ht="11.1" customHeight="1" outlineLevel="5" x14ac:dyDescent="0.2">
      <c r="A39" s="235" t="s">
        <v>38</v>
      </c>
      <c r="B39" s="362">
        <v>381740.14</v>
      </c>
      <c r="C39" s="287">
        <v>7234846.8399999999</v>
      </c>
      <c r="D39" s="287">
        <v>2631896.3199999998</v>
      </c>
      <c r="E39" s="287">
        <v>2631896.3199999998</v>
      </c>
      <c r="F39" s="237">
        <f t="shared" si="0"/>
        <v>-4602950.5199999996</v>
      </c>
      <c r="G39" s="236">
        <f t="shared" si="1"/>
        <v>-0.63621948353505164</v>
      </c>
    </row>
    <row r="40" spans="1:7" ht="11.1" customHeight="1" outlineLevel="3" x14ac:dyDescent="0.2">
      <c r="A40" s="241" t="s">
        <v>39</v>
      </c>
      <c r="B40" s="361">
        <v>63320221.189999998</v>
      </c>
      <c r="C40" s="285">
        <v>107034147.17</v>
      </c>
      <c r="D40" s="285">
        <v>107500683.39</v>
      </c>
      <c r="E40" s="285">
        <v>107500683.39</v>
      </c>
      <c r="F40" s="229">
        <f t="shared" si="0"/>
        <v>466536.21999999881</v>
      </c>
      <c r="G40" s="228">
        <f t="shared" si="1"/>
        <v>4.3587605669339613E-3</v>
      </c>
    </row>
    <row r="41" spans="1:7" ht="11.1" customHeight="1" outlineLevel="4" x14ac:dyDescent="0.2">
      <c r="A41" s="240" t="s">
        <v>40</v>
      </c>
      <c r="B41" s="362">
        <v>39143073.43</v>
      </c>
      <c r="C41" s="287">
        <v>85672813.859999999</v>
      </c>
      <c r="D41" s="287">
        <v>84053415.870000005</v>
      </c>
      <c r="E41" s="287">
        <v>84053415.870000005</v>
      </c>
      <c r="F41" s="237">
        <f t="shared" si="0"/>
        <v>-1619397.9899999946</v>
      </c>
      <c r="G41" s="236">
        <f t="shared" si="1"/>
        <v>-1.8902122120633136E-2</v>
      </c>
    </row>
    <row r="42" spans="1:7" ht="11.1" customHeight="1" outlineLevel="4" x14ac:dyDescent="0.2">
      <c r="A42" s="240" t="s">
        <v>41</v>
      </c>
      <c r="B42" s="362">
        <v>20407874.809999999</v>
      </c>
      <c r="C42" s="287">
        <v>18722500</v>
      </c>
      <c r="D42" s="287">
        <v>17751277.170000002</v>
      </c>
      <c r="E42" s="287">
        <v>17751277.170000002</v>
      </c>
      <c r="F42" s="237">
        <f t="shared" si="0"/>
        <v>-971222.82999999821</v>
      </c>
      <c r="G42" s="236">
        <f t="shared" si="1"/>
        <v>-5.1874633729469766E-2</v>
      </c>
    </row>
    <row r="43" spans="1:7" ht="11.1" customHeight="1" outlineLevel="4" x14ac:dyDescent="0.2">
      <c r="A43" s="240" t="s">
        <v>42</v>
      </c>
      <c r="B43" s="362">
        <v>224583.31</v>
      </c>
      <c r="C43" s="287">
        <v>284583.31</v>
      </c>
      <c r="D43" s="287">
        <v>224583.31</v>
      </c>
      <c r="E43" s="287">
        <v>224583.31</v>
      </c>
      <c r="F43" s="237">
        <f t="shared" si="0"/>
        <v>-60000</v>
      </c>
      <c r="G43" s="236">
        <f t="shared" si="1"/>
        <v>-0.2108345707272854</v>
      </c>
    </row>
    <row r="44" spans="1:7" ht="11.1" customHeight="1" outlineLevel="4" x14ac:dyDescent="0.2">
      <c r="A44" s="240" t="s">
        <v>43</v>
      </c>
      <c r="B44" s="362">
        <v>3544689.64</v>
      </c>
      <c r="C44" s="287">
        <v>2354250</v>
      </c>
      <c r="D44" s="287">
        <v>5471407.04</v>
      </c>
      <c r="E44" s="287">
        <v>5471407.04</v>
      </c>
      <c r="F44" s="237">
        <f t="shared" si="0"/>
        <v>3117157.04</v>
      </c>
      <c r="G44" s="236">
        <f t="shared" si="1"/>
        <v>1.3240552362748224</v>
      </c>
    </row>
    <row r="45" spans="1:7" ht="11.1" customHeight="1" outlineLevel="3" x14ac:dyDescent="0.2">
      <c r="A45" s="241" t="s">
        <v>44</v>
      </c>
      <c r="B45" s="361">
        <v>60306162.060000002</v>
      </c>
      <c r="C45" s="285">
        <v>28246720.73</v>
      </c>
      <c r="D45" s="285">
        <v>48895582.68</v>
      </c>
      <c r="E45" s="285">
        <v>48895582.68</v>
      </c>
      <c r="F45" s="229">
        <f t="shared" si="0"/>
        <v>20648861.949999999</v>
      </c>
    </row>
    <row r="46" spans="1:7" ht="11.1" customHeight="1" outlineLevel="4" x14ac:dyDescent="0.2">
      <c r="A46" s="234" t="s">
        <v>45</v>
      </c>
      <c r="B46" s="361">
        <v>9411460.7699999996</v>
      </c>
      <c r="C46" s="285">
        <v>18785601.239999998</v>
      </c>
      <c r="D46" s="285">
        <v>9822224.3599999994</v>
      </c>
      <c r="E46" s="285">
        <v>9822224.3599999994</v>
      </c>
      <c r="F46" s="229">
        <f t="shared" si="0"/>
        <v>-8963376.879999999</v>
      </c>
      <c r="G46" s="228">
        <f t="shared" si="1"/>
        <v>-0.47714080403848702</v>
      </c>
    </row>
    <row r="47" spans="1:7" ht="11.1" customHeight="1" outlineLevel="5" x14ac:dyDescent="0.2">
      <c r="A47" s="235" t="s">
        <v>46</v>
      </c>
      <c r="B47" s="362">
        <v>8334067.7599999998</v>
      </c>
      <c r="C47" s="287">
        <v>10500000</v>
      </c>
      <c r="D47" s="287">
        <v>9745326.5</v>
      </c>
      <c r="E47" s="287">
        <v>9745326.5</v>
      </c>
      <c r="F47" s="237">
        <f t="shared" si="0"/>
        <v>-754673.5</v>
      </c>
      <c r="G47" s="236">
        <f t="shared" si="1"/>
        <v>-7.1873666666666614E-2</v>
      </c>
    </row>
    <row r="48" spans="1:7" ht="11.1" customHeight="1" outlineLevel="5" x14ac:dyDescent="0.2">
      <c r="A48" s="235" t="s">
        <v>47</v>
      </c>
      <c r="B48" s="362">
        <v>18291.52</v>
      </c>
      <c r="C48" s="287">
        <v>17800</v>
      </c>
      <c r="D48" s="287">
        <v>62599.54</v>
      </c>
      <c r="E48" s="287">
        <v>62599.54</v>
      </c>
      <c r="F48" s="237">
        <f t="shared" si="0"/>
        <v>44799.54</v>
      </c>
      <c r="G48" s="236">
        <f t="shared" si="1"/>
        <v>2.5168280898876403</v>
      </c>
    </row>
    <row r="49" spans="1:7" ht="11.1" customHeight="1" outlineLevel="5" x14ac:dyDescent="0.2">
      <c r="A49" s="235" t="s">
        <v>48</v>
      </c>
      <c r="B49" s="362">
        <v>826583.34</v>
      </c>
      <c r="C49" s="287">
        <v>8267801.2400000002</v>
      </c>
      <c r="D49" s="287"/>
      <c r="E49" s="287"/>
      <c r="F49" s="237">
        <f t="shared" si="0"/>
        <v>-8267801.2400000002</v>
      </c>
      <c r="G49" s="236">
        <f t="shared" si="1"/>
        <v>-1</v>
      </c>
    </row>
    <row r="50" spans="1:7" ht="11.1" customHeight="1" outlineLevel="5" x14ac:dyDescent="0.2">
      <c r="A50" s="235" t="s">
        <v>49</v>
      </c>
      <c r="B50" s="363"/>
      <c r="C50" s="287"/>
      <c r="D50" s="287"/>
      <c r="E50" s="287"/>
      <c r="F50" s="237">
        <f t="shared" si="0"/>
        <v>0</v>
      </c>
      <c r="G50" s="236" t="e">
        <f t="shared" si="1"/>
        <v>#DIV/0!</v>
      </c>
    </row>
    <row r="51" spans="1:7" ht="11.1" customHeight="1" outlineLevel="5" x14ac:dyDescent="0.2">
      <c r="A51" s="235" t="s">
        <v>50</v>
      </c>
      <c r="B51" s="362">
        <v>232518.15</v>
      </c>
      <c r="C51" s="287"/>
      <c r="D51" s="287">
        <v>14298.32</v>
      </c>
      <c r="E51" s="287">
        <v>14298.32</v>
      </c>
      <c r="F51" s="237">
        <f t="shared" si="0"/>
        <v>14298.32</v>
      </c>
      <c r="G51" s="236" t="e">
        <f t="shared" si="1"/>
        <v>#DIV/0!</v>
      </c>
    </row>
    <row r="52" spans="1:7" ht="11.1" customHeight="1" outlineLevel="4" x14ac:dyDescent="0.2">
      <c r="A52" s="240" t="s">
        <v>51</v>
      </c>
      <c r="B52" s="362">
        <v>789687.65</v>
      </c>
      <c r="C52" s="287"/>
      <c r="D52" s="287">
        <v>291027.28000000003</v>
      </c>
      <c r="E52" s="287">
        <v>291027.28000000003</v>
      </c>
      <c r="F52" s="237">
        <f t="shared" si="0"/>
        <v>291027.28000000003</v>
      </c>
      <c r="G52" s="236" t="e">
        <f t="shared" si="1"/>
        <v>#DIV/0!</v>
      </c>
    </row>
    <row r="53" spans="1:7" ht="11.1" customHeight="1" outlineLevel="4" x14ac:dyDescent="0.2">
      <c r="A53" s="240" t="s">
        <v>52</v>
      </c>
      <c r="B53" s="362">
        <v>3820722.81</v>
      </c>
      <c r="C53" s="287"/>
      <c r="D53" s="287">
        <v>4669058.63</v>
      </c>
      <c r="E53" s="287">
        <v>4669058.63</v>
      </c>
      <c r="F53" s="237">
        <f t="shared" si="0"/>
        <v>4669058.63</v>
      </c>
      <c r="G53" s="236" t="e">
        <f t="shared" si="1"/>
        <v>#DIV/0!</v>
      </c>
    </row>
    <row r="54" spans="1:7" ht="11.1" customHeight="1" outlineLevel="4" x14ac:dyDescent="0.2">
      <c r="A54" s="240" t="s">
        <v>53</v>
      </c>
      <c r="B54" s="362">
        <v>291429.71999999997</v>
      </c>
      <c r="C54" s="287"/>
      <c r="D54" s="287">
        <v>2712323.27</v>
      </c>
      <c r="E54" s="287">
        <v>2712323.27</v>
      </c>
      <c r="F54" s="237">
        <f t="shared" si="0"/>
        <v>2712323.27</v>
      </c>
      <c r="G54" s="236" t="e">
        <f t="shared" si="1"/>
        <v>#DIV/0!</v>
      </c>
    </row>
    <row r="55" spans="1:7" ht="11.1" customHeight="1" outlineLevel="4" x14ac:dyDescent="0.2">
      <c r="A55" s="240" t="s">
        <v>54</v>
      </c>
      <c r="B55" s="362">
        <v>1046365.79</v>
      </c>
      <c r="C55" s="287">
        <v>667402.84</v>
      </c>
      <c r="D55" s="287">
        <v>15393069.390000001</v>
      </c>
      <c r="E55" s="287">
        <v>15393069.390000001</v>
      </c>
      <c r="F55" s="237">
        <f t="shared" si="0"/>
        <v>14725666.550000001</v>
      </c>
      <c r="G55" s="236">
        <f t="shared" si="1"/>
        <v>22.064135282972426</v>
      </c>
    </row>
    <row r="56" spans="1:7" ht="11.1" customHeight="1" outlineLevel="4" x14ac:dyDescent="0.2">
      <c r="A56" s="240" t="s">
        <v>55</v>
      </c>
      <c r="B56" s="364"/>
      <c r="C56" s="287"/>
      <c r="D56" s="287"/>
      <c r="E56" s="287"/>
      <c r="F56" s="237">
        <f t="shared" si="0"/>
        <v>0</v>
      </c>
      <c r="G56" s="236" t="e">
        <f t="shared" si="1"/>
        <v>#DIV/0!</v>
      </c>
    </row>
    <row r="57" spans="1:7" ht="11.1" customHeight="1" outlineLevel="4" x14ac:dyDescent="0.2">
      <c r="A57" s="240" t="s">
        <v>56</v>
      </c>
      <c r="B57" s="362">
        <v>44945809.649999999</v>
      </c>
      <c r="C57" s="287">
        <v>8793716.6500000004</v>
      </c>
      <c r="D57" s="287">
        <v>15539987.949999999</v>
      </c>
      <c r="E57" s="287">
        <v>15539987.949999999</v>
      </c>
      <c r="F57" s="237">
        <f t="shared" si="0"/>
        <v>6746271.2999999989</v>
      </c>
      <c r="G57" s="236">
        <f t="shared" si="1"/>
        <v>0.76716951074378747</v>
      </c>
    </row>
    <row r="58" spans="1:7" ht="11.1" customHeight="1" outlineLevel="4" x14ac:dyDescent="0.2">
      <c r="A58" s="240" t="s">
        <v>57</v>
      </c>
      <c r="B58" s="363"/>
      <c r="C58" s="287"/>
      <c r="D58" s="287"/>
      <c r="E58" s="287"/>
      <c r="F58" s="237">
        <f t="shared" si="0"/>
        <v>0</v>
      </c>
      <c r="G58" s="236" t="e">
        <f t="shared" si="1"/>
        <v>#DIV/0!</v>
      </c>
    </row>
    <row r="59" spans="1:7" ht="11.1" customHeight="1" outlineLevel="4" x14ac:dyDescent="0.2">
      <c r="A59" s="240" t="s">
        <v>58</v>
      </c>
      <c r="B59" s="365">
        <v>685.67</v>
      </c>
      <c r="C59" s="287"/>
      <c r="D59" s="287">
        <v>467891.8</v>
      </c>
      <c r="E59" s="287">
        <v>467891.8</v>
      </c>
      <c r="F59" s="237">
        <f t="shared" si="0"/>
        <v>467891.8</v>
      </c>
      <c r="G59" s="236" t="e">
        <f t="shared" si="1"/>
        <v>#DIV/0!</v>
      </c>
    </row>
    <row r="60" spans="1:7" ht="11.1" customHeight="1" outlineLevel="3" x14ac:dyDescent="0.2">
      <c r="A60" s="241" t="s">
        <v>59</v>
      </c>
      <c r="B60" s="366"/>
      <c r="C60" s="285"/>
      <c r="D60" s="285"/>
      <c r="E60" s="285"/>
      <c r="F60" s="229">
        <f t="shared" si="0"/>
        <v>0</v>
      </c>
      <c r="G60" s="228">
        <v>0</v>
      </c>
    </row>
    <row r="61" spans="1:7" ht="11.1" customHeight="1" outlineLevel="4" x14ac:dyDescent="0.2">
      <c r="A61" s="234" t="s">
        <v>60</v>
      </c>
      <c r="B61" s="361">
        <v>232479037.50999999</v>
      </c>
      <c r="C61" s="285">
        <v>133250209.8</v>
      </c>
      <c r="D61" s="285">
        <v>196242476.22999999</v>
      </c>
      <c r="E61" s="285">
        <v>196242476.22999999</v>
      </c>
      <c r="F61" s="229">
        <f t="shared" si="0"/>
        <v>62992266.429999992</v>
      </c>
      <c r="G61" s="228">
        <f t="shared" si="1"/>
        <v>0.47273671482054191</v>
      </c>
    </row>
    <row r="62" spans="1:7" ht="11.1" customHeight="1" outlineLevel="5" x14ac:dyDescent="0.2">
      <c r="A62" s="238" t="s">
        <v>61</v>
      </c>
      <c r="B62" s="361">
        <v>67769960.040000007</v>
      </c>
      <c r="C62" s="285">
        <v>3588139.46</v>
      </c>
      <c r="D62" s="285">
        <v>88764694.340000004</v>
      </c>
      <c r="E62" s="285">
        <v>88764694.340000004</v>
      </c>
      <c r="F62" s="229">
        <f t="shared" si="0"/>
        <v>85176554.88000001</v>
      </c>
      <c r="G62" s="228">
        <f t="shared" si="1"/>
        <v>23.738362410250353</v>
      </c>
    </row>
    <row r="63" spans="1:7" ht="11.1" customHeight="1" outlineLevel="6" x14ac:dyDescent="0.2">
      <c r="A63" s="239" t="s">
        <v>62</v>
      </c>
      <c r="B63" s="362">
        <v>27525000.23</v>
      </c>
      <c r="C63" s="287"/>
      <c r="D63" s="287">
        <v>5355704.3600000003</v>
      </c>
      <c r="E63" s="287">
        <v>5355704.3600000003</v>
      </c>
      <c r="F63" s="237">
        <f t="shared" si="0"/>
        <v>5355704.3600000003</v>
      </c>
      <c r="G63" s="236" t="e">
        <f t="shared" si="1"/>
        <v>#DIV/0!</v>
      </c>
    </row>
    <row r="64" spans="1:7" ht="11.1" customHeight="1" outlineLevel="6" x14ac:dyDescent="0.2">
      <c r="A64" s="239" t="s">
        <v>63</v>
      </c>
      <c r="B64" s="362">
        <v>11845115.279999999</v>
      </c>
      <c r="C64" s="287">
        <v>922319</v>
      </c>
      <c r="D64" s="287">
        <v>63279312.259999998</v>
      </c>
      <c r="E64" s="287">
        <v>63279312.259999998</v>
      </c>
      <c r="F64" s="237">
        <f t="shared" si="0"/>
        <v>62356993.259999998</v>
      </c>
      <c r="G64" s="236">
        <f t="shared" si="1"/>
        <v>67.608921923976411</v>
      </c>
    </row>
    <row r="65" spans="1:7" ht="11.1" customHeight="1" outlineLevel="6" x14ac:dyDescent="0.2">
      <c r="A65" s="239" t="s">
        <v>64</v>
      </c>
      <c r="B65" s="362">
        <v>28399844.530000001</v>
      </c>
      <c r="C65" s="287">
        <v>2665820.46</v>
      </c>
      <c r="D65" s="287">
        <v>20129677.719999999</v>
      </c>
      <c r="E65" s="287">
        <v>20129677.719999999</v>
      </c>
      <c r="F65" s="237">
        <f t="shared" si="0"/>
        <v>17463857.259999998</v>
      </c>
      <c r="G65" s="236">
        <f t="shared" si="1"/>
        <v>6.5510252929786574</v>
      </c>
    </row>
    <row r="66" spans="1:7" ht="11.1" customHeight="1" outlineLevel="5" x14ac:dyDescent="0.2">
      <c r="A66" s="238" t="s">
        <v>65</v>
      </c>
      <c r="B66" s="361">
        <v>9624837.5500000007</v>
      </c>
      <c r="C66" s="285">
        <v>5223706</v>
      </c>
      <c r="D66" s="285">
        <v>7356950.9299999997</v>
      </c>
      <c r="E66" s="285">
        <v>7356950.9299999997</v>
      </c>
      <c r="F66" s="229">
        <f t="shared" si="0"/>
        <v>2133244.9299999997</v>
      </c>
      <c r="G66" s="228">
        <f t="shared" si="1"/>
        <v>0.4083776786059552</v>
      </c>
    </row>
    <row r="67" spans="1:7" ht="11.1" customHeight="1" outlineLevel="6" x14ac:dyDescent="0.2">
      <c r="A67" s="239" t="s">
        <v>66</v>
      </c>
      <c r="B67" s="362">
        <v>1524898.66</v>
      </c>
      <c r="C67" s="287">
        <v>603946</v>
      </c>
      <c r="D67" s="287">
        <v>2014044.66</v>
      </c>
      <c r="E67" s="287">
        <v>2014044.66</v>
      </c>
      <c r="F67" s="237">
        <f t="shared" si="0"/>
        <v>1410098.66</v>
      </c>
      <c r="G67" s="236">
        <f t="shared" si="1"/>
        <v>2.3348091716809116</v>
      </c>
    </row>
    <row r="68" spans="1:7" ht="11.1" customHeight="1" outlineLevel="6" x14ac:dyDescent="0.2">
      <c r="A68" s="239" t="s">
        <v>67</v>
      </c>
      <c r="B68" s="362">
        <v>6272845.7199999997</v>
      </c>
      <c r="C68" s="287">
        <v>3170697</v>
      </c>
      <c r="D68" s="287">
        <v>5251855.53</v>
      </c>
      <c r="E68" s="287">
        <v>5251855.53</v>
      </c>
      <c r="F68" s="237">
        <f t="shared" si="0"/>
        <v>2081158.5300000003</v>
      </c>
      <c r="G68" s="236">
        <f t="shared" si="1"/>
        <v>0.65637256729356364</v>
      </c>
    </row>
    <row r="69" spans="1:7" ht="11.1" customHeight="1" outlineLevel="6" x14ac:dyDescent="0.2">
      <c r="A69" s="239" t="s">
        <v>68</v>
      </c>
      <c r="B69" s="362">
        <v>1827093.17</v>
      </c>
      <c r="C69" s="287">
        <v>1449063</v>
      </c>
      <c r="D69" s="287">
        <v>91050.74</v>
      </c>
      <c r="E69" s="287">
        <v>91050.74</v>
      </c>
      <c r="F69" s="237">
        <f t="shared" si="0"/>
        <v>-1358012.26</v>
      </c>
      <c r="G69" s="236">
        <f t="shared" si="1"/>
        <v>-0.9371657823020807</v>
      </c>
    </row>
    <row r="70" spans="1:7" ht="11.1" customHeight="1" outlineLevel="5" x14ac:dyDescent="0.2">
      <c r="A70" s="238" t="s">
        <v>69</v>
      </c>
      <c r="B70" s="361">
        <v>6298248.6699999999</v>
      </c>
      <c r="C70" s="285">
        <v>854511</v>
      </c>
      <c r="D70" s="285">
        <v>5979563.6500000004</v>
      </c>
      <c r="E70" s="285">
        <v>5979563.6500000004</v>
      </c>
      <c r="F70" s="229">
        <f t="shared" si="0"/>
        <v>5125052.6500000004</v>
      </c>
      <c r="G70" s="228">
        <f t="shared" si="1"/>
        <v>5.9976438571299848</v>
      </c>
    </row>
    <row r="71" spans="1:7" ht="11.1" customHeight="1" outlineLevel="6" x14ac:dyDescent="0.2">
      <c r="A71" s="239" t="s">
        <v>70</v>
      </c>
      <c r="B71" s="362">
        <v>505575.42</v>
      </c>
      <c r="C71" s="287"/>
      <c r="D71" s="287">
        <v>859474.32</v>
      </c>
      <c r="E71" s="287">
        <v>859474.32</v>
      </c>
      <c r="F71" s="237">
        <f t="shared" si="0"/>
        <v>859474.32</v>
      </c>
      <c r="G71" s="236" t="e">
        <f t="shared" si="1"/>
        <v>#DIV/0!</v>
      </c>
    </row>
    <row r="72" spans="1:7" ht="11.1" customHeight="1" outlineLevel="6" x14ac:dyDescent="0.2">
      <c r="A72" s="239" t="s">
        <v>71</v>
      </c>
      <c r="B72" s="362">
        <v>416645.02</v>
      </c>
      <c r="C72" s="287"/>
      <c r="D72" s="287">
        <v>1013916.12</v>
      </c>
      <c r="E72" s="287">
        <v>1013916.12</v>
      </c>
      <c r="F72" s="237">
        <f t="shared" si="0"/>
        <v>1013916.12</v>
      </c>
      <c r="G72" s="236" t="e">
        <f t="shared" si="1"/>
        <v>#DIV/0!</v>
      </c>
    </row>
    <row r="73" spans="1:7" ht="11.1" customHeight="1" outlineLevel="6" x14ac:dyDescent="0.2">
      <c r="A73" s="239" t="s">
        <v>72</v>
      </c>
      <c r="B73" s="362">
        <v>5376028.2300000004</v>
      </c>
      <c r="C73" s="287">
        <v>854511</v>
      </c>
      <c r="D73" s="287">
        <v>4106173.21</v>
      </c>
      <c r="E73" s="287">
        <v>4106173.21</v>
      </c>
      <c r="F73" s="237">
        <f t="shared" ref="F73:F136" si="6">D73-C73</f>
        <v>3251662.21</v>
      </c>
      <c r="G73" s="236">
        <f t="shared" si="1"/>
        <v>3.805290054779868</v>
      </c>
    </row>
    <row r="74" spans="1:7" ht="11.1" customHeight="1" outlineLevel="5" x14ac:dyDescent="0.2">
      <c r="A74" s="238" t="s">
        <v>73</v>
      </c>
      <c r="B74" s="361">
        <v>144040846.38999999</v>
      </c>
      <c r="C74" s="285">
        <v>119654774.34</v>
      </c>
      <c r="D74" s="285">
        <v>89814229.129999995</v>
      </c>
      <c r="E74" s="285">
        <v>89814229.129999995</v>
      </c>
      <c r="F74" s="229">
        <f t="shared" si="6"/>
        <v>-29840545.210000008</v>
      </c>
      <c r="G74" s="228">
        <f t="shared" ref="G74:G119" si="7">D74/C74-1</f>
        <v>-0.2493886714892618</v>
      </c>
    </row>
    <row r="75" spans="1:7" ht="11.1" customHeight="1" outlineLevel="6" x14ac:dyDescent="0.2">
      <c r="A75" s="242" t="s">
        <v>74</v>
      </c>
      <c r="B75" s="361">
        <v>22594341.859999999</v>
      </c>
      <c r="C75" s="285">
        <v>45945646</v>
      </c>
      <c r="D75" s="285">
        <v>21363642.280000001</v>
      </c>
      <c r="E75" s="285">
        <v>21363642.280000001</v>
      </c>
      <c r="F75" s="229">
        <f t="shared" si="6"/>
        <v>-24582003.719999999</v>
      </c>
      <c r="G75" s="228">
        <f t="shared" si="7"/>
        <v>-0.53502357372448306</v>
      </c>
    </row>
    <row r="76" spans="1:7" ht="11.1" customHeight="1" outlineLevel="7" x14ac:dyDescent="0.2">
      <c r="A76" s="243" t="s">
        <v>75</v>
      </c>
      <c r="B76" s="362">
        <v>3831516.53</v>
      </c>
      <c r="C76" s="287">
        <v>7934066</v>
      </c>
      <c r="D76" s="287">
        <v>2124315.4700000002</v>
      </c>
      <c r="E76" s="287">
        <v>2124315.4700000002</v>
      </c>
      <c r="F76" s="237">
        <f t="shared" si="6"/>
        <v>-5809750.5299999993</v>
      </c>
      <c r="G76" s="236">
        <f t="shared" si="7"/>
        <v>-0.7322538695796077</v>
      </c>
    </row>
    <row r="77" spans="1:7" ht="11.1" customHeight="1" outlineLevel="7" x14ac:dyDescent="0.2">
      <c r="A77" s="243" t="s">
        <v>76</v>
      </c>
      <c r="B77" s="362">
        <v>7999329.4500000002</v>
      </c>
      <c r="C77" s="287">
        <v>4171412</v>
      </c>
      <c r="D77" s="287">
        <v>5396848.2999999998</v>
      </c>
      <c r="E77" s="287">
        <v>5396848.2999999998</v>
      </c>
      <c r="F77" s="237">
        <f t="shared" si="6"/>
        <v>1225436.2999999998</v>
      </c>
      <c r="G77" s="236">
        <f t="shared" si="7"/>
        <v>0.29377014305947236</v>
      </c>
    </row>
    <row r="78" spans="1:7" ht="11.1" customHeight="1" outlineLevel="7" x14ac:dyDescent="0.2">
      <c r="A78" s="243" t="s">
        <v>77</v>
      </c>
      <c r="B78" s="362">
        <v>10763495.880000001</v>
      </c>
      <c r="C78" s="287">
        <v>33840168</v>
      </c>
      <c r="D78" s="287">
        <v>13842478.51</v>
      </c>
      <c r="E78" s="287">
        <v>13842478.51</v>
      </c>
      <c r="F78" s="237">
        <f t="shared" si="6"/>
        <v>-19997689.490000002</v>
      </c>
      <c r="G78" s="236">
        <f t="shared" si="7"/>
        <v>-0.59094533720990983</v>
      </c>
    </row>
    <row r="79" spans="1:7" ht="11.1" customHeight="1" outlineLevel="6" x14ac:dyDescent="0.2">
      <c r="A79" s="242" t="s">
        <v>78</v>
      </c>
      <c r="B79" s="361">
        <v>121417773.09</v>
      </c>
      <c r="C79" s="285">
        <v>73709128.340000004</v>
      </c>
      <c r="D79" s="285">
        <v>68450586.849999994</v>
      </c>
      <c r="E79" s="285">
        <v>68450586.849999994</v>
      </c>
      <c r="F79" s="229">
        <f t="shared" si="6"/>
        <v>-5258541.4900000095</v>
      </c>
      <c r="G79" s="228">
        <f t="shared" si="7"/>
        <v>-7.1341794543327119E-2</v>
      </c>
    </row>
    <row r="80" spans="1:7" ht="11.1" customHeight="1" outlineLevel="7" x14ac:dyDescent="0.2">
      <c r="A80" s="243" t="s">
        <v>79</v>
      </c>
      <c r="B80" s="362">
        <v>35797698.170000002</v>
      </c>
      <c r="C80" s="287"/>
      <c r="D80" s="287">
        <v>408788.24</v>
      </c>
      <c r="E80" s="287">
        <v>408788.24</v>
      </c>
      <c r="F80" s="237">
        <f t="shared" si="6"/>
        <v>408788.24</v>
      </c>
      <c r="G80" s="236" t="e">
        <f t="shared" si="7"/>
        <v>#DIV/0!</v>
      </c>
    </row>
    <row r="81" spans="1:7" ht="11.1" customHeight="1" outlineLevel="7" x14ac:dyDescent="0.2">
      <c r="A81" s="243" t="s">
        <v>80</v>
      </c>
      <c r="B81" s="362">
        <v>82006706.299999997</v>
      </c>
      <c r="C81" s="287">
        <v>73419398.340000004</v>
      </c>
      <c r="D81" s="287">
        <v>63800487.5</v>
      </c>
      <c r="E81" s="287">
        <v>63800487.5</v>
      </c>
      <c r="F81" s="237">
        <f t="shared" si="6"/>
        <v>-9618910.8400000036</v>
      </c>
      <c r="G81" s="236">
        <f t="shared" si="7"/>
        <v>-0.13101320710169151</v>
      </c>
    </row>
    <row r="82" spans="1:7" ht="11.1" customHeight="1" outlineLevel="7" x14ac:dyDescent="0.2">
      <c r="A82" s="243" t="s">
        <v>81</v>
      </c>
      <c r="B82" s="362">
        <v>3613368.62</v>
      </c>
      <c r="C82" s="287">
        <v>289730</v>
      </c>
      <c r="D82" s="287">
        <v>4241311.1100000003</v>
      </c>
      <c r="E82" s="287">
        <v>4241311.1100000003</v>
      </c>
      <c r="F82" s="237">
        <f t="shared" si="6"/>
        <v>3951581.1100000003</v>
      </c>
      <c r="G82" s="236">
        <f t="shared" si="7"/>
        <v>13.638839988955235</v>
      </c>
    </row>
    <row r="83" spans="1:7" ht="11.1" customHeight="1" outlineLevel="6" x14ac:dyDescent="0.2">
      <c r="A83" s="239" t="s">
        <v>82</v>
      </c>
      <c r="B83" s="362">
        <v>28731.439999999999</v>
      </c>
      <c r="C83" s="287"/>
      <c r="D83" s="287"/>
      <c r="E83" s="287"/>
      <c r="F83" s="237">
        <f t="shared" si="6"/>
        <v>0</v>
      </c>
      <c r="G83" s="236" t="e">
        <f t="shared" si="7"/>
        <v>#DIV/0!</v>
      </c>
    </row>
    <row r="84" spans="1:7" ht="11.1" customHeight="1" outlineLevel="5" x14ac:dyDescent="0.2">
      <c r="A84" s="238" t="s">
        <v>83</v>
      </c>
      <c r="B84" s="361">
        <v>3619121.2</v>
      </c>
      <c r="C84" s="285">
        <v>3381133</v>
      </c>
      <c r="D84" s="285">
        <v>1614467.63</v>
      </c>
      <c r="E84" s="285">
        <v>1614467.63</v>
      </c>
      <c r="F84" s="229">
        <f t="shared" si="6"/>
        <v>-1766665.37</v>
      </c>
      <c r="G84" s="228">
        <f t="shared" si="7"/>
        <v>-0.52250691410246208</v>
      </c>
    </row>
    <row r="85" spans="1:7" ht="11.1" customHeight="1" outlineLevel="6" x14ac:dyDescent="0.2">
      <c r="A85" s="239" t="s">
        <v>84</v>
      </c>
      <c r="B85" s="362">
        <v>151393.81</v>
      </c>
      <c r="C85" s="287"/>
      <c r="D85" s="287">
        <v>125545.23</v>
      </c>
      <c r="E85" s="287">
        <v>125545.23</v>
      </c>
      <c r="F85" s="237">
        <f t="shared" si="6"/>
        <v>125545.23</v>
      </c>
      <c r="G85" s="236" t="e">
        <f t="shared" si="7"/>
        <v>#DIV/0!</v>
      </c>
    </row>
    <row r="86" spans="1:7" ht="11.1" customHeight="1" outlineLevel="6" x14ac:dyDescent="0.2">
      <c r="A86" s="239" t="s">
        <v>85</v>
      </c>
      <c r="B86" s="362">
        <v>3467727.39</v>
      </c>
      <c r="C86" s="287">
        <v>3381133</v>
      </c>
      <c r="D86" s="287">
        <v>1435054.68</v>
      </c>
      <c r="E86" s="287">
        <v>1435054.68</v>
      </c>
      <c r="F86" s="237">
        <f t="shared" si="6"/>
        <v>-1946078.32</v>
      </c>
      <c r="G86" s="236">
        <f t="shared" si="7"/>
        <v>-0.57556988145689625</v>
      </c>
    </row>
    <row r="87" spans="1:7" ht="11.1" customHeight="1" outlineLevel="6" x14ac:dyDescent="0.2">
      <c r="A87" s="239" t="s">
        <v>86</v>
      </c>
      <c r="B87" s="363"/>
      <c r="C87" s="287"/>
      <c r="D87" s="287">
        <v>53867.72</v>
      </c>
      <c r="E87" s="287">
        <v>53867.72</v>
      </c>
      <c r="F87" s="237">
        <f t="shared" si="6"/>
        <v>53867.72</v>
      </c>
      <c r="G87" s="236" t="e">
        <f t="shared" si="7"/>
        <v>#DIV/0!</v>
      </c>
    </row>
    <row r="88" spans="1:7" ht="11.1" customHeight="1" outlineLevel="5" x14ac:dyDescent="0.2">
      <c r="A88" s="235" t="s">
        <v>87</v>
      </c>
      <c r="B88" s="362">
        <v>905459.09</v>
      </c>
      <c r="C88" s="287">
        <v>547946</v>
      </c>
      <c r="D88" s="287">
        <v>1837840.46</v>
      </c>
      <c r="E88" s="287">
        <v>1837840.46</v>
      </c>
      <c r="F88" s="237">
        <f t="shared" si="6"/>
        <v>1289894.46</v>
      </c>
      <c r="G88" s="236">
        <f t="shared" si="7"/>
        <v>2.3540539761217345</v>
      </c>
    </row>
    <row r="89" spans="1:7" ht="11.1" customHeight="1" outlineLevel="5" x14ac:dyDescent="0.2">
      <c r="A89" s="235" t="s">
        <v>88</v>
      </c>
      <c r="B89" s="362">
        <v>220564.57</v>
      </c>
      <c r="C89" s="287"/>
      <c r="D89" s="287">
        <v>874730.09</v>
      </c>
      <c r="E89" s="287">
        <v>874730.09</v>
      </c>
      <c r="F89" s="237">
        <f t="shared" si="6"/>
        <v>874730.09</v>
      </c>
      <c r="G89" s="236" t="e">
        <f t="shared" si="7"/>
        <v>#DIV/0!</v>
      </c>
    </row>
    <row r="90" spans="1:7" ht="11.1" customHeight="1" outlineLevel="4" x14ac:dyDescent="0.2">
      <c r="A90" s="234" t="s">
        <v>89</v>
      </c>
      <c r="B90" s="361">
        <v>-232479037.50999999</v>
      </c>
      <c r="C90" s="285">
        <v>-133250209.8</v>
      </c>
      <c r="D90" s="285">
        <v>-196242476.22999999</v>
      </c>
      <c r="E90" s="285">
        <v>-196242476.22999999</v>
      </c>
      <c r="F90" s="229">
        <f t="shared" si="6"/>
        <v>-62992266.429999992</v>
      </c>
      <c r="G90" s="228">
        <f t="shared" si="7"/>
        <v>0.47273671482054191</v>
      </c>
    </row>
    <row r="91" spans="1:7" ht="11.1" customHeight="1" outlineLevel="5" x14ac:dyDescent="0.2">
      <c r="A91" s="238" t="s">
        <v>90</v>
      </c>
      <c r="B91" s="361">
        <v>-67769960.040000007</v>
      </c>
      <c r="C91" s="285">
        <v>-3588139.46</v>
      </c>
      <c r="D91" s="285">
        <v>-88764694.340000004</v>
      </c>
      <c r="E91" s="285">
        <v>-88764694.340000004</v>
      </c>
      <c r="F91" s="229">
        <f t="shared" si="6"/>
        <v>-85176554.88000001</v>
      </c>
      <c r="G91" s="228">
        <f t="shared" si="7"/>
        <v>23.738362410250353</v>
      </c>
    </row>
    <row r="92" spans="1:7" ht="11.1" customHeight="1" outlineLevel="6" x14ac:dyDescent="0.2">
      <c r="A92" s="239" t="s">
        <v>91</v>
      </c>
      <c r="B92" s="362">
        <v>-27525000.23</v>
      </c>
      <c r="C92" s="287"/>
      <c r="D92" s="287">
        <v>-5355704.3600000003</v>
      </c>
      <c r="E92" s="287">
        <v>-5355704.3600000003</v>
      </c>
      <c r="F92" s="237">
        <f t="shared" si="6"/>
        <v>-5355704.3600000003</v>
      </c>
      <c r="G92" s="236" t="e">
        <f t="shared" si="7"/>
        <v>#DIV/0!</v>
      </c>
    </row>
    <row r="93" spans="1:7" ht="11.1" customHeight="1" outlineLevel="6" x14ac:dyDescent="0.2">
      <c r="A93" s="239" t="s">
        <v>92</v>
      </c>
      <c r="B93" s="362">
        <v>-11845115.279999999</v>
      </c>
      <c r="C93" s="287">
        <v>-922319</v>
      </c>
      <c r="D93" s="287">
        <v>-63279312.259999998</v>
      </c>
      <c r="E93" s="287">
        <v>-63279312.259999998</v>
      </c>
      <c r="F93" s="237">
        <f t="shared" si="6"/>
        <v>-62356993.259999998</v>
      </c>
      <c r="G93" s="236">
        <f t="shared" si="7"/>
        <v>67.608921923976411</v>
      </c>
    </row>
    <row r="94" spans="1:7" ht="11.1" customHeight="1" outlineLevel="6" x14ac:dyDescent="0.2">
      <c r="A94" s="239" t="s">
        <v>93</v>
      </c>
      <c r="B94" s="362">
        <v>-28399844.530000001</v>
      </c>
      <c r="C94" s="287">
        <v>-2665820.46</v>
      </c>
      <c r="D94" s="287">
        <v>-20129677.719999999</v>
      </c>
      <c r="E94" s="287">
        <v>-20129677.719999999</v>
      </c>
      <c r="F94" s="237">
        <f t="shared" si="6"/>
        <v>-17463857.259999998</v>
      </c>
      <c r="G94" s="236">
        <f t="shared" si="7"/>
        <v>6.5510252929786574</v>
      </c>
    </row>
    <row r="95" spans="1:7" ht="11.1" customHeight="1" outlineLevel="5" x14ac:dyDescent="0.2">
      <c r="A95" s="238" t="s">
        <v>94</v>
      </c>
      <c r="B95" s="361">
        <v>-9624837.5500000007</v>
      </c>
      <c r="C95" s="285">
        <v>-5223706</v>
      </c>
      <c r="D95" s="285">
        <v>-7356950.9299999997</v>
      </c>
      <c r="E95" s="285">
        <v>-7356950.9299999997</v>
      </c>
      <c r="F95" s="229">
        <f t="shared" si="6"/>
        <v>-2133244.9299999997</v>
      </c>
      <c r="G95" s="228">
        <f t="shared" si="7"/>
        <v>0.4083776786059552</v>
      </c>
    </row>
    <row r="96" spans="1:7" ht="11.1" customHeight="1" outlineLevel="6" x14ac:dyDescent="0.2">
      <c r="A96" s="239" t="s">
        <v>95</v>
      </c>
      <c r="B96" s="362">
        <v>-1524898.66</v>
      </c>
      <c r="C96" s="287">
        <v>-603946</v>
      </c>
      <c r="D96" s="287">
        <v>-2014044.66</v>
      </c>
      <c r="E96" s="287">
        <v>-2014044.66</v>
      </c>
      <c r="F96" s="237">
        <f t="shared" si="6"/>
        <v>-1410098.66</v>
      </c>
      <c r="G96" s="236">
        <f t="shared" si="7"/>
        <v>2.3348091716809116</v>
      </c>
    </row>
    <row r="97" spans="1:7" ht="11.1" customHeight="1" outlineLevel="6" x14ac:dyDescent="0.2">
      <c r="A97" s="239" t="s">
        <v>96</v>
      </c>
      <c r="B97" s="362">
        <v>-6272845.7199999997</v>
      </c>
      <c r="C97" s="287">
        <v>-3170697</v>
      </c>
      <c r="D97" s="287">
        <v>-5251855.53</v>
      </c>
      <c r="E97" s="287">
        <v>-5251855.53</v>
      </c>
      <c r="F97" s="237">
        <f t="shared" si="6"/>
        <v>-2081158.5300000003</v>
      </c>
      <c r="G97" s="236">
        <f t="shared" si="7"/>
        <v>0.65637256729356364</v>
      </c>
    </row>
    <row r="98" spans="1:7" ht="11.1" customHeight="1" outlineLevel="6" x14ac:dyDescent="0.2">
      <c r="A98" s="239" t="s">
        <v>97</v>
      </c>
      <c r="B98" s="362">
        <v>-1827093.17</v>
      </c>
      <c r="C98" s="287">
        <v>-1449063</v>
      </c>
      <c r="D98" s="287">
        <v>-91050.74</v>
      </c>
      <c r="E98" s="287">
        <v>-91050.74</v>
      </c>
      <c r="F98" s="237">
        <f t="shared" si="6"/>
        <v>1358012.26</v>
      </c>
      <c r="G98" s="236">
        <f t="shared" si="7"/>
        <v>-0.9371657823020807</v>
      </c>
    </row>
    <row r="99" spans="1:7" ht="11.1" customHeight="1" outlineLevel="5" x14ac:dyDescent="0.2">
      <c r="A99" s="238" t="s">
        <v>98</v>
      </c>
      <c r="B99" s="361">
        <v>-6298248.6699999999</v>
      </c>
      <c r="C99" s="285">
        <v>-854511</v>
      </c>
      <c r="D99" s="285">
        <v>-5979563.6500000004</v>
      </c>
      <c r="E99" s="285">
        <v>-5979563.6500000004</v>
      </c>
      <c r="F99" s="229">
        <f t="shared" si="6"/>
        <v>-5125052.6500000004</v>
      </c>
      <c r="G99" s="228">
        <f t="shared" si="7"/>
        <v>5.9976438571299848</v>
      </c>
    </row>
    <row r="100" spans="1:7" ht="11.1" customHeight="1" outlineLevel="6" x14ac:dyDescent="0.2">
      <c r="A100" s="239" t="s">
        <v>99</v>
      </c>
      <c r="B100" s="362">
        <v>-505575.42</v>
      </c>
      <c r="C100" s="287"/>
      <c r="D100" s="287">
        <v>-859474.32</v>
      </c>
      <c r="E100" s="287">
        <v>-859474.32</v>
      </c>
      <c r="F100" s="237">
        <f t="shared" si="6"/>
        <v>-859474.32</v>
      </c>
      <c r="G100" s="236" t="e">
        <f t="shared" si="7"/>
        <v>#DIV/0!</v>
      </c>
    </row>
    <row r="101" spans="1:7" ht="11.1" customHeight="1" outlineLevel="6" x14ac:dyDescent="0.2">
      <c r="A101" s="239" t="s">
        <v>100</v>
      </c>
      <c r="B101" s="362">
        <v>-416645.02</v>
      </c>
      <c r="C101" s="287"/>
      <c r="D101" s="287">
        <v>-1013916.12</v>
      </c>
      <c r="E101" s="287">
        <v>-1013916.12</v>
      </c>
      <c r="F101" s="237">
        <f t="shared" si="6"/>
        <v>-1013916.12</v>
      </c>
      <c r="G101" s="236" t="e">
        <f t="shared" si="7"/>
        <v>#DIV/0!</v>
      </c>
    </row>
    <row r="102" spans="1:7" ht="11.1" customHeight="1" outlineLevel="6" x14ac:dyDescent="0.2">
      <c r="A102" s="239" t="s">
        <v>101</v>
      </c>
      <c r="B102" s="362">
        <v>-5376028.2300000004</v>
      </c>
      <c r="C102" s="287">
        <v>-854511</v>
      </c>
      <c r="D102" s="287">
        <v>-4106173.21</v>
      </c>
      <c r="E102" s="287">
        <v>-4106173.21</v>
      </c>
      <c r="F102" s="237">
        <f t="shared" si="6"/>
        <v>-3251662.21</v>
      </c>
      <c r="G102" s="236">
        <f t="shared" si="7"/>
        <v>3.805290054779868</v>
      </c>
    </row>
    <row r="103" spans="1:7" ht="11.1" customHeight="1" outlineLevel="5" x14ac:dyDescent="0.2">
      <c r="A103" s="238" t="s">
        <v>102</v>
      </c>
      <c r="B103" s="361">
        <v>-144040846.38999999</v>
      </c>
      <c r="C103" s="285">
        <v>-119654774.34</v>
      </c>
      <c r="D103" s="285">
        <v>-89814229.129999995</v>
      </c>
      <c r="E103" s="285">
        <v>-89814229.129999995</v>
      </c>
      <c r="F103" s="229">
        <f t="shared" si="6"/>
        <v>29840545.210000008</v>
      </c>
      <c r="G103" s="228">
        <f t="shared" si="7"/>
        <v>-0.2493886714892618</v>
      </c>
    </row>
    <row r="104" spans="1:7" ht="11.1" customHeight="1" outlineLevel="6" x14ac:dyDescent="0.2">
      <c r="A104" s="242" t="s">
        <v>103</v>
      </c>
      <c r="B104" s="361">
        <v>-22594341.859999999</v>
      </c>
      <c r="C104" s="285">
        <v>-45945646</v>
      </c>
      <c r="D104" s="285">
        <v>-21363642.280000001</v>
      </c>
      <c r="E104" s="285">
        <v>-21363642.280000001</v>
      </c>
      <c r="F104" s="229">
        <f t="shared" si="6"/>
        <v>24582003.719999999</v>
      </c>
      <c r="G104" s="228">
        <f t="shared" si="7"/>
        <v>-0.53502357372448306</v>
      </c>
    </row>
    <row r="105" spans="1:7" ht="11.1" customHeight="1" outlineLevel="7" x14ac:dyDescent="0.2">
      <c r="A105" s="243" t="s">
        <v>104</v>
      </c>
      <c r="B105" s="362">
        <v>-3831516.53</v>
      </c>
      <c r="C105" s="287">
        <v>-7934066</v>
      </c>
      <c r="D105" s="287">
        <v>-2124315.4700000002</v>
      </c>
      <c r="E105" s="287">
        <v>-2124315.4700000002</v>
      </c>
      <c r="F105" s="237">
        <f t="shared" si="6"/>
        <v>5809750.5299999993</v>
      </c>
      <c r="G105" s="236">
        <f t="shared" si="7"/>
        <v>-0.7322538695796077</v>
      </c>
    </row>
    <row r="106" spans="1:7" ht="11.1" customHeight="1" outlineLevel="7" x14ac:dyDescent="0.2">
      <c r="A106" s="243" t="s">
        <v>105</v>
      </c>
      <c r="B106" s="362">
        <v>-7999329.4500000002</v>
      </c>
      <c r="C106" s="287">
        <v>-4171412</v>
      </c>
      <c r="D106" s="287">
        <v>-5396848.2999999998</v>
      </c>
      <c r="E106" s="287">
        <v>-5396848.2999999998</v>
      </c>
      <c r="F106" s="237">
        <f t="shared" si="6"/>
        <v>-1225436.2999999998</v>
      </c>
      <c r="G106" s="236">
        <f t="shared" si="7"/>
        <v>0.29377014305947236</v>
      </c>
    </row>
    <row r="107" spans="1:7" ht="11.1" customHeight="1" outlineLevel="7" x14ac:dyDescent="0.2">
      <c r="A107" s="243" t="s">
        <v>106</v>
      </c>
      <c r="B107" s="362">
        <v>-10763495.880000001</v>
      </c>
      <c r="C107" s="287">
        <v>-33840168</v>
      </c>
      <c r="D107" s="287">
        <v>-13842478.51</v>
      </c>
      <c r="E107" s="287">
        <v>-13842478.51</v>
      </c>
      <c r="F107" s="237">
        <f t="shared" si="6"/>
        <v>19997689.490000002</v>
      </c>
      <c r="G107" s="236">
        <f t="shared" si="7"/>
        <v>-0.59094533720990983</v>
      </c>
    </row>
    <row r="108" spans="1:7" ht="11.1" customHeight="1" outlineLevel="6" x14ac:dyDescent="0.2">
      <c r="A108" s="242" t="s">
        <v>107</v>
      </c>
      <c r="B108" s="361">
        <v>-121417773.09</v>
      </c>
      <c r="C108" s="285">
        <v>-73709128.340000004</v>
      </c>
      <c r="D108" s="285">
        <v>-68450586.849999994</v>
      </c>
      <c r="E108" s="285">
        <v>-68450586.849999994</v>
      </c>
      <c r="F108" s="229">
        <f t="shared" si="6"/>
        <v>5258541.4900000095</v>
      </c>
      <c r="G108" s="228">
        <f t="shared" si="7"/>
        <v>-7.1341794543327119E-2</v>
      </c>
    </row>
    <row r="109" spans="1:7" ht="11.1" customHeight="1" outlineLevel="7" x14ac:dyDescent="0.2">
      <c r="A109" s="243" t="s">
        <v>108</v>
      </c>
      <c r="B109" s="362">
        <v>-35797698.170000002</v>
      </c>
      <c r="C109" s="287"/>
      <c r="D109" s="287">
        <v>-408788.24</v>
      </c>
      <c r="E109" s="287">
        <v>-408788.24</v>
      </c>
      <c r="F109" s="237">
        <f t="shared" si="6"/>
        <v>-408788.24</v>
      </c>
      <c r="G109" s="236" t="e">
        <f t="shared" si="7"/>
        <v>#DIV/0!</v>
      </c>
    </row>
    <row r="110" spans="1:7" ht="11.1" customHeight="1" outlineLevel="7" x14ac:dyDescent="0.2">
      <c r="A110" s="243" t="s">
        <v>109</v>
      </c>
      <c r="B110" s="362">
        <v>-82006706.299999997</v>
      </c>
      <c r="C110" s="287">
        <v>-73419398.340000004</v>
      </c>
      <c r="D110" s="287">
        <v>-63800487.5</v>
      </c>
      <c r="E110" s="287">
        <v>-63800487.5</v>
      </c>
      <c r="F110" s="237">
        <f t="shared" si="6"/>
        <v>9618910.8400000036</v>
      </c>
      <c r="G110" s="236">
        <f t="shared" si="7"/>
        <v>-0.13101320710169151</v>
      </c>
    </row>
    <row r="111" spans="1:7" ht="11.1" customHeight="1" outlineLevel="7" x14ac:dyDescent="0.2">
      <c r="A111" s="243" t="s">
        <v>110</v>
      </c>
      <c r="B111" s="362">
        <v>-3613368.62</v>
      </c>
      <c r="C111" s="287">
        <v>-289730</v>
      </c>
      <c r="D111" s="287">
        <v>-4241311.1100000003</v>
      </c>
      <c r="E111" s="287">
        <v>-4241311.1100000003</v>
      </c>
      <c r="F111" s="237">
        <f t="shared" si="6"/>
        <v>-3951581.1100000003</v>
      </c>
      <c r="G111" s="236">
        <f t="shared" si="7"/>
        <v>13.638839988955235</v>
      </c>
    </row>
    <row r="112" spans="1:7" ht="11.1" customHeight="1" outlineLevel="6" x14ac:dyDescent="0.2">
      <c r="A112" s="239" t="s">
        <v>111</v>
      </c>
      <c r="B112" s="362">
        <v>-28731.439999999999</v>
      </c>
      <c r="C112" s="287"/>
      <c r="D112" s="287"/>
      <c r="E112" s="287"/>
      <c r="F112" s="237">
        <f t="shared" si="6"/>
        <v>0</v>
      </c>
      <c r="G112" s="236" t="e">
        <f t="shared" si="7"/>
        <v>#DIV/0!</v>
      </c>
    </row>
    <row r="113" spans="1:16" ht="11.1" customHeight="1" outlineLevel="5" x14ac:dyDescent="0.2">
      <c r="A113" s="238" t="s">
        <v>112</v>
      </c>
      <c r="B113" s="361">
        <v>-3619121.2</v>
      </c>
      <c r="C113" s="285">
        <v>-3381133</v>
      </c>
      <c r="D113" s="285">
        <v>-1614467.63</v>
      </c>
      <c r="E113" s="285">
        <v>-1614467.63</v>
      </c>
      <c r="F113" s="229">
        <f t="shared" si="6"/>
        <v>1766665.37</v>
      </c>
      <c r="G113" s="228">
        <f t="shared" si="7"/>
        <v>-0.52250691410246208</v>
      </c>
    </row>
    <row r="114" spans="1:16" ht="11.1" customHeight="1" outlineLevel="6" x14ac:dyDescent="0.2">
      <c r="A114" s="239" t="s">
        <v>113</v>
      </c>
      <c r="B114" s="362">
        <v>-151393.81</v>
      </c>
      <c r="C114" s="287"/>
      <c r="D114" s="287">
        <v>-125545.23</v>
      </c>
      <c r="E114" s="287">
        <v>-125545.23</v>
      </c>
      <c r="F114" s="237">
        <f t="shared" si="6"/>
        <v>-125545.23</v>
      </c>
      <c r="G114" s="236" t="e">
        <f t="shared" si="7"/>
        <v>#DIV/0!</v>
      </c>
    </row>
    <row r="115" spans="1:16" ht="11.1" customHeight="1" outlineLevel="6" x14ac:dyDescent="0.2">
      <c r="A115" s="239" t="s">
        <v>114</v>
      </c>
      <c r="B115" s="362">
        <v>-3467727.39</v>
      </c>
      <c r="C115" s="287">
        <v>-3381133</v>
      </c>
      <c r="D115" s="287">
        <v>-1435054.68</v>
      </c>
      <c r="E115" s="287">
        <v>-1435054.68</v>
      </c>
      <c r="F115" s="237">
        <f t="shared" si="6"/>
        <v>1946078.32</v>
      </c>
      <c r="G115" s="236">
        <f t="shared" si="7"/>
        <v>-0.57556988145689625</v>
      </c>
    </row>
    <row r="116" spans="1:16" ht="11.1" customHeight="1" outlineLevel="6" x14ac:dyDescent="0.2">
      <c r="A116" s="239" t="s">
        <v>115</v>
      </c>
      <c r="B116" s="363"/>
      <c r="C116" s="287"/>
      <c r="D116" s="287">
        <v>-53867.72</v>
      </c>
      <c r="E116" s="287">
        <v>-53867.72</v>
      </c>
      <c r="F116" s="237">
        <f t="shared" si="6"/>
        <v>-53867.72</v>
      </c>
      <c r="G116" s="236" t="e">
        <f t="shared" si="7"/>
        <v>#DIV/0!</v>
      </c>
    </row>
    <row r="117" spans="1:16" ht="11.1" customHeight="1" outlineLevel="5" x14ac:dyDescent="0.2">
      <c r="A117" s="235" t="s">
        <v>116</v>
      </c>
      <c r="B117" s="362">
        <v>-905459.09</v>
      </c>
      <c r="C117" s="287">
        <v>-547946</v>
      </c>
      <c r="D117" s="287">
        <v>-1837840.46</v>
      </c>
      <c r="E117" s="287">
        <v>-1837840.46</v>
      </c>
      <c r="F117" s="237">
        <f t="shared" si="6"/>
        <v>-1289894.46</v>
      </c>
      <c r="G117" s="236">
        <f t="shared" si="7"/>
        <v>2.3540539761217345</v>
      </c>
    </row>
    <row r="118" spans="1:16" ht="11.1" customHeight="1" outlineLevel="5" x14ac:dyDescent="0.2">
      <c r="A118" s="235" t="s">
        <v>117</v>
      </c>
      <c r="B118" s="362">
        <v>-220564.57</v>
      </c>
      <c r="C118" s="287"/>
      <c r="D118" s="287">
        <v>-874730.09</v>
      </c>
      <c r="E118" s="287">
        <v>-874730.09</v>
      </c>
      <c r="F118" s="237">
        <f t="shared" si="6"/>
        <v>-874730.09</v>
      </c>
      <c r="G118" s="236" t="e">
        <f t="shared" si="7"/>
        <v>#DIV/0!</v>
      </c>
      <c r="L118" s="221">
        <v>1000</v>
      </c>
    </row>
    <row r="119" spans="1:16" ht="11.1" customHeight="1" outlineLevel="2" x14ac:dyDescent="0.2">
      <c r="A119" s="230" t="s">
        <v>118</v>
      </c>
      <c r="B119" s="361">
        <v>5668167594.5</v>
      </c>
      <c r="C119" s="284">
        <v>6244230309.4499998</v>
      </c>
      <c r="D119" s="284">
        <v>6329377805.7999992</v>
      </c>
      <c r="E119" s="284">
        <v>6329377805.7999992</v>
      </c>
      <c r="F119" s="225">
        <f t="shared" si="6"/>
        <v>85147496.349999428</v>
      </c>
      <c r="G119" s="224">
        <f t="shared" si="7"/>
        <v>1.3636187669301192E-2</v>
      </c>
    </row>
    <row r="120" spans="1:16" ht="11.1" customHeight="1" outlineLevel="2" x14ac:dyDescent="0.2">
      <c r="A120" s="244" t="s">
        <v>173</v>
      </c>
      <c r="B120" s="245">
        <f>B176+B191+B276</f>
        <v>3412657456.3000002</v>
      </c>
      <c r="C120" s="360">
        <f>C176+C191+C276</f>
        <v>3977034175.6999998</v>
      </c>
      <c r="D120" s="360">
        <f t="shared" ref="D120" si="8">D176+D191+D276</f>
        <v>3745555908.2700005</v>
      </c>
      <c r="E120" s="360">
        <f t="shared" ref="E120" si="9">E176+E191+E276</f>
        <v>3745555908.2700005</v>
      </c>
      <c r="F120" s="229">
        <f t="shared" si="6"/>
        <v>-231478267.42999935</v>
      </c>
      <c r="G120" s="228">
        <f>D120/C120-100%</f>
        <v>-5.8203741080313121E-2</v>
      </c>
      <c r="L120" s="221" t="s">
        <v>754</v>
      </c>
      <c r="M120" s="221" t="s">
        <v>389</v>
      </c>
      <c r="N120" s="221" t="s">
        <v>414</v>
      </c>
    </row>
    <row r="121" spans="1:16" ht="11.1" customHeight="1" outlineLevel="3" x14ac:dyDescent="0.2">
      <c r="A121" s="246" t="s">
        <v>119</v>
      </c>
      <c r="B121" s="361">
        <v>4067295051.21</v>
      </c>
      <c r="C121" s="284">
        <v>4552810623.71</v>
      </c>
      <c r="D121" s="284">
        <v>4608554054.4099998</v>
      </c>
      <c r="E121" s="284">
        <v>4608554054.4099998</v>
      </c>
      <c r="F121" s="225">
        <f t="shared" si="6"/>
        <v>55743430.699999809</v>
      </c>
      <c r="G121" s="224">
        <f t="shared" ref="G121:G184" si="10">D121/C121-1</f>
        <v>1.2243740253482294E-2</v>
      </c>
      <c r="I121" s="221" t="s">
        <v>872</v>
      </c>
      <c r="J121" s="226"/>
      <c r="L121" s="226">
        <f>(D140)/1000</f>
        <v>11390.220439999999</v>
      </c>
      <c r="M121" s="226">
        <f>(B140)/1000</f>
        <v>4660.5120299999999</v>
      </c>
      <c r="N121" s="226">
        <f>(C140)/1000</f>
        <v>4367.6902800000007</v>
      </c>
      <c r="O121" s="318">
        <f>L121/N121-100%</f>
        <v>1.6078361124085925</v>
      </c>
      <c r="P121" s="226">
        <f>L121-N121</f>
        <v>7022.5301599999984</v>
      </c>
    </row>
    <row r="122" spans="1:16" ht="11.1" customHeight="1" outlineLevel="4" x14ac:dyDescent="0.2">
      <c r="A122" s="234" t="s">
        <v>120</v>
      </c>
      <c r="B122" s="361">
        <v>520648163.64999998</v>
      </c>
      <c r="C122" s="285">
        <v>579895636.04999995</v>
      </c>
      <c r="D122" s="285">
        <v>622167907.67999995</v>
      </c>
      <c r="E122" s="285">
        <v>622167907.67999995</v>
      </c>
      <c r="F122" s="367">
        <f t="shared" si="6"/>
        <v>42272271.629999995</v>
      </c>
      <c r="G122" s="228">
        <f t="shared" si="10"/>
        <v>7.289634375926779E-2</v>
      </c>
      <c r="I122" s="221" t="s">
        <v>873</v>
      </c>
      <c r="J122" s="226"/>
      <c r="L122" s="226">
        <f>(D226)/1000</f>
        <v>11439.37795</v>
      </c>
      <c r="M122" s="226">
        <f>(B226)/1000</f>
        <v>1735.2400500000001</v>
      </c>
      <c r="N122" s="226">
        <f>(C226)/1000</f>
        <v>2564.1697899999999</v>
      </c>
      <c r="O122" s="318">
        <f t="shared" ref="O122:O129" si="11">L122/N122-100%</f>
        <v>3.4612404352521446</v>
      </c>
      <c r="P122" s="226">
        <f t="shared" ref="P122:P129" si="12">L122-N122</f>
        <v>8875.2081600000001</v>
      </c>
    </row>
    <row r="123" spans="1:16" ht="11.1" customHeight="1" outlineLevel="5" x14ac:dyDescent="0.2">
      <c r="A123" s="235" t="s">
        <v>121</v>
      </c>
      <c r="B123" s="362">
        <v>35526228.68</v>
      </c>
      <c r="C123" s="287">
        <v>52212608.539999999</v>
      </c>
      <c r="D123" s="287">
        <v>50293620.890000001</v>
      </c>
      <c r="E123" s="287">
        <v>50293620.890000001</v>
      </c>
      <c r="F123" s="237">
        <f t="shared" si="6"/>
        <v>-1918987.6499999985</v>
      </c>
      <c r="G123" s="236">
        <f t="shared" si="10"/>
        <v>-3.6753338008957415E-2</v>
      </c>
      <c r="I123" s="221" t="s">
        <v>258</v>
      </c>
      <c r="J123" s="226"/>
      <c r="L123" s="226">
        <f>(D289)/1000</f>
        <v>26729.776670000003</v>
      </c>
      <c r="M123" s="226">
        <f>(B289)/1000</f>
        <v>26214.384109999999</v>
      </c>
      <c r="N123" s="226">
        <f>(C289)/1000</f>
        <v>170</v>
      </c>
      <c r="O123" s="318">
        <f t="shared" si="11"/>
        <v>156.23398041176472</v>
      </c>
      <c r="P123" s="226">
        <f t="shared" si="12"/>
        <v>26559.776670000003</v>
      </c>
    </row>
    <row r="124" spans="1:16" ht="11.1" customHeight="1" outlineLevel="5" x14ac:dyDescent="0.2">
      <c r="A124" s="235" t="s">
        <v>122</v>
      </c>
      <c r="B124" s="362">
        <v>361318131.74000001</v>
      </c>
      <c r="C124" s="287">
        <v>368972821.17000002</v>
      </c>
      <c r="D124" s="287">
        <v>387692156.55000001</v>
      </c>
      <c r="E124" s="287">
        <v>387692156.55000001</v>
      </c>
      <c r="F124" s="237">
        <f t="shared" si="6"/>
        <v>18719335.379999995</v>
      </c>
      <c r="G124" s="236">
        <f t="shared" si="10"/>
        <v>5.0733642983896932E-2</v>
      </c>
      <c r="I124" s="221" t="s">
        <v>874</v>
      </c>
      <c r="J124" s="226"/>
      <c r="L124" s="226">
        <f>(D138+D232+D234)/1000</f>
        <v>42242.046450000002</v>
      </c>
      <c r="M124" s="226">
        <f>(B138+B232+B234)/1000</f>
        <v>26587.879830000002</v>
      </c>
      <c r="N124" s="226">
        <f>(C138+C232+C234)/1000</f>
        <v>23005.55904</v>
      </c>
      <c r="O124" s="318">
        <f t="shared" si="11"/>
        <v>0.83616691846319946</v>
      </c>
      <c r="P124" s="226">
        <f t="shared" si="12"/>
        <v>19236.487410000002</v>
      </c>
    </row>
    <row r="125" spans="1:16" ht="11.1" customHeight="1" outlineLevel="5" x14ac:dyDescent="0.2">
      <c r="A125" s="235" t="s">
        <v>123</v>
      </c>
      <c r="B125" s="362">
        <v>94448747.269999996</v>
      </c>
      <c r="C125" s="287">
        <v>104354805.95999999</v>
      </c>
      <c r="D125" s="287">
        <v>133739566.64</v>
      </c>
      <c r="E125" s="287">
        <v>133739566.64</v>
      </c>
      <c r="F125" s="237">
        <f t="shared" si="6"/>
        <v>29384760.680000007</v>
      </c>
      <c r="G125" s="236">
        <f t="shared" si="10"/>
        <v>0.28158512116119905</v>
      </c>
      <c r="I125" s="221" t="s">
        <v>869</v>
      </c>
      <c r="J125" s="226"/>
      <c r="L125" s="226">
        <f>(D139+D233)/1000</f>
        <v>89003.629259999987</v>
      </c>
      <c r="M125" s="226">
        <f>(B139+B233)/1000</f>
        <v>74365.005509999988</v>
      </c>
      <c r="N125" s="226">
        <f>(C139+C233)/1000</f>
        <v>81443.382960000003</v>
      </c>
      <c r="O125" s="318">
        <f t="shared" si="11"/>
        <v>9.2828244913562896E-2</v>
      </c>
      <c r="P125" s="226">
        <f t="shared" si="12"/>
        <v>7560.2462999999843</v>
      </c>
    </row>
    <row r="126" spans="1:16" ht="11.1" customHeight="1" outlineLevel="5" x14ac:dyDescent="0.2">
      <c r="A126" s="235" t="s">
        <v>124</v>
      </c>
      <c r="B126" s="362">
        <v>1192591.78</v>
      </c>
      <c r="C126" s="287">
        <v>4836480.72</v>
      </c>
      <c r="D126" s="287">
        <v>1260016.6399999999</v>
      </c>
      <c r="E126" s="287">
        <v>1260016.6399999999</v>
      </c>
      <c r="F126" s="237">
        <f t="shared" si="6"/>
        <v>-3576464.08</v>
      </c>
      <c r="G126" s="236">
        <f t="shared" si="10"/>
        <v>-0.73947655062708484</v>
      </c>
      <c r="I126" s="221" t="s">
        <v>871</v>
      </c>
      <c r="L126" s="226">
        <f>D155/1000</f>
        <v>241858.58937</v>
      </c>
      <c r="M126" s="226">
        <v>56023.876630000006</v>
      </c>
      <c r="N126" s="226">
        <v>212268.70736</v>
      </c>
      <c r="O126" s="318">
        <f t="shared" si="11"/>
        <v>0.13939822962136694</v>
      </c>
      <c r="P126" s="226">
        <f t="shared" si="12"/>
        <v>29589.882010000001</v>
      </c>
    </row>
    <row r="127" spans="1:16" ht="11.1" customHeight="1" outlineLevel="5" x14ac:dyDescent="0.2">
      <c r="A127" s="235" t="s">
        <v>125</v>
      </c>
      <c r="B127" s="362">
        <v>7793285.0700000003</v>
      </c>
      <c r="C127" s="287">
        <v>7261532.7000000002</v>
      </c>
      <c r="D127" s="287">
        <v>6095472.7000000002</v>
      </c>
      <c r="E127" s="287">
        <v>6095472.7000000002</v>
      </c>
      <c r="F127" s="237">
        <f t="shared" si="6"/>
        <v>-1166060</v>
      </c>
      <c r="G127" s="236">
        <f t="shared" si="10"/>
        <v>-0.16058042401984918</v>
      </c>
      <c r="I127" s="221" t="s">
        <v>875</v>
      </c>
      <c r="J127" s="226"/>
      <c r="L127" s="226">
        <f>(D123+D125+D127+D128+D129+D211+D213+D214+D215+D216)/1000</f>
        <v>243223.03472</v>
      </c>
      <c r="M127" s="226">
        <v>157451.57590999996</v>
      </c>
      <c r="N127" s="226">
        <v>206049.92968999999</v>
      </c>
      <c r="O127" s="318">
        <f t="shared" si="11"/>
        <v>0.18040823933270222</v>
      </c>
      <c r="P127" s="226">
        <f t="shared" si="12"/>
        <v>37173.105030000006</v>
      </c>
    </row>
    <row r="128" spans="1:16" ht="11.1" customHeight="1" outlineLevel="5" x14ac:dyDescent="0.2">
      <c r="A128" s="235" t="s">
        <v>126</v>
      </c>
      <c r="B128" s="362">
        <v>5287236.57</v>
      </c>
      <c r="C128" s="287">
        <v>6056735.5899999999</v>
      </c>
      <c r="D128" s="287">
        <v>9550912.0199999996</v>
      </c>
      <c r="E128" s="287">
        <v>9550912.0199999996</v>
      </c>
      <c r="F128" s="237">
        <f t="shared" si="6"/>
        <v>3494176.4299999997</v>
      </c>
      <c r="G128" s="236">
        <f t="shared" si="10"/>
        <v>0.57690754005657352</v>
      </c>
      <c r="I128" s="221" t="s">
        <v>870</v>
      </c>
      <c r="L128" s="226">
        <f>D158/1000</f>
        <v>384076.99177999998</v>
      </c>
      <c r="M128" s="226">
        <v>194096.5477</v>
      </c>
      <c r="N128" s="226">
        <v>149974.74659</v>
      </c>
      <c r="O128" s="318">
        <f t="shared" si="11"/>
        <v>1.5609444290643624</v>
      </c>
      <c r="P128" s="226">
        <f t="shared" si="12"/>
        <v>234102.24518999999</v>
      </c>
    </row>
    <row r="129" spans="1:16" ht="11.1" customHeight="1" outlineLevel="5" x14ac:dyDescent="0.2">
      <c r="A129" s="235" t="s">
        <v>127</v>
      </c>
      <c r="B129" s="362">
        <v>10178439.5</v>
      </c>
      <c r="C129" s="287">
        <v>28210795.530000001</v>
      </c>
      <c r="D129" s="287">
        <v>29740886.969999999</v>
      </c>
      <c r="E129" s="287">
        <v>29740886.969999999</v>
      </c>
      <c r="F129" s="237">
        <f t="shared" si="6"/>
        <v>1530091.4399999976</v>
      </c>
      <c r="G129" s="236">
        <f t="shared" si="10"/>
        <v>5.4237798376613133E-2</v>
      </c>
      <c r="I129" s="221" t="s">
        <v>122</v>
      </c>
      <c r="J129" s="226"/>
      <c r="L129" s="226">
        <f>(D124+D212)/1000</f>
        <v>397479.74598000001</v>
      </c>
      <c r="M129" s="226">
        <v>375884.86481</v>
      </c>
      <c r="N129" s="226">
        <v>382907.11131999997</v>
      </c>
      <c r="O129" s="318">
        <f t="shared" si="11"/>
        <v>3.8057884612703097E-2</v>
      </c>
      <c r="P129" s="226">
        <f t="shared" si="12"/>
        <v>14572.63466000004</v>
      </c>
    </row>
    <row r="130" spans="1:16" ht="11.1" customHeight="1" outlineLevel="5" x14ac:dyDescent="0.2">
      <c r="A130" s="235" t="s">
        <v>128</v>
      </c>
      <c r="B130" s="362">
        <v>4903503.04</v>
      </c>
      <c r="C130" s="287">
        <v>7989855.8399999999</v>
      </c>
      <c r="D130" s="287">
        <v>3795275.27</v>
      </c>
      <c r="E130" s="287">
        <v>3795275.27</v>
      </c>
      <c r="F130" s="237">
        <f t="shared" si="6"/>
        <v>-4194580.57</v>
      </c>
      <c r="G130" s="236">
        <f t="shared" si="10"/>
        <v>-0.52498826687215927</v>
      </c>
    </row>
    <row r="131" spans="1:16" ht="11.1" customHeight="1" outlineLevel="4" x14ac:dyDescent="0.2">
      <c r="A131" s="234" t="s">
        <v>129</v>
      </c>
      <c r="B131" s="361">
        <v>98602377.409999996</v>
      </c>
      <c r="C131" s="285">
        <v>85673422.790000007</v>
      </c>
      <c r="D131" s="285">
        <v>71562820.629999995</v>
      </c>
      <c r="E131" s="285">
        <v>71562820.629999995</v>
      </c>
      <c r="F131" s="229">
        <f t="shared" si="6"/>
        <v>-14110602.160000011</v>
      </c>
      <c r="G131" s="228">
        <f t="shared" si="10"/>
        <v>-0.16470221102975513</v>
      </c>
      <c r="L131" s="221" t="s">
        <v>754</v>
      </c>
      <c r="M131" s="221" t="s">
        <v>389</v>
      </c>
      <c r="N131" s="221" t="s">
        <v>414</v>
      </c>
    </row>
    <row r="132" spans="1:16" ht="11.1" customHeight="1" outlineLevel="5" x14ac:dyDescent="0.2">
      <c r="A132" s="235" t="s">
        <v>130</v>
      </c>
      <c r="B132" s="362">
        <v>66379079.909999996</v>
      </c>
      <c r="C132" s="287">
        <v>52823489.590000004</v>
      </c>
      <c r="D132" s="287">
        <v>41441556.909999996</v>
      </c>
      <c r="E132" s="287">
        <v>41441556.909999996</v>
      </c>
      <c r="F132" s="237">
        <f t="shared" si="6"/>
        <v>-11381932.680000007</v>
      </c>
      <c r="G132" s="236">
        <f t="shared" si="10"/>
        <v>-0.21547104836017339</v>
      </c>
      <c r="I132" s="221" t="s">
        <v>264</v>
      </c>
      <c r="J132" s="226"/>
      <c r="L132" s="226">
        <f>(D296)/1000</f>
        <v>4670.1355300000005</v>
      </c>
      <c r="M132" s="226">
        <f>(B296)/1000</f>
        <v>13324.51058</v>
      </c>
      <c r="N132" s="226">
        <f>(C296)/1000</f>
        <v>8811.6523500000003</v>
      </c>
      <c r="O132" s="318">
        <f>L132/N132-100%</f>
        <v>-0.4700045638999818</v>
      </c>
      <c r="P132" s="226">
        <f t="shared" ref="P132:P137" si="13">L132-N132</f>
        <v>-4141.5168199999998</v>
      </c>
    </row>
    <row r="133" spans="1:16" ht="11.1" customHeight="1" outlineLevel="5" x14ac:dyDescent="0.2">
      <c r="A133" s="235" t="s">
        <v>131</v>
      </c>
      <c r="B133" s="362">
        <v>3680695.71</v>
      </c>
      <c r="C133" s="287">
        <v>6166329.0599999996</v>
      </c>
      <c r="D133" s="287">
        <v>4116923.15</v>
      </c>
      <c r="E133" s="287">
        <v>4116923.15</v>
      </c>
      <c r="F133" s="237">
        <f t="shared" si="6"/>
        <v>-2049405.9099999997</v>
      </c>
      <c r="G133" s="236">
        <f t="shared" si="10"/>
        <v>-0.33235428892275165</v>
      </c>
      <c r="I133" s="221" t="s">
        <v>178</v>
      </c>
      <c r="J133" s="226"/>
      <c r="L133" s="226">
        <f>(D181+D196+D281)/1000</f>
        <v>23558.849109999999</v>
      </c>
      <c r="M133" s="226">
        <f>(B181+B196+B281)/1000</f>
        <v>25936.30733</v>
      </c>
      <c r="N133" s="226">
        <f>(C181+C196+C281)/1000</f>
        <v>32776.993600000002</v>
      </c>
      <c r="O133" s="318">
        <f t="shared" ref="O133:O137" si="14">L133/N133-100%</f>
        <v>-0.28123825517664325</v>
      </c>
      <c r="P133" s="226">
        <f t="shared" si="13"/>
        <v>-9218.1444900000024</v>
      </c>
    </row>
    <row r="134" spans="1:16" ht="11.1" customHeight="1" outlineLevel="5" x14ac:dyDescent="0.2">
      <c r="A134" s="235" t="s">
        <v>132</v>
      </c>
      <c r="B134" s="362">
        <v>23805943.18</v>
      </c>
      <c r="C134" s="287">
        <v>21735672.329999998</v>
      </c>
      <c r="D134" s="287">
        <v>22723488.109999999</v>
      </c>
      <c r="E134" s="287">
        <v>22723488.109999999</v>
      </c>
      <c r="F134" s="237">
        <f t="shared" si="6"/>
        <v>987815.78000000119</v>
      </c>
      <c r="G134" s="236">
        <f t="shared" si="10"/>
        <v>4.544675522351338E-2</v>
      </c>
      <c r="I134" s="221" t="s">
        <v>226</v>
      </c>
      <c r="L134" s="226">
        <f>(D246)/1000</f>
        <v>34988.346460000001</v>
      </c>
      <c r="M134" s="226">
        <f>(B246)/1000</f>
        <v>34062.149159999994</v>
      </c>
      <c r="N134" s="226">
        <f>(C246)/1000</f>
        <v>41274.080020000001</v>
      </c>
      <c r="O134" s="318">
        <f t="shared" si="14"/>
        <v>-0.15229251765161456</v>
      </c>
      <c r="P134" s="226">
        <f t="shared" si="13"/>
        <v>-6285.7335600000006</v>
      </c>
    </row>
    <row r="135" spans="1:16" ht="11.1" customHeight="1" outlineLevel="5" x14ac:dyDescent="0.2">
      <c r="A135" s="235" t="s">
        <v>133</v>
      </c>
      <c r="B135" s="362">
        <v>178515.56</v>
      </c>
      <c r="C135" s="287">
        <v>1134090.77</v>
      </c>
      <c r="D135" s="287">
        <v>1759051.68</v>
      </c>
      <c r="E135" s="287">
        <v>1759051.68</v>
      </c>
      <c r="F135" s="237">
        <f t="shared" si="6"/>
        <v>624960.90999999992</v>
      </c>
      <c r="G135" s="236">
        <f t="shared" si="10"/>
        <v>0.55106780385841603</v>
      </c>
      <c r="I135" s="221" t="s">
        <v>876</v>
      </c>
      <c r="L135" s="226">
        <f>(D132)/1000</f>
        <v>41441.556909999999</v>
      </c>
      <c r="M135" s="226">
        <f>(B132)/1000</f>
        <v>66379.07991</v>
      </c>
      <c r="N135" s="226">
        <f>(C132)/1000</f>
        <v>52823.489590000005</v>
      </c>
      <c r="O135" s="318">
        <f t="shared" si="14"/>
        <v>-0.21547104836017339</v>
      </c>
      <c r="P135" s="226">
        <f t="shared" si="13"/>
        <v>-11381.932680000005</v>
      </c>
    </row>
    <row r="136" spans="1:16" ht="11.1" customHeight="1" outlineLevel="5" x14ac:dyDescent="0.2">
      <c r="A136" s="235" t="s">
        <v>134</v>
      </c>
      <c r="B136" s="362">
        <v>4558143.05</v>
      </c>
      <c r="C136" s="287">
        <v>3813841.04</v>
      </c>
      <c r="D136" s="287">
        <v>1521800.78</v>
      </c>
      <c r="E136" s="287">
        <v>1521800.78</v>
      </c>
      <c r="F136" s="237">
        <f t="shared" si="6"/>
        <v>-2292040.2599999998</v>
      </c>
      <c r="G136" s="236">
        <f t="shared" si="10"/>
        <v>-0.60097949441542542</v>
      </c>
      <c r="I136" s="221" t="s">
        <v>878</v>
      </c>
      <c r="L136" s="226">
        <f>(D167)/1000</f>
        <v>61711.838880000003</v>
      </c>
      <c r="M136" s="226">
        <f>(B167)/1000</f>
        <v>66864.28916</v>
      </c>
      <c r="N136" s="226">
        <f>(C167)/1000</f>
        <v>67767.42154000001</v>
      </c>
      <c r="O136" s="318">
        <f t="shared" si="14"/>
        <v>-8.9358315874917493E-2</v>
      </c>
      <c r="P136" s="226">
        <f t="shared" si="13"/>
        <v>-6055.5826600000073</v>
      </c>
    </row>
    <row r="137" spans="1:16" ht="11.1" customHeight="1" outlineLevel="4" x14ac:dyDescent="0.2">
      <c r="A137" s="234" t="s">
        <v>135</v>
      </c>
      <c r="B137" s="361">
        <v>76000805.340000004</v>
      </c>
      <c r="C137" s="285">
        <v>80191371.939999998</v>
      </c>
      <c r="D137" s="285">
        <v>100206813.76000001</v>
      </c>
      <c r="E137" s="285">
        <v>100206813.76000001</v>
      </c>
      <c r="F137" s="367">
        <f t="shared" ref="F137:F200" si="15">D137-C137</f>
        <v>20015441.820000008</v>
      </c>
      <c r="G137" s="228">
        <f t="shared" si="10"/>
        <v>0.24959595198066653</v>
      </c>
      <c r="I137" s="221" t="s">
        <v>879</v>
      </c>
      <c r="L137" s="226">
        <f>(D173+D240+D266+D267+D268+D271)/1000</f>
        <v>120392.22718999999</v>
      </c>
      <c r="M137" s="226">
        <f>(B173+B240+B266+B267+B268+B271)/1000</f>
        <v>134282.76983999999</v>
      </c>
      <c r="N137" s="226">
        <f>(C173+C240+C266+C267+C268+C271)/1000</f>
        <v>144970.48046999998</v>
      </c>
      <c r="O137" s="318">
        <f t="shared" si="14"/>
        <v>-0.16953971043150529</v>
      </c>
      <c r="P137" s="226">
        <f t="shared" si="13"/>
        <v>-24578.25327999999</v>
      </c>
    </row>
    <row r="138" spans="1:16" ht="11.1" customHeight="1" outlineLevel="5" x14ac:dyDescent="0.2">
      <c r="A138" s="235" t="s">
        <v>136</v>
      </c>
      <c r="B138" s="362">
        <v>5116792.3</v>
      </c>
      <c r="C138" s="287">
        <v>4237912.12</v>
      </c>
      <c r="D138" s="287">
        <v>6935523.6100000003</v>
      </c>
      <c r="E138" s="287">
        <v>6935523.6100000003</v>
      </c>
      <c r="F138" s="237">
        <f t="shared" si="15"/>
        <v>2697611.49</v>
      </c>
      <c r="G138" s="236">
        <f t="shared" si="10"/>
        <v>0.63654257417683313</v>
      </c>
      <c r="L138" s="226"/>
      <c r="M138" s="226"/>
      <c r="N138" s="226"/>
      <c r="O138" s="318"/>
      <c r="P138" s="226"/>
    </row>
    <row r="139" spans="1:16" ht="11.1" customHeight="1" outlineLevel="5" x14ac:dyDescent="0.2">
      <c r="A139" s="235" t="s">
        <v>137</v>
      </c>
      <c r="B139" s="362">
        <v>66223501.009999998</v>
      </c>
      <c r="C139" s="287">
        <v>71585769.540000007</v>
      </c>
      <c r="D139" s="287">
        <v>81881069.709999993</v>
      </c>
      <c r="E139" s="287">
        <v>81881069.709999993</v>
      </c>
      <c r="F139" s="237">
        <f t="shared" si="15"/>
        <v>10295300.169999987</v>
      </c>
      <c r="G139" s="236">
        <f t="shared" si="10"/>
        <v>0.14381769220553364</v>
      </c>
    </row>
    <row r="140" spans="1:16" ht="11.1" customHeight="1" outlineLevel="5" x14ac:dyDescent="0.2">
      <c r="A140" s="235" t="s">
        <v>138</v>
      </c>
      <c r="B140" s="362">
        <v>4660512.03</v>
      </c>
      <c r="C140" s="287">
        <v>4367690.28</v>
      </c>
      <c r="D140" s="287">
        <v>11390220.439999999</v>
      </c>
      <c r="E140" s="287">
        <v>11390220.439999999</v>
      </c>
      <c r="F140" s="237">
        <f t="shared" si="15"/>
        <v>7022530.1599999992</v>
      </c>
      <c r="G140" s="236">
        <f t="shared" si="10"/>
        <v>1.6078361124085929</v>
      </c>
    </row>
    <row r="141" spans="1:16" ht="11.1" customHeight="1" outlineLevel="5" x14ac:dyDescent="0.2">
      <c r="A141" s="235" t="s">
        <v>139</v>
      </c>
      <c r="B141" s="363">
        <v>0</v>
      </c>
      <c r="C141" s="287">
        <v>0</v>
      </c>
      <c r="D141" s="287">
        <v>0</v>
      </c>
      <c r="E141" s="287">
        <v>0</v>
      </c>
      <c r="F141" s="237">
        <f t="shared" si="15"/>
        <v>0</v>
      </c>
      <c r="G141" s="236" t="e">
        <f t="shared" si="10"/>
        <v>#DIV/0!</v>
      </c>
    </row>
    <row r="142" spans="1:16" ht="11.1" customHeight="1" outlineLevel="4" x14ac:dyDescent="0.2">
      <c r="A142" s="234" t="s">
        <v>140</v>
      </c>
      <c r="B142" s="361">
        <v>959517911.45000005</v>
      </c>
      <c r="C142" s="285">
        <v>919837074.25</v>
      </c>
      <c r="D142" s="285">
        <v>1184926061.6499999</v>
      </c>
      <c r="E142" s="285">
        <v>1184926061.6499999</v>
      </c>
      <c r="F142" s="229">
        <f t="shared" si="15"/>
        <v>265088987.39999986</v>
      </c>
      <c r="G142" s="228">
        <f t="shared" si="10"/>
        <v>0.28819124040650701</v>
      </c>
    </row>
    <row r="143" spans="1:16" ht="11.1" customHeight="1" outlineLevel="5" x14ac:dyDescent="0.2">
      <c r="A143" s="238" t="s">
        <v>141</v>
      </c>
      <c r="B143" s="361">
        <v>30830045.190000001</v>
      </c>
      <c r="C143" s="285">
        <v>20842717.309999999</v>
      </c>
      <c r="D143" s="285">
        <v>18855396.98</v>
      </c>
      <c r="E143" s="285">
        <v>18855396.98</v>
      </c>
      <c r="F143" s="229">
        <f t="shared" si="15"/>
        <v>-1987320.3299999982</v>
      </c>
      <c r="G143" s="228">
        <f t="shared" si="10"/>
        <v>-9.5348427963685589E-2</v>
      </c>
    </row>
    <row r="144" spans="1:16" ht="11.1" customHeight="1" outlineLevel="6" x14ac:dyDescent="0.2">
      <c r="A144" s="239" t="s">
        <v>142</v>
      </c>
      <c r="B144" s="362">
        <v>13219.23</v>
      </c>
      <c r="C144" s="287">
        <v>50033.31</v>
      </c>
      <c r="D144" s="287">
        <v>24241.23</v>
      </c>
      <c r="E144" s="287">
        <v>24241.23</v>
      </c>
      <c r="F144" s="237">
        <f t="shared" si="15"/>
        <v>-25792.079999999998</v>
      </c>
      <c r="G144" s="236">
        <f t="shared" si="10"/>
        <v>-0.51549817511573792</v>
      </c>
    </row>
    <row r="145" spans="1:7" ht="11.1" customHeight="1" outlineLevel="6" x14ac:dyDescent="0.2">
      <c r="A145" s="239" t="s">
        <v>143</v>
      </c>
      <c r="B145" s="363">
        <v>0</v>
      </c>
      <c r="C145" s="287">
        <v>0</v>
      </c>
      <c r="D145" s="287">
        <v>23668.5</v>
      </c>
      <c r="E145" s="287">
        <v>23668.5</v>
      </c>
      <c r="F145" s="237">
        <f t="shared" si="15"/>
        <v>23668.5</v>
      </c>
      <c r="G145" s="236" t="e">
        <f t="shared" si="10"/>
        <v>#DIV/0!</v>
      </c>
    </row>
    <row r="146" spans="1:7" ht="11.1" customHeight="1" outlineLevel="6" x14ac:dyDescent="0.2">
      <c r="A146" s="239" t="s">
        <v>144</v>
      </c>
      <c r="B146" s="362">
        <v>13980541.82</v>
      </c>
      <c r="C146" s="287">
        <v>6588878</v>
      </c>
      <c r="D146" s="287">
        <v>6520473.0599999996</v>
      </c>
      <c r="E146" s="287">
        <v>6520473.0599999996</v>
      </c>
      <c r="F146" s="237">
        <f t="shared" si="15"/>
        <v>-68404.94000000041</v>
      </c>
      <c r="G146" s="236">
        <f t="shared" si="10"/>
        <v>-1.0381879889110213E-2</v>
      </c>
    </row>
    <row r="147" spans="1:7" ht="11.1" customHeight="1" outlineLevel="6" x14ac:dyDescent="0.2">
      <c r="A147" s="239" t="s">
        <v>145</v>
      </c>
      <c r="B147" s="362">
        <v>16836284.140000001</v>
      </c>
      <c r="C147" s="287">
        <v>14203806</v>
      </c>
      <c r="D147" s="287">
        <v>12287014.189999999</v>
      </c>
      <c r="E147" s="287">
        <v>12287014.189999999</v>
      </c>
      <c r="F147" s="237">
        <f t="shared" si="15"/>
        <v>-1916791.8100000005</v>
      </c>
      <c r="G147" s="236">
        <f t="shared" si="10"/>
        <v>-0.13494916855383698</v>
      </c>
    </row>
    <row r="148" spans="1:7" ht="11.1" customHeight="1" outlineLevel="5" x14ac:dyDescent="0.2">
      <c r="A148" s="238" t="s">
        <v>146</v>
      </c>
      <c r="B148" s="361">
        <v>603531287.59000003</v>
      </c>
      <c r="C148" s="285">
        <v>682647394.65999997</v>
      </c>
      <c r="D148" s="285">
        <v>965786451.88999999</v>
      </c>
      <c r="E148" s="285">
        <v>965786451.88999999</v>
      </c>
      <c r="F148" s="229">
        <f t="shared" si="15"/>
        <v>283139057.23000002</v>
      </c>
      <c r="G148" s="228">
        <f t="shared" si="10"/>
        <v>0.41476618741220062</v>
      </c>
    </row>
    <row r="149" spans="1:7" ht="11.1" customHeight="1" outlineLevel="6" x14ac:dyDescent="0.2">
      <c r="A149" s="242" t="s">
        <v>147</v>
      </c>
      <c r="B149" s="361">
        <v>12820145.33</v>
      </c>
      <c r="C149" s="285">
        <v>9176510</v>
      </c>
      <c r="D149" s="285">
        <v>13118906.210000001</v>
      </c>
      <c r="E149" s="285">
        <v>13118906.210000001</v>
      </c>
      <c r="F149" s="367">
        <f t="shared" si="15"/>
        <v>3942396.2100000009</v>
      </c>
      <c r="G149" s="228">
        <f t="shared" si="10"/>
        <v>0.42961825465236791</v>
      </c>
    </row>
    <row r="150" spans="1:7" ht="11.1" customHeight="1" outlineLevel="7" x14ac:dyDescent="0.2">
      <c r="A150" s="243" t="s">
        <v>148</v>
      </c>
      <c r="B150" s="362">
        <v>12806760.67</v>
      </c>
      <c r="C150" s="287">
        <v>9149210</v>
      </c>
      <c r="D150" s="287">
        <v>13103306.210000001</v>
      </c>
      <c r="E150" s="287">
        <v>13103306.210000001</v>
      </c>
      <c r="F150" s="237">
        <f t="shared" si="15"/>
        <v>3954096.2100000009</v>
      </c>
      <c r="G150" s="236">
        <f t="shared" si="10"/>
        <v>0.4321789761083199</v>
      </c>
    </row>
    <row r="151" spans="1:7" ht="11.1" customHeight="1" outlineLevel="7" x14ac:dyDescent="0.2">
      <c r="A151" s="243" t="s">
        <v>149</v>
      </c>
      <c r="B151" s="362">
        <v>13384.66</v>
      </c>
      <c r="C151" s="287">
        <v>27300</v>
      </c>
      <c r="D151" s="287">
        <v>15600</v>
      </c>
      <c r="E151" s="287">
        <v>15600</v>
      </c>
      <c r="F151" s="237">
        <f t="shared" si="15"/>
        <v>-11700</v>
      </c>
      <c r="G151" s="236">
        <f t="shared" si="10"/>
        <v>-0.4285714285714286</v>
      </c>
    </row>
    <row r="152" spans="1:7" ht="11.1" customHeight="1" outlineLevel="6" x14ac:dyDescent="0.2">
      <c r="A152" s="242" t="s">
        <v>150</v>
      </c>
      <c r="B152" s="361">
        <v>362590.23</v>
      </c>
      <c r="C152" s="285">
        <v>3285001</v>
      </c>
      <c r="D152" s="285">
        <v>2528869.77</v>
      </c>
      <c r="E152" s="285">
        <v>2528869.77</v>
      </c>
      <c r="F152" s="229">
        <f t="shared" si="15"/>
        <v>-756131.23</v>
      </c>
      <c r="G152" s="228">
        <f t="shared" si="10"/>
        <v>-0.23017686448192864</v>
      </c>
    </row>
    <row r="153" spans="1:7" ht="11.1" customHeight="1" outlineLevel="7" x14ac:dyDescent="0.2">
      <c r="A153" s="243" t="s">
        <v>151</v>
      </c>
      <c r="B153" s="362">
        <v>344110.01</v>
      </c>
      <c r="C153" s="287">
        <v>3285001</v>
      </c>
      <c r="D153" s="287">
        <v>2485740.5699999998</v>
      </c>
      <c r="E153" s="287">
        <v>2485740.5699999998</v>
      </c>
      <c r="F153" s="237">
        <f t="shared" si="15"/>
        <v>-799260.43000000017</v>
      </c>
      <c r="G153" s="236">
        <f t="shared" si="10"/>
        <v>-0.2433059929053295</v>
      </c>
    </row>
    <row r="154" spans="1:7" ht="11.1" customHeight="1" outlineLevel="7" x14ac:dyDescent="0.2">
      <c r="A154" s="243" t="s">
        <v>152</v>
      </c>
      <c r="B154" s="362">
        <v>18480.22</v>
      </c>
      <c r="C154" s="287">
        <v>0</v>
      </c>
      <c r="D154" s="287">
        <v>43129.2</v>
      </c>
      <c r="E154" s="287">
        <v>43129.2</v>
      </c>
      <c r="F154" s="237">
        <f t="shared" si="15"/>
        <v>43129.2</v>
      </c>
      <c r="G154" s="236" t="e">
        <f t="shared" si="10"/>
        <v>#DIV/0!</v>
      </c>
    </row>
    <row r="155" spans="1:7" ht="11.1" customHeight="1" outlineLevel="6" x14ac:dyDescent="0.2">
      <c r="A155" s="242" t="s">
        <v>153</v>
      </c>
      <c r="B155" s="361">
        <v>56023876.630000003</v>
      </c>
      <c r="C155" s="285">
        <v>212268707.36000001</v>
      </c>
      <c r="D155" s="285">
        <v>241858589.37</v>
      </c>
      <c r="E155" s="285">
        <v>241858589.37</v>
      </c>
      <c r="F155" s="367">
        <f t="shared" si="15"/>
        <v>29589882.00999999</v>
      </c>
      <c r="G155" s="228">
        <f t="shared" si="10"/>
        <v>0.13939822962136672</v>
      </c>
    </row>
    <row r="156" spans="1:7" ht="11.1" customHeight="1" outlineLevel="7" x14ac:dyDescent="0.2">
      <c r="A156" s="243" t="s">
        <v>154</v>
      </c>
      <c r="B156" s="362">
        <v>64826.49</v>
      </c>
      <c r="C156" s="287">
        <v>886634.78</v>
      </c>
      <c r="D156" s="287">
        <v>8577055.8300000001</v>
      </c>
      <c r="E156" s="287">
        <v>8577055.8300000001</v>
      </c>
      <c r="F156" s="237">
        <f t="shared" si="15"/>
        <v>7690421.0499999998</v>
      </c>
      <c r="G156" s="236">
        <f t="shared" si="10"/>
        <v>8.6737191270570282</v>
      </c>
    </row>
    <row r="157" spans="1:7" ht="11.1" customHeight="1" outlineLevel="7" x14ac:dyDescent="0.2">
      <c r="A157" s="243" t="s">
        <v>155</v>
      </c>
      <c r="B157" s="362">
        <v>55959050.140000001</v>
      </c>
      <c r="C157" s="287">
        <v>211382072.58000001</v>
      </c>
      <c r="D157" s="287">
        <v>233281533.53999999</v>
      </c>
      <c r="E157" s="287">
        <v>233281533.53999999</v>
      </c>
      <c r="F157" s="237">
        <f t="shared" si="15"/>
        <v>21899460.959999979</v>
      </c>
      <c r="G157" s="236">
        <f t="shared" si="10"/>
        <v>0.10360131629285574</v>
      </c>
    </row>
    <row r="158" spans="1:7" ht="11.1" customHeight="1" outlineLevel="6" x14ac:dyDescent="0.2">
      <c r="A158" s="242" t="s">
        <v>156</v>
      </c>
      <c r="B158" s="361">
        <v>194096547.69999999</v>
      </c>
      <c r="C158" s="285">
        <v>149974746.59</v>
      </c>
      <c r="D158" s="285">
        <v>384076991.77999997</v>
      </c>
      <c r="E158" s="285">
        <v>384076991.77999997</v>
      </c>
      <c r="F158" s="367">
        <f t="shared" si="15"/>
        <v>234102245.18999997</v>
      </c>
      <c r="G158" s="228">
        <f t="shared" si="10"/>
        <v>1.5609444290643624</v>
      </c>
    </row>
    <row r="159" spans="1:7" ht="11.1" customHeight="1" outlineLevel="7" x14ac:dyDescent="0.2">
      <c r="A159" s="243" t="s">
        <v>157</v>
      </c>
      <c r="B159" s="362">
        <v>17308525.449999999</v>
      </c>
      <c r="C159" s="287">
        <v>2436900</v>
      </c>
      <c r="D159" s="287">
        <v>7429068.8200000003</v>
      </c>
      <c r="E159" s="287">
        <v>7429068.8200000003</v>
      </c>
      <c r="F159" s="237">
        <f t="shared" si="15"/>
        <v>4992168.82</v>
      </c>
      <c r="G159" s="236">
        <f t="shared" si="10"/>
        <v>2.0485735237391771</v>
      </c>
    </row>
    <row r="160" spans="1:7" ht="11.1" customHeight="1" outlineLevel="7" x14ac:dyDescent="0.2">
      <c r="A160" s="243" t="s">
        <v>158</v>
      </c>
      <c r="B160" s="362">
        <v>176788022.25</v>
      </c>
      <c r="C160" s="287">
        <v>147537846.59</v>
      </c>
      <c r="D160" s="287">
        <v>376647922.95999998</v>
      </c>
      <c r="E160" s="287">
        <v>376647922.95999998</v>
      </c>
      <c r="F160" s="237">
        <f t="shared" si="15"/>
        <v>229110076.36999997</v>
      </c>
      <c r="G160" s="236">
        <f t="shared" si="10"/>
        <v>1.5528902018387525</v>
      </c>
    </row>
    <row r="161" spans="1:15" ht="11.1" customHeight="1" outlineLevel="6" x14ac:dyDescent="0.2">
      <c r="A161" s="242" t="s">
        <v>159</v>
      </c>
      <c r="B161" s="361">
        <v>14189645.42</v>
      </c>
      <c r="C161" s="285">
        <v>3694857.94</v>
      </c>
      <c r="D161" s="285">
        <v>4486401.1399999997</v>
      </c>
      <c r="E161" s="285">
        <v>4486401.1399999997</v>
      </c>
      <c r="F161" s="367">
        <f t="shared" si="15"/>
        <v>791543.19999999972</v>
      </c>
      <c r="G161" s="228">
        <f t="shared" si="10"/>
        <v>0.21422831753038918</v>
      </c>
    </row>
    <row r="162" spans="1:15" ht="11.1" customHeight="1" outlineLevel="7" x14ac:dyDescent="0.2">
      <c r="A162" s="243" t="s">
        <v>160</v>
      </c>
      <c r="B162" s="362">
        <v>176756.82</v>
      </c>
      <c r="C162" s="287">
        <v>185800</v>
      </c>
      <c r="D162" s="287">
        <v>120000.06</v>
      </c>
      <c r="E162" s="287">
        <v>120000.06</v>
      </c>
      <c r="F162" s="237">
        <f t="shared" si="15"/>
        <v>-65799.94</v>
      </c>
      <c r="G162" s="236">
        <f t="shared" si="10"/>
        <v>-0.35414391819160385</v>
      </c>
    </row>
    <row r="163" spans="1:15" ht="11.1" customHeight="1" outlineLevel="7" x14ac:dyDescent="0.2">
      <c r="A163" s="243" t="s">
        <v>161</v>
      </c>
      <c r="B163" s="362">
        <v>14012888.6</v>
      </c>
      <c r="C163" s="287">
        <v>3509057.94</v>
      </c>
      <c r="D163" s="287">
        <v>4366401.08</v>
      </c>
      <c r="E163" s="287">
        <v>4366401.08</v>
      </c>
      <c r="F163" s="237">
        <f t="shared" si="15"/>
        <v>857343.14000000013</v>
      </c>
      <c r="G163" s="236">
        <f t="shared" si="10"/>
        <v>0.24432287943356101</v>
      </c>
    </row>
    <row r="164" spans="1:15" ht="11.1" customHeight="1" outlineLevel="6" x14ac:dyDescent="0.2">
      <c r="A164" s="242" t="s">
        <v>162</v>
      </c>
      <c r="B164" s="361">
        <v>251153430.24000001</v>
      </c>
      <c r="C164" s="285">
        <v>235471779.25999999</v>
      </c>
      <c r="D164" s="285">
        <v>255786047.53999999</v>
      </c>
      <c r="E164" s="285">
        <v>255786047.53999999</v>
      </c>
      <c r="F164" s="367">
        <f t="shared" si="15"/>
        <v>20314268.280000001</v>
      </c>
      <c r="G164" s="228">
        <f t="shared" si="10"/>
        <v>8.62705006257658E-2</v>
      </c>
    </row>
    <row r="165" spans="1:15" ht="11.1" customHeight="1" outlineLevel="7" x14ac:dyDescent="0.2">
      <c r="A165" s="243" t="s">
        <v>163</v>
      </c>
      <c r="B165" s="362">
        <v>11313494.550000001</v>
      </c>
      <c r="C165" s="287">
        <v>14553122.210000001</v>
      </c>
      <c r="D165" s="287">
        <v>7375218.3600000003</v>
      </c>
      <c r="E165" s="287">
        <v>7375218.3600000003</v>
      </c>
      <c r="F165" s="237">
        <f t="shared" si="15"/>
        <v>-7177903.8500000006</v>
      </c>
      <c r="G165" s="236">
        <f t="shared" si="10"/>
        <v>-0.49322088734112268</v>
      </c>
    </row>
    <row r="166" spans="1:15" ht="11.1" customHeight="1" outlineLevel="7" x14ac:dyDescent="0.2">
      <c r="A166" s="243" t="s">
        <v>164</v>
      </c>
      <c r="B166" s="362">
        <v>239839935.69</v>
      </c>
      <c r="C166" s="287">
        <v>220918657.05000001</v>
      </c>
      <c r="D166" s="287">
        <v>248410829.18000001</v>
      </c>
      <c r="E166" s="287">
        <v>248410829.18000001</v>
      </c>
      <c r="F166" s="237">
        <f t="shared" si="15"/>
        <v>27492172.129999995</v>
      </c>
      <c r="G166" s="236">
        <f t="shared" si="10"/>
        <v>0.12444477300881718</v>
      </c>
    </row>
    <row r="167" spans="1:15" ht="11.1" customHeight="1" outlineLevel="6" x14ac:dyDescent="0.2">
      <c r="A167" s="239" t="s">
        <v>165</v>
      </c>
      <c r="B167" s="362">
        <v>66864289.159999996</v>
      </c>
      <c r="C167" s="287">
        <v>67767421.540000007</v>
      </c>
      <c r="D167" s="287">
        <v>61711838.880000003</v>
      </c>
      <c r="E167" s="287">
        <v>61711838.880000003</v>
      </c>
      <c r="F167" s="237">
        <f t="shared" si="15"/>
        <v>-6055582.6600000039</v>
      </c>
      <c r="G167" s="236">
        <f t="shared" si="10"/>
        <v>-8.9358315874917382E-2</v>
      </c>
    </row>
    <row r="168" spans="1:15" ht="11.1" customHeight="1" outlineLevel="6" x14ac:dyDescent="0.2">
      <c r="A168" s="239" t="s">
        <v>166</v>
      </c>
      <c r="B168" s="362">
        <v>6558303.2000000002</v>
      </c>
      <c r="C168" s="287">
        <v>642229.17000000004</v>
      </c>
      <c r="D168" s="287">
        <v>1527253.19</v>
      </c>
      <c r="E168" s="287">
        <v>1527253.19</v>
      </c>
      <c r="F168" s="368">
        <f t="shared" si="15"/>
        <v>885024.0199999999</v>
      </c>
      <c r="G168" s="236">
        <f t="shared" si="10"/>
        <v>1.3780501748308938</v>
      </c>
    </row>
    <row r="169" spans="1:15" ht="11.1" customHeight="1" outlineLevel="6" x14ac:dyDescent="0.2">
      <c r="A169" s="239" t="s">
        <v>167</v>
      </c>
      <c r="B169" s="362">
        <v>1462459.68</v>
      </c>
      <c r="C169" s="287">
        <v>366141.8</v>
      </c>
      <c r="D169" s="287">
        <v>691554.01</v>
      </c>
      <c r="E169" s="287">
        <v>691554.01</v>
      </c>
      <c r="F169" s="368">
        <f t="shared" si="15"/>
        <v>325412.21000000002</v>
      </c>
      <c r="G169" s="236">
        <f t="shared" si="10"/>
        <v>0.88876006508953642</v>
      </c>
    </row>
    <row r="170" spans="1:15" ht="11.1" customHeight="1" outlineLevel="5" x14ac:dyDescent="0.2">
      <c r="A170" s="238" t="s">
        <v>168</v>
      </c>
      <c r="B170" s="361">
        <v>264308307.33000001</v>
      </c>
      <c r="C170" s="285">
        <v>158794771.80000001</v>
      </c>
      <c r="D170" s="285">
        <v>155667153.50999999</v>
      </c>
      <c r="E170" s="285">
        <v>155667153.50999999</v>
      </c>
      <c r="F170" s="229">
        <f t="shared" si="15"/>
        <v>-3127618.2900000215</v>
      </c>
      <c r="G170" s="228">
        <f t="shared" si="10"/>
        <v>-1.9695977736214232E-2</v>
      </c>
    </row>
    <row r="171" spans="1:15" ht="11.1" customHeight="1" outlineLevel="6" x14ac:dyDescent="0.2">
      <c r="A171" s="239" t="s">
        <v>168</v>
      </c>
      <c r="B171" s="362">
        <v>264308307.33000001</v>
      </c>
      <c r="C171" s="287">
        <v>155461438.47999999</v>
      </c>
      <c r="D171" s="287">
        <v>155667153.50999999</v>
      </c>
      <c r="E171" s="287">
        <v>155667153.50999999</v>
      </c>
      <c r="F171" s="237">
        <f t="shared" si="15"/>
        <v>205715.03000000119</v>
      </c>
      <c r="G171" s="236">
        <f t="shared" si="10"/>
        <v>1.3232543839254429E-3</v>
      </c>
      <c r="J171" s="221" t="s">
        <v>414</v>
      </c>
      <c r="L171" s="221" t="s">
        <v>389</v>
      </c>
      <c r="M171" s="221" t="s">
        <v>414</v>
      </c>
      <c r="N171" s="221" t="s">
        <v>754</v>
      </c>
    </row>
    <row r="172" spans="1:15" ht="11.1" customHeight="1" outlineLevel="6" x14ac:dyDescent="0.2">
      <c r="A172" s="239" t="s">
        <v>169</v>
      </c>
      <c r="B172" s="363">
        <v>0</v>
      </c>
      <c r="C172" s="287">
        <v>3333333.32</v>
      </c>
      <c r="D172" s="287">
        <v>0</v>
      </c>
      <c r="E172" s="287">
        <v>0</v>
      </c>
      <c r="F172" s="237">
        <f t="shared" si="15"/>
        <v>-3333333.32</v>
      </c>
      <c r="G172" s="236">
        <f t="shared" si="10"/>
        <v>-1</v>
      </c>
      <c r="I172" s="221" t="s">
        <v>868</v>
      </c>
      <c r="J172" s="226" t="e">
        <f>ROUND(#REF!/1000,0)</f>
        <v>#REF!</v>
      </c>
      <c r="L172" s="226">
        <f>ROUND(B120/1000,0)</f>
        <v>3412657</v>
      </c>
      <c r="M172" s="226">
        <f>ROUND(C120/1000,0)</f>
        <v>3977034</v>
      </c>
      <c r="N172" s="226">
        <f>ROUND(D120/1000,0)</f>
        <v>3745556</v>
      </c>
      <c r="O172" s="226">
        <f t="shared" ref="O172:O180" si="16">N172-M172</f>
        <v>-231478</v>
      </c>
    </row>
    <row r="173" spans="1:15" ht="11.1" customHeight="1" outlineLevel="5" x14ac:dyDescent="0.2">
      <c r="A173" s="235" t="s">
        <v>170</v>
      </c>
      <c r="B173" s="362">
        <v>48799695.630000003</v>
      </c>
      <c r="C173" s="287">
        <v>53100895.009999998</v>
      </c>
      <c r="D173" s="287">
        <v>38910255.890000001</v>
      </c>
      <c r="E173" s="287">
        <v>38910255.890000001</v>
      </c>
      <c r="F173" s="237">
        <f t="shared" si="15"/>
        <v>-14190639.119999997</v>
      </c>
      <c r="G173" s="236">
        <f t="shared" si="10"/>
        <v>-0.26723917021224608</v>
      </c>
      <c r="I173" s="221" t="s">
        <v>876</v>
      </c>
      <c r="J173" s="226" t="e">
        <f>ROUND(#REF!/1000,0)</f>
        <v>#REF!</v>
      </c>
      <c r="L173" s="226">
        <f>ROUND(B132/1000,0)</f>
        <v>66379</v>
      </c>
      <c r="M173" s="226">
        <f>ROUND(C132/1000,0)</f>
        <v>52823</v>
      </c>
      <c r="N173" s="226">
        <f>ROUND(D132/1000,0)</f>
        <v>41442</v>
      </c>
      <c r="O173" s="226">
        <f t="shared" si="16"/>
        <v>-11381</v>
      </c>
    </row>
    <row r="174" spans="1:15" ht="11.1" customHeight="1" outlineLevel="5" x14ac:dyDescent="0.2">
      <c r="A174" s="235" t="s">
        <v>171</v>
      </c>
      <c r="B174" s="362">
        <v>12048575.710000001</v>
      </c>
      <c r="C174" s="287">
        <v>4451295.47</v>
      </c>
      <c r="D174" s="287">
        <v>5706803.3799999999</v>
      </c>
      <c r="E174" s="287">
        <v>5706803.3799999999</v>
      </c>
      <c r="F174" s="368">
        <f t="shared" si="15"/>
        <v>1255507.9100000001</v>
      </c>
      <c r="G174" s="236">
        <f t="shared" si="10"/>
        <v>0.28205449817061923</v>
      </c>
      <c r="I174" s="221" t="s">
        <v>877</v>
      </c>
      <c r="J174" s="226" t="e">
        <f>ROUND(#REF!/1000,0)</f>
        <v>#REF!</v>
      </c>
      <c r="L174" s="226">
        <f>ROUND(B164/1000,0)</f>
        <v>251153</v>
      </c>
      <c r="M174" s="226">
        <f>ROUND(C164/1000,0)</f>
        <v>235472</v>
      </c>
      <c r="N174" s="226">
        <f>ROUND(D164/1000,0)</f>
        <v>255786</v>
      </c>
      <c r="O174" s="226">
        <f t="shared" si="16"/>
        <v>20314</v>
      </c>
    </row>
    <row r="175" spans="1:15" ht="11.1" customHeight="1" outlineLevel="4" x14ac:dyDescent="0.2">
      <c r="A175" s="240" t="s">
        <v>172</v>
      </c>
      <c r="B175" s="362">
        <v>111923042.03</v>
      </c>
      <c r="C175" s="287">
        <v>119129867.34999999</v>
      </c>
      <c r="D175" s="287">
        <v>122488971.48</v>
      </c>
      <c r="E175" s="287">
        <v>122488971.48</v>
      </c>
      <c r="F175" s="368">
        <f t="shared" si="15"/>
        <v>3359104.1300000101</v>
      </c>
      <c r="G175" s="236">
        <f t="shared" si="10"/>
        <v>2.8196993791078873E-2</v>
      </c>
      <c r="I175" s="221" t="s">
        <v>878</v>
      </c>
      <c r="J175" s="226" t="e">
        <f>ROUND(#REF!/1000,0)</f>
        <v>#REF!</v>
      </c>
      <c r="L175" s="226">
        <f>ROUND(B167/1000,0)</f>
        <v>66864</v>
      </c>
      <c r="M175" s="226">
        <f>ROUND(C167/1000,0)</f>
        <v>67767</v>
      </c>
      <c r="N175" s="226">
        <f>ROUND(D167/1000,0)</f>
        <v>61712</v>
      </c>
      <c r="O175" s="226">
        <f t="shared" si="16"/>
        <v>-6055</v>
      </c>
    </row>
    <row r="176" spans="1:15" ht="11.1" customHeight="1" outlineLevel="4" x14ac:dyDescent="0.2">
      <c r="A176" s="234" t="s">
        <v>173</v>
      </c>
      <c r="B176" s="361">
        <v>2273012876.2800002</v>
      </c>
      <c r="C176" s="285">
        <v>2735024849.79</v>
      </c>
      <c r="D176" s="285">
        <v>2485550376.3000002</v>
      </c>
      <c r="E176" s="285">
        <v>2485550376.3000002</v>
      </c>
      <c r="F176" s="229">
        <f t="shared" si="15"/>
        <v>-249474473.48999977</v>
      </c>
      <c r="G176" s="228">
        <f t="shared" si="10"/>
        <v>-9.1214700849666763E-2</v>
      </c>
      <c r="I176" s="221" t="s">
        <v>178</v>
      </c>
      <c r="J176" s="226" t="e">
        <f>ROUND((#REF!+#REF!+#REF!)/1000,0)</f>
        <v>#REF!</v>
      </c>
      <c r="L176" s="226">
        <f>ROUND((B181+B196+B281)/1000,0)</f>
        <v>25936</v>
      </c>
      <c r="M176" s="226">
        <f>ROUND((C181+C196+C281)/1000,0)</f>
        <v>32777</v>
      </c>
      <c r="N176" s="226">
        <f>ROUND((D181+D196+D281)/1000,0)</f>
        <v>23559</v>
      </c>
      <c r="O176" s="226">
        <f t="shared" si="16"/>
        <v>-9218</v>
      </c>
    </row>
    <row r="177" spans="1:15" ht="11.1" customHeight="1" outlineLevel="5" x14ac:dyDescent="0.2">
      <c r="A177" s="235" t="s">
        <v>174</v>
      </c>
      <c r="B177" s="362">
        <v>1617132051.6800001</v>
      </c>
      <c r="C177" s="287">
        <v>1910709968.6400001</v>
      </c>
      <c r="D177" s="287">
        <v>1757306170.1199999</v>
      </c>
      <c r="E177" s="287">
        <v>1757306170.1199999</v>
      </c>
      <c r="F177" s="237">
        <f t="shared" si="15"/>
        <v>-153403798.52000022</v>
      </c>
      <c r="G177" s="236">
        <f t="shared" si="10"/>
        <v>-8.0286281559094785E-2</v>
      </c>
      <c r="I177" s="221" t="str">
        <f>A246</f>
        <v>Безопасность</v>
      </c>
      <c r="J177" s="226" t="e">
        <f>ROUND(#REF!/1000,0)</f>
        <v>#REF!</v>
      </c>
      <c r="L177" s="226">
        <f>ROUND(B246/1000,0)</f>
        <v>34062</v>
      </c>
      <c r="M177" s="226">
        <f>ROUND(C246/1000,0)</f>
        <v>41274</v>
      </c>
      <c r="N177" s="226">
        <f>ROUND(D246/1000,0)</f>
        <v>34988</v>
      </c>
      <c r="O177" s="226">
        <f t="shared" si="16"/>
        <v>-6286</v>
      </c>
    </row>
    <row r="178" spans="1:15" ht="11.1" customHeight="1" outlineLevel="5" x14ac:dyDescent="0.2">
      <c r="A178" s="235" t="s">
        <v>175</v>
      </c>
      <c r="B178" s="362">
        <v>530253941.93000001</v>
      </c>
      <c r="C178" s="287">
        <v>633841250.85000002</v>
      </c>
      <c r="D178" s="287">
        <v>573310242.78999996</v>
      </c>
      <c r="E178" s="287">
        <v>573310242.78999996</v>
      </c>
      <c r="F178" s="237">
        <f t="shared" si="15"/>
        <v>-60531008.060000062</v>
      </c>
      <c r="G178" s="236">
        <f t="shared" si="10"/>
        <v>-9.5498688321131175E-2</v>
      </c>
      <c r="I178" s="221" t="str">
        <f>A200</f>
        <v>Расходы на рекламу и PR</v>
      </c>
      <c r="J178" s="226" t="e">
        <f>ROUND(#REF!/1000,0)</f>
        <v>#REF!</v>
      </c>
      <c r="L178" s="226">
        <f>ROUND(B200/1000,0)</f>
        <v>5076</v>
      </c>
      <c r="M178" s="226">
        <f>ROUND(C200/1000,0)</f>
        <v>8076</v>
      </c>
      <c r="N178" s="226">
        <f>ROUND(D200/1000,0)</f>
        <v>2848</v>
      </c>
      <c r="O178" s="226">
        <f t="shared" si="16"/>
        <v>-5228</v>
      </c>
    </row>
    <row r="179" spans="1:15" ht="11.1" customHeight="1" outlineLevel="5" x14ac:dyDescent="0.2">
      <c r="A179" s="235" t="s">
        <v>176</v>
      </c>
      <c r="B179" s="362">
        <v>125301594.94</v>
      </c>
      <c r="C179" s="287">
        <v>187931830.30000001</v>
      </c>
      <c r="D179" s="287">
        <v>154172048.16</v>
      </c>
      <c r="E179" s="287">
        <v>154172048.16</v>
      </c>
      <c r="F179" s="237">
        <f t="shared" si="15"/>
        <v>-33759782.140000015</v>
      </c>
      <c r="G179" s="236">
        <f t="shared" si="10"/>
        <v>-0.17963844701617859</v>
      </c>
      <c r="I179" s="221" t="s">
        <v>879</v>
      </c>
      <c r="J179" s="226" t="e">
        <f>ROUND((#REF!+#REF!+#REF!+#REF!+#REF!+#REF!)/1000,0)</f>
        <v>#REF!</v>
      </c>
      <c r="L179" s="226">
        <f>ROUND((B173+B240+B266+B267+B268+B271)/1000,0)</f>
        <v>134283</v>
      </c>
      <c r="M179" s="226">
        <f>ROUND((C173+C240+C266+C267+C268+C271)/1000,0)</f>
        <v>144970</v>
      </c>
      <c r="N179" s="226">
        <f>ROUND((D173+D240+D266+D267+D268+D271)/1000,0)</f>
        <v>120392</v>
      </c>
      <c r="O179" s="226">
        <f t="shared" si="16"/>
        <v>-24578</v>
      </c>
    </row>
    <row r="180" spans="1:15" ht="11.1" customHeight="1" outlineLevel="5" x14ac:dyDescent="0.2">
      <c r="A180" s="235" t="s">
        <v>177</v>
      </c>
      <c r="B180" s="362">
        <v>325287.73</v>
      </c>
      <c r="C180" s="287">
        <v>2541800</v>
      </c>
      <c r="D180" s="287">
        <v>761915.23</v>
      </c>
      <c r="E180" s="287">
        <v>761915.23</v>
      </c>
      <c r="F180" s="237">
        <f t="shared" si="15"/>
        <v>-1779884.77</v>
      </c>
      <c r="G180" s="236">
        <f t="shared" si="10"/>
        <v>-0.70024579825320643</v>
      </c>
      <c r="I180" s="221" t="str">
        <f>A296</f>
        <v>Налог на имущество</v>
      </c>
      <c r="J180" s="226" t="e">
        <f>ROUND(#REF!/1000,0)</f>
        <v>#REF!</v>
      </c>
      <c r="L180" s="226">
        <f>ROUND(B296/1000,0)</f>
        <v>13325</v>
      </c>
      <c r="M180" s="226">
        <f>ROUND(C296/1000,0)</f>
        <v>8812</v>
      </c>
      <c r="N180" s="226">
        <f>ROUND(D296/1000,0)</f>
        <v>4670</v>
      </c>
      <c r="O180" s="226">
        <f t="shared" si="16"/>
        <v>-4142</v>
      </c>
    </row>
    <row r="181" spans="1:15" ht="11.1" customHeight="1" outlineLevel="4" x14ac:dyDescent="0.2">
      <c r="A181" s="234" t="s">
        <v>178</v>
      </c>
      <c r="B181" s="361">
        <v>20809533.25</v>
      </c>
      <c r="C181" s="285">
        <v>26279003.52</v>
      </c>
      <c r="D181" s="285">
        <v>19309699.079999998</v>
      </c>
      <c r="E181" s="285">
        <v>19309699.079999998</v>
      </c>
      <c r="F181" s="229">
        <f t="shared" si="15"/>
        <v>-6969304.4400000013</v>
      </c>
      <c r="G181" s="228">
        <f t="shared" si="10"/>
        <v>-0.26520428884207559</v>
      </c>
    </row>
    <row r="182" spans="1:15" ht="11.1" customHeight="1" outlineLevel="5" x14ac:dyDescent="0.2">
      <c r="A182" s="235" t="s">
        <v>179</v>
      </c>
      <c r="B182" s="362">
        <v>2500597.6</v>
      </c>
      <c r="C182" s="287">
        <v>3594777.1</v>
      </c>
      <c r="D182" s="287">
        <v>1371483.33</v>
      </c>
      <c r="E182" s="287">
        <v>1371483.33</v>
      </c>
      <c r="F182" s="237">
        <f t="shared" si="15"/>
        <v>-2223293.77</v>
      </c>
      <c r="G182" s="236">
        <f t="shared" si="10"/>
        <v>-0.61847889539521095</v>
      </c>
    </row>
    <row r="183" spans="1:15" ht="11.1" customHeight="1" outlineLevel="5" x14ac:dyDescent="0.2">
      <c r="A183" s="235" t="s">
        <v>180</v>
      </c>
      <c r="B183" s="362">
        <v>40230.54</v>
      </c>
      <c r="C183" s="287">
        <v>230288</v>
      </c>
      <c r="D183" s="287">
        <v>25311.86</v>
      </c>
      <c r="E183" s="287">
        <v>25311.86</v>
      </c>
      <c r="F183" s="237">
        <f t="shared" si="15"/>
        <v>-204976.14</v>
      </c>
      <c r="G183" s="236">
        <f t="shared" si="10"/>
        <v>-0.89008606614326413</v>
      </c>
    </row>
    <row r="184" spans="1:15" ht="11.1" customHeight="1" outlineLevel="5" x14ac:dyDescent="0.2">
      <c r="A184" s="235" t="s">
        <v>181</v>
      </c>
      <c r="B184" s="362">
        <v>18268705.109999999</v>
      </c>
      <c r="C184" s="287">
        <v>22453938.420000002</v>
      </c>
      <c r="D184" s="287">
        <v>17912903.890000001</v>
      </c>
      <c r="E184" s="287">
        <v>17912903.890000001</v>
      </c>
      <c r="F184" s="237">
        <f t="shared" si="15"/>
        <v>-4541034.5300000012</v>
      </c>
      <c r="G184" s="236">
        <f t="shared" si="10"/>
        <v>-0.20223777428530065</v>
      </c>
    </row>
    <row r="185" spans="1:15" ht="11.1" customHeight="1" outlineLevel="4" x14ac:dyDescent="0.2">
      <c r="A185" s="240" t="s">
        <v>182</v>
      </c>
      <c r="B185" s="363">
        <v>0</v>
      </c>
      <c r="C185" s="287">
        <v>0</v>
      </c>
      <c r="D185" s="287">
        <v>0</v>
      </c>
      <c r="E185" s="287">
        <v>0</v>
      </c>
      <c r="F185" s="237">
        <f t="shared" si="15"/>
        <v>0</v>
      </c>
      <c r="G185" s="236" t="e">
        <f t="shared" ref="G185:G248" si="17">D185/C185-1</f>
        <v>#DIV/0!</v>
      </c>
    </row>
    <row r="186" spans="1:15" ht="11.1" customHeight="1" outlineLevel="4" x14ac:dyDescent="0.2">
      <c r="A186" s="240" t="s">
        <v>183</v>
      </c>
      <c r="B186" s="362">
        <v>2937601.39</v>
      </c>
      <c r="C186" s="287">
        <v>3817028.91</v>
      </c>
      <c r="D186" s="287">
        <v>399705.85</v>
      </c>
      <c r="E186" s="287">
        <v>399705.85</v>
      </c>
      <c r="F186" s="237">
        <f t="shared" si="15"/>
        <v>-3417323.06</v>
      </c>
      <c r="G186" s="236">
        <f t="shared" si="17"/>
        <v>-0.8952835151568187</v>
      </c>
    </row>
    <row r="187" spans="1:15" ht="11.1" customHeight="1" outlineLevel="4" x14ac:dyDescent="0.2">
      <c r="A187" s="240" t="s">
        <v>184</v>
      </c>
      <c r="B187" s="362">
        <v>3842740.41</v>
      </c>
      <c r="C187" s="287">
        <v>2962369.11</v>
      </c>
      <c r="D187" s="287">
        <v>1941697.98</v>
      </c>
      <c r="E187" s="287">
        <v>1941697.98</v>
      </c>
      <c r="F187" s="237">
        <f t="shared" si="15"/>
        <v>-1020671.1299999999</v>
      </c>
      <c r="G187" s="236">
        <f t="shared" si="17"/>
        <v>-0.34454556204847808</v>
      </c>
    </row>
    <row r="188" spans="1:15" ht="11.1" customHeight="1" outlineLevel="3" x14ac:dyDescent="0.2">
      <c r="A188" s="246" t="s">
        <v>185</v>
      </c>
      <c r="B188" s="361">
        <v>150686183.78</v>
      </c>
      <c r="C188" s="284">
        <v>190184250.44</v>
      </c>
      <c r="D188" s="284">
        <v>156394778.28</v>
      </c>
      <c r="E188" s="284">
        <v>156394778.28</v>
      </c>
      <c r="F188" s="225">
        <f t="shared" si="15"/>
        <v>-33789472.159999996</v>
      </c>
      <c r="G188" s="224">
        <f t="shared" si="17"/>
        <v>-0.17766703647555726</v>
      </c>
    </row>
    <row r="189" spans="1:15" ht="11.1" customHeight="1" outlineLevel="4" x14ac:dyDescent="0.2">
      <c r="A189" s="240" t="s">
        <v>186</v>
      </c>
      <c r="B189" s="362">
        <v>3848395.2</v>
      </c>
      <c r="C189" s="287">
        <v>6387101</v>
      </c>
      <c r="D189" s="287">
        <v>4819659.45</v>
      </c>
      <c r="E189" s="287">
        <v>4819659.45</v>
      </c>
      <c r="F189" s="237">
        <f t="shared" si="15"/>
        <v>-1567441.5499999998</v>
      </c>
      <c r="G189" s="236">
        <f t="shared" si="17"/>
        <v>-0.24540735303856942</v>
      </c>
    </row>
    <row r="190" spans="1:15" ht="11.1" customHeight="1" outlineLevel="4" x14ac:dyDescent="0.2">
      <c r="A190" s="240" t="s">
        <v>172</v>
      </c>
      <c r="B190" s="362">
        <v>568838.26</v>
      </c>
      <c r="C190" s="287">
        <v>651605</v>
      </c>
      <c r="D190" s="287">
        <v>526232.54</v>
      </c>
      <c r="E190" s="287">
        <v>526232.54</v>
      </c>
      <c r="F190" s="237">
        <f t="shared" si="15"/>
        <v>-125372.45999999996</v>
      </c>
      <c r="G190" s="236">
        <f t="shared" si="17"/>
        <v>-0.19240561383046473</v>
      </c>
    </row>
    <row r="191" spans="1:15" ht="11.1" customHeight="1" outlineLevel="4" x14ac:dyDescent="0.2">
      <c r="A191" s="234" t="s">
        <v>173</v>
      </c>
      <c r="B191" s="361">
        <v>138197566.5</v>
      </c>
      <c r="C191" s="285">
        <v>172728952.59999999</v>
      </c>
      <c r="D191" s="285">
        <v>147667035.30000001</v>
      </c>
      <c r="E191" s="285">
        <v>147667035.30000001</v>
      </c>
      <c r="F191" s="229">
        <f t="shared" si="15"/>
        <v>-25061917.299999982</v>
      </c>
      <c r="G191" s="228">
        <f t="shared" si="17"/>
        <v>-0.14509389956203544</v>
      </c>
    </row>
    <row r="192" spans="1:15" ht="11.1" customHeight="1" outlineLevel="5" x14ac:dyDescent="0.2">
      <c r="A192" s="235" t="s">
        <v>174</v>
      </c>
      <c r="B192" s="362">
        <v>100517140.20999999</v>
      </c>
      <c r="C192" s="287">
        <v>121034816.90000001</v>
      </c>
      <c r="D192" s="287">
        <v>105400322.37</v>
      </c>
      <c r="E192" s="287">
        <v>105400322.37</v>
      </c>
      <c r="F192" s="237">
        <f t="shared" si="15"/>
        <v>-15634494.530000001</v>
      </c>
      <c r="G192" s="236">
        <f t="shared" si="17"/>
        <v>-0.12917352981925323</v>
      </c>
    </row>
    <row r="193" spans="1:7" ht="11.1" customHeight="1" outlineLevel="5" x14ac:dyDescent="0.2">
      <c r="A193" s="235" t="s">
        <v>175</v>
      </c>
      <c r="B193" s="362">
        <v>31863375.719999999</v>
      </c>
      <c r="C193" s="287">
        <v>39828600.390000001</v>
      </c>
      <c r="D193" s="287">
        <v>33807118.350000001</v>
      </c>
      <c r="E193" s="287">
        <v>33807118.350000001</v>
      </c>
      <c r="F193" s="237">
        <f t="shared" si="15"/>
        <v>-6021482.0399999991</v>
      </c>
      <c r="G193" s="236">
        <f t="shared" si="17"/>
        <v>-0.1511848767227042</v>
      </c>
    </row>
    <row r="194" spans="1:7" ht="11.1" customHeight="1" outlineLevel="5" x14ac:dyDescent="0.2">
      <c r="A194" s="235" t="s">
        <v>176</v>
      </c>
      <c r="B194" s="362">
        <v>5773269.5700000003</v>
      </c>
      <c r="C194" s="287">
        <v>11525535.310000001</v>
      </c>
      <c r="D194" s="287">
        <v>8386551.8799999999</v>
      </c>
      <c r="E194" s="287">
        <v>8386551.8799999999</v>
      </c>
      <c r="F194" s="237">
        <f t="shared" si="15"/>
        <v>-3138983.4300000006</v>
      </c>
      <c r="G194" s="236">
        <f t="shared" si="17"/>
        <v>-0.27235033736580527</v>
      </c>
    </row>
    <row r="195" spans="1:7" ht="11.1" customHeight="1" outlineLevel="5" x14ac:dyDescent="0.2">
      <c r="A195" s="235" t="s">
        <v>177</v>
      </c>
      <c r="B195" s="362">
        <v>43781</v>
      </c>
      <c r="C195" s="287">
        <v>340000</v>
      </c>
      <c r="D195" s="287">
        <v>73042.7</v>
      </c>
      <c r="E195" s="287">
        <v>73042.7</v>
      </c>
      <c r="F195" s="237">
        <f t="shared" si="15"/>
        <v>-266957.3</v>
      </c>
      <c r="G195" s="236">
        <f t="shared" si="17"/>
        <v>-0.78516852941176474</v>
      </c>
    </row>
    <row r="196" spans="1:7" ht="11.1" customHeight="1" outlineLevel="4" x14ac:dyDescent="0.2">
      <c r="A196" s="234" t="s">
        <v>178</v>
      </c>
      <c r="B196" s="361">
        <v>135853.73000000001</v>
      </c>
      <c r="C196" s="285">
        <v>31000</v>
      </c>
      <c r="D196" s="285">
        <v>53833.32</v>
      </c>
      <c r="E196" s="285">
        <v>53833.32</v>
      </c>
      <c r="F196" s="367">
        <f t="shared" si="15"/>
        <v>22833.32</v>
      </c>
      <c r="G196" s="228">
        <f t="shared" si="17"/>
        <v>0.73655870967741932</v>
      </c>
    </row>
    <row r="197" spans="1:7" ht="11.1" customHeight="1" outlineLevel="5" x14ac:dyDescent="0.2">
      <c r="A197" s="235" t="s">
        <v>179</v>
      </c>
      <c r="B197" s="362">
        <v>135853.73000000001</v>
      </c>
      <c r="C197" s="287">
        <v>31000</v>
      </c>
      <c r="D197" s="287">
        <v>53833.32</v>
      </c>
      <c r="E197" s="287">
        <v>53833.32</v>
      </c>
      <c r="F197" s="237">
        <f t="shared" si="15"/>
        <v>22833.32</v>
      </c>
      <c r="G197" s="236">
        <f t="shared" si="17"/>
        <v>0.73655870967741932</v>
      </c>
    </row>
    <row r="198" spans="1:7" ht="11.1" customHeight="1" outlineLevel="5" x14ac:dyDescent="0.2">
      <c r="A198" s="235" t="s">
        <v>180</v>
      </c>
      <c r="B198" s="363">
        <v>0</v>
      </c>
      <c r="C198" s="287">
        <v>0</v>
      </c>
      <c r="D198" s="287">
        <v>0</v>
      </c>
      <c r="E198" s="287">
        <v>0</v>
      </c>
      <c r="F198" s="237">
        <f t="shared" si="15"/>
        <v>0</v>
      </c>
      <c r="G198" s="236" t="e">
        <f t="shared" si="17"/>
        <v>#DIV/0!</v>
      </c>
    </row>
    <row r="199" spans="1:7" ht="11.1" customHeight="1" outlineLevel="4" x14ac:dyDescent="0.2">
      <c r="A199" s="240" t="s">
        <v>187</v>
      </c>
      <c r="B199" s="362">
        <v>13933.56</v>
      </c>
      <c r="C199" s="287">
        <v>935000</v>
      </c>
      <c r="D199" s="287">
        <v>174124.83</v>
      </c>
      <c r="E199" s="287">
        <v>174124.83</v>
      </c>
      <c r="F199" s="237">
        <f t="shared" si="15"/>
        <v>-760875.17</v>
      </c>
      <c r="G199" s="236">
        <f t="shared" si="17"/>
        <v>-0.81377023529411763</v>
      </c>
    </row>
    <row r="200" spans="1:7" ht="11.1" customHeight="1" outlineLevel="4" x14ac:dyDescent="0.2">
      <c r="A200" s="234" t="s">
        <v>188</v>
      </c>
      <c r="B200" s="361">
        <v>5076175.6100000003</v>
      </c>
      <c r="C200" s="285">
        <v>8075591.8399999999</v>
      </c>
      <c r="D200" s="285">
        <v>2847966.84</v>
      </c>
      <c r="E200" s="285">
        <v>2847966.84</v>
      </c>
      <c r="F200" s="229">
        <f t="shared" si="15"/>
        <v>-5227625</v>
      </c>
      <c r="G200" s="228">
        <f t="shared" si="17"/>
        <v>-0.64733645577610077</v>
      </c>
    </row>
    <row r="201" spans="1:7" ht="11.1" customHeight="1" outlineLevel="5" x14ac:dyDescent="0.2">
      <c r="A201" s="235" t="s">
        <v>189</v>
      </c>
      <c r="B201" s="362">
        <v>238510.67</v>
      </c>
      <c r="C201" s="287">
        <v>707238.33</v>
      </c>
      <c r="D201" s="287">
        <v>129725.09</v>
      </c>
      <c r="E201" s="287">
        <v>129725.09</v>
      </c>
      <c r="F201" s="237">
        <f t="shared" ref="F201:F264" si="18">D201-C201</f>
        <v>-577513.24</v>
      </c>
      <c r="G201" s="236">
        <f t="shared" si="17"/>
        <v>-0.81657514235689121</v>
      </c>
    </row>
    <row r="202" spans="1:7" ht="11.1" customHeight="1" outlineLevel="5" x14ac:dyDescent="0.2">
      <c r="A202" s="235" t="s">
        <v>190</v>
      </c>
      <c r="B202" s="362">
        <v>352184.88</v>
      </c>
      <c r="C202" s="287">
        <v>1631472.22</v>
      </c>
      <c r="D202" s="287">
        <v>1665763.42</v>
      </c>
      <c r="E202" s="287">
        <v>1665763.42</v>
      </c>
      <c r="F202" s="237">
        <f t="shared" si="18"/>
        <v>34291.199999999953</v>
      </c>
      <c r="G202" s="236">
        <f t="shared" si="17"/>
        <v>2.1018561995496343E-2</v>
      </c>
    </row>
    <row r="203" spans="1:7" ht="11.1" customHeight="1" outlineLevel="5" x14ac:dyDescent="0.2">
      <c r="A203" s="235" t="s">
        <v>191</v>
      </c>
      <c r="B203" s="363">
        <v>0</v>
      </c>
      <c r="C203" s="287">
        <v>452360</v>
      </c>
      <c r="D203" s="287">
        <v>107390</v>
      </c>
      <c r="E203" s="287">
        <v>107390</v>
      </c>
      <c r="F203" s="237">
        <f t="shared" si="18"/>
        <v>-344970</v>
      </c>
      <c r="G203" s="236">
        <f t="shared" si="17"/>
        <v>-0.76260058360597749</v>
      </c>
    </row>
    <row r="204" spans="1:7" ht="11.1" customHeight="1" outlineLevel="5" x14ac:dyDescent="0.2">
      <c r="A204" s="235" t="s">
        <v>192</v>
      </c>
      <c r="B204" s="362">
        <v>895180</v>
      </c>
      <c r="C204" s="287">
        <v>1764000</v>
      </c>
      <c r="D204" s="287">
        <v>568574.17000000004</v>
      </c>
      <c r="E204" s="287">
        <v>568574.17000000004</v>
      </c>
      <c r="F204" s="237">
        <f t="shared" si="18"/>
        <v>-1195425.83</v>
      </c>
      <c r="G204" s="236">
        <f t="shared" si="17"/>
        <v>-0.6776790419501133</v>
      </c>
    </row>
    <row r="205" spans="1:7" ht="11.1" customHeight="1" outlineLevel="5" x14ac:dyDescent="0.2">
      <c r="A205" s="235" t="s">
        <v>193</v>
      </c>
      <c r="B205" s="363">
        <v>0</v>
      </c>
      <c r="C205" s="287">
        <v>144000</v>
      </c>
      <c r="D205" s="287">
        <v>0</v>
      </c>
      <c r="E205" s="287">
        <v>0</v>
      </c>
      <c r="F205" s="237">
        <f t="shared" si="18"/>
        <v>-144000</v>
      </c>
      <c r="G205" s="236">
        <f t="shared" si="17"/>
        <v>-1</v>
      </c>
    </row>
    <row r="206" spans="1:7" ht="11.1" customHeight="1" outlineLevel="5" x14ac:dyDescent="0.2">
      <c r="A206" s="235" t="s">
        <v>194</v>
      </c>
      <c r="B206" s="362">
        <v>3590300.06</v>
      </c>
      <c r="C206" s="287">
        <v>3255521.29</v>
      </c>
      <c r="D206" s="287">
        <v>376514.16</v>
      </c>
      <c r="E206" s="287">
        <v>376514.16</v>
      </c>
      <c r="F206" s="237">
        <f t="shared" si="18"/>
        <v>-2879007.13</v>
      </c>
      <c r="G206" s="236">
        <f t="shared" si="17"/>
        <v>-0.88434596905984297</v>
      </c>
    </row>
    <row r="207" spans="1:7" ht="11.1" customHeight="1" outlineLevel="5" x14ac:dyDescent="0.2">
      <c r="A207" s="235" t="s">
        <v>195</v>
      </c>
      <c r="B207" s="363">
        <v>0</v>
      </c>
      <c r="C207" s="287">
        <v>121000</v>
      </c>
      <c r="D207" s="287">
        <v>0</v>
      </c>
      <c r="E207" s="287">
        <v>0</v>
      </c>
      <c r="F207" s="237">
        <f t="shared" si="18"/>
        <v>-121000</v>
      </c>
      <c r="G207" s="236">
        <f t="shared" si="17"/>
        <v>-1</v>
      </c>
    </row>
    <row r="208" spans="1:7" ht="11.1" customHeight="1" outlineLevel="4" x14ac:dyDescent="0.2">
      <c r="A208" s="240" t="s">
        <v>196</v>
      </c>
      <c r="B208" s="362">
        <v>2845420.92</v>
      </c>
      <c r="C208" s="287">
        <v>1375000</v>
      </c>
      <c r="D208" s="287">
        <v>305926</v>
      </c>
      <c r="E208" s="287">
        <v>305926</v>
      </c>
      <c r="F208" s="237">
        <f t="shared" si="18"/>
        <v>-1069074</v>
      </c>
      <c r="G208" s="236">
        <f t="shared" si="17"/>
        <v>-0.77750836363636366</v>
      </c>
    </row>
    <row r="209" spans="1:7" ht="11.1" customHeight="1" outlineLevel="3" x14ac:dyDescent="0.2">
      <c r="A209" s="246" t="s">
        <v>197</v>
      </c>
      <c r="B209" s="361">
        <v>1374048998.3800001</v>
      </c>
      <c r="C209" s="284">
        <v>1466023728.0799999</v>
      </c>
      <c r="D209" s="284">
        <v>1491580920.6700001</v>
      </c>
      <c r="E209" s="284">
        <v>1491580920.6700001</v>
      </c>
      <c r="F209" s="225">
        <f t="shared" si="18"/>
        <v>25557192.590000153</v>
      </c>
      <c r="G209" s="224">
        <f t="shared" si="17"/>
        <v>1.7433000640086238E-2</v>
      </c>
    </row>
    <row r="210" spans="1:7" ht="11.1" customHeight="1" outlineLevel="4" x14ac:dyDescent="0.2">
      <c r="A210" s="234" t="s">
        <v>198</v>
      </c>
      <c r="B210" s="361">
        <v>21380210.390000001</v>
      </c>
      <c r="C210" s="285">
        <v>25036114.52</v>
      </c>
      <c r="D210" s="285">
        <v>25126823.280000001</v>
      </c>
      <c r="E210" s="285">
        <v>25126823.280000001</v>
      </c>
      <c r="F210" s="367">
        <f t="shared" si="18"/>
        <v>90708.760000001639</v>
      </c>
      <c r="G210" s="228">
        <f t="shared" si="17"/>
        <v>3.6231165154456679E-3</v>
      </c>
    </row>
    <row r="211" spans="1:7" ht="11.1" customHeight="1" outlineLevel="5" x14ac:dyDescent="0.2">
      <c r="A211" s="235" t="s">
        <v>121</v>
      </c>
      <c r="B211" s="362">
        <v>690226.76</v>
      </c>
      <c r="C211" s="287">
        <v>1532937.69</v>
      </c>
      <c r="D211" s="287">
        <v>1341681.96</v>
      </c>
      <c r="E211" s="287">
        <v>1341681.96</v>
      </c>
      <c r="F211" s="237">
        <f t="shared" si="18"/>
        <v>-191255.72999999998</v>
      </c>
      <c r="G211" s="236">
        <f t="shared" si="17"/>
        <v>-0.12476419051318388</v>
      </c>
    </row>
    <row r="212" spans="1:7" ht="11.1" customHeight="1" outlineLevel="5" x14ac:dyDescent="0.2">
      <c r="A212" s="235" t="s">
        <v>122</v>
      </c>
      <c r="B212" s="362">
        <v>14566733.07</v>
      </c>
      <c r="C212" s="287">
        <v>13934290.15</v>
      </c>
      <c r="D212" s="287">
        <v>9787589.4299999997</v>
      </c>
      <c r="E212" s="287">
        <v>9787589.4299999997</v>
      </c>
      <c r="F212" s="237">
        <f t="shared" si="18"/>
        <v>-4146700.7200000007</v>
      </c>
      <c r="G212" s="236">
        <f t="shared" si="17"/>
        <v>-0.29758966372607076</v>
      </c>
    </row>
    <row r="213" spans="1:7" ht="11.1" customHeight="1" outlineLevel="5" x14ac:dyDescent="0.2">
      <c r="A213" s="235" t="s">
        <v>123</v>
      </c>
      <c r="B213" s="362">
        <v>3072948.62</v>
      </c>
      <c r="C213" s="287">
        <v>4325193.1500000004</v>
      </c>
      <c r="D213" s="287">
        <v>9508201.8399999999</v>
      </c>
      <c r="E213" s="287">
        <v>9508201.8399999999</v>
      </c>
      <c r="F213" s="237">
        <f t="shared" si="18"/>
        <v>5183008.6899999995</v>
      </c>
      <c r="G213" s="236">
        <f t="shared" si="17"/>
        <v>1.1983299959679257</v>
      </c>
    </row>
    <row r="214" spans="1:7" ht="11.1" customHeight="1" outlineLevel="5" x14ac:dyDescent="0.2">
      <c r="A214" s="235" t="s">
        <v>199</v>
      </c>
      <c r="B214" s="362">
        <v>115767.63</v>
      </c>
      <c r="C214" s="287">
        <v>513504.28</v>
      </c>
      <c r="D214" s="287">
        <v>1137957.5</v>
      </c>
      <c r="E214" s="287">
        <v>1137957.5</v>
      </c>
      <c r="F214" s="237">
        <f t="shared" si="18"/>
        <v>624453.22</v>
      </c>
      <c r="G214" s="236">
        <f t="shared" si="17"/>
        <v>1.2160623471336987</v>
      </c>
    </row>
    <row r="215" spans="1:7" ht="11.1" customHeight="1" outlineLevel="5" x14ac:dyDescent="0.2">
      <c r="A215" s="235" t="s">
        <v>126</v>
      </c>
      <c r="B215" s="362">
        <v>153339.63</v>
      </c>
      <c r="C215" s="287">
        <v>198710.01</v>
      </c>
      <c r="D215" s="287">
        <v>297332.89</v>
      </c>
      <c r="E215" s="287">
        <v>297332.89</v>
      </c>
      <c r="F215" s="237">
        <f t="shared" si="18"/>
        <v>98622.88</v>
      </c>
      <c r="G215" s="236">
        <f t="shared" si="17"/>
        <v>0.49631561087435916</v>
      </c>
    </row>
    <row r="216" spans="1:7" ht="11.1" customHeight="1" outlineLevel="5" x14ac:dyDescent="0.2">
      <c r="A216" s="235" t="s">
        <v>127</v>
      </c>
      <c r="B216" s="362">
        <v>185356.18</v>
      </c>
      <c r="C216" s="287">
        <v>1383106.24</v>
      </c>
      <c r="D216" s="287">
        <v>1517401.31</v>
      </c>
      <c r="E216" s="287">
        <v>1517401.31</v>
      </c>
      <c r="F216" s="237">
        <f t="shared" si="18"/>
        <v>134295.07000000007</v>
      </c>
      <c r="G216" s="236">
        <f t="shared" si="17"/>
        <v>9.7096713264774204E-2</v>
      </c>
    </row>
    <row r="217" spans="1:7" ht="11.1" customHeight="1" outlineLevel="5" x14ac:dyDescent="0.2">
      <c r="A217" s="235" t="s">
        <v>200</v>
      </c>
      <c r="B217" s="362">
        <v>2595838.5</v>
      </c>
      <c r="C217" s="287">
        <v>3148373</v>
      </c>
      <c r="D217" s="287">
        <v>1536658.35</v>
      </c>
      <c r="E217" s="287">
        <v>1536658.35</v>
      </c>
      <c r="F217" s="237">
        <f t="shared" si="18"/>
        <v>-1611714.65</v>
      </c>
      <c r="G217" s="236">
        <f t="shared" si="17"/>
        <v>-0.51191985511246596</v>
      </c>
    </row>
    <row r="218" spans="1:7" ht="11.1" customHeight="1" outlineLevel="4" x14ac:dyDescent="0.2">
      <c r="A218" s="234" t="s">
        <v>201</v>
      </c>
      <c r="B218" s="361">
        <v>30794005.59</v>
      </c>
      <c r="C218" s="285">
        <v>49352936.280000001</v>
      </c>
      <c r="D218" s="285">
        <v>52588343.829999998</v>
      </c>
      <c r="E218" s="285">
        <v>52588343.829999998</v>
      </c>
      <c r="F218" s="324">
        <f t="shared" si="18"/>
        <v>3235407.549999997</v>
      </c>
      <c r="G218" s="228">
        <f t="shared" si="17"/>
        <v>6.5556536122677089E-2</v>
      </c>
    </row>
    <row r="219" spans="1:7" ht="11.1" customHeight="1" outlineLevel="5" x14ac:dyDescent="0.2">
      <c r="A219" s="235" t="s">
        <v>202</v>
      </c>
      <c r="B219" s="362">
        <v>3611975.24</v>
      </c>
      <c r="C219" s="287">
        <v>4192693.32</v>
      </c>
      <c r="D219" s="287">
        <v>4636145.78</v>
      </c>
      <c r="E219" s="287">
        <v>4636145.78</v>
      </c>
      <c r="F219" s="368">
        <f t="shared" si="18"/>
        <v>443452.46000000043</v>
      </c>
      <c r="G219" s="236">
        <f t="shared" si="17"/>
        <v>0.10576792199053586</v>
      </c>
    </row>
    <row r="220" spans="1:7" ht="11.1" customHeight="1" outlineLevel="5" x14ac:dyDescent="0.2">
      <c r="A220" s="235" t="s">
        <v>203</v>
      </c>
      <c r="B220" s="362">
        <v>4695535.7699999996</v>
      </c>
      <c r="C220" s="287">
        <v>7140052.9500000002</v>
      </c>
      <c r="D220" s="287">
        <v>6280771.2199999997</v>
      </c>
      <c r="E220" s="287">
        <v>6280771.2199999997</v>
      </c>
      <c r="F220" s="368">
        <f t="shared" si="18"/>
        <v>-859281.73000000045</v>
      </c>
      <c r="G220" s="236">
        <f t="shared" si="17"/>
        <v>-0.12034668874549459</v>
      </c>
    </row>
    <row r="221" spans="1:7" ht="11.1" customHeight="1" outlineLevel="5" x14ac:dyDescent="0.2">
      <c r="A221" s="235" t="s">
        <v>204</v>
      </c>
      <c r="B221" s="362">
        <v>5453257.8700000001</v>
      </c>
      <c r="C221" s="287">
        <v>7166337.29</v>
      </c>
      <c r="D221" s="287">
        <v>9790797.6099999994</v>
      </c>
      <c r="E221" s="287">
        <v>9790797.6099999994</v>
      </c>
      <c r="F221" s="368">
        <f t="shared" si="18"/>
        <v>2624460.3199999994</v>
      </c>
      <c r="G221" s="236">
        <f t="shared" si="17"/>
        <v>0.36622059690969411</v>
      </c>
    </row>
    <row r="222" spans="1:7" ht="11.1" customHeight="1" outlineLevel="5" x14ac:dyDescent="0.2">
      <c r="A222" s="235" t="s">
        <v>205</v>
      </c>
      <c r="B222" s="362">
        <v>6050451.4299999997</v>
      </c>
      <c r="C222" s="287">
        <v>7229448.54</v>
      </c>
      <c r="D222" s="287">
        <v>6823007.0199999996</v>
      </c>
      <c r="E222" s="287">
        <v>6823007.0199999996</v>
      </c>
      <c r="F222" s="368">
        <f t="shared" si="18"/>
        <v>-406441.52000000048</v>
      </c>
      <c r="G222" s="236">
        <f t="shared" si="17"/>
        <v>-5.6220266006624109E-2</v>
      </c>
    </row>
    <row r="223" spans="1:7" ht="11.1" customHeight="1" outlineLevel="5" x14ac:dyDescent="0.2">
      <c r="A223" s="238" t="s">
        <v>206</v>
      </c>
      <c r="B223" s="361">
        <v>2440141.2400000002</v>
      </c>
      <c r="C223" s="285">
        <v>15322253.48</v>
      </c>
      <c r="D223" s="285">
        <v>18654003.370000001</v>
      </c>
      <c r="E223" s="285">
        <v>18654003.370000001</v>
      </c>
      <c r="F223" s="324">
        <f t="shared" si="18"/>
        <v>3331749.8900000006</v>
      </c>
      <c r="G223" s="228">
        <f t="shared" si="17"/>
        <v>0.21744516198931851</v>
      </c>
    </row>
    <row r="224" spans="1:7" ht="11.1" customHeight="1" outlineLevel="6" x14ac:dyDescent="0.2">
      <c r="A224" s="239" t="s">
        <v>207</v>
      </c>
      <c r="B224" s="362">
        <v>108354.78</v>
      </c>
      <c r="C224" s="287">
        <v>5197523.1399999997</v>
      </c>
      <c r="D224" s="287">
        <v>2085391.46</v>
      </c>
      <c r="E224" s="287">
        <v>2085391.46</v>
      </c>
      <c r="F224" s="237">
        <f t="shared" si="18"/>
        <v>-3112131.6799999997</v>
      </c>
      <c r="G224" s="236">
        <f t="shared" si="17"/>
        <v>-0.59877206818938755</v>
      </c>
    </row>
    <row r="225" spans="1:7" ht="11.1" customHeight="1" outlineLevel="6" x14ac:dyDescent="0.2">
      <c r="A225" s="239" t="s">
        <v>208</v>
      </c>
      <c r="B225" s="362">
        <v>253461.13</v>
      </c>
      <c r="C225" s="287">
        <v>4933278.2699999996</v>
      </c>
      <c r="D225" s="287">
        <v>3587653.52</v>
      </c>
      <c r="E225" s="287">
        <v>3587653.52</v>
      </c>
      <c r="F225" s="237">
        <f t="shared" si="18"/>
        <v>-1345624.7499999995</v>
      </c>
      <c r="G225" s="236">
        <f t="shared" si="17"/>
        <v>-0.27276481810947995</v>
      </c>
    </row>
    <row r="226" spans="1:7" ht="11.1" customHeight="1" outlineLevel="6" x14ac:dyDescent="0.2">
      <c r="A226" s="239" t="s">
        <v>209</v>
      </c>
      <c r="B226" s="362">
        <v>1735240.05</v>
      </c>
      <c r="C226" s="287">
        <v>2564169.79</v>
      </c>
      <c r="D226" s="287">
        <v>11439377.949999999</v>
      </c>
      <c r="E226" s="287">
        <v>11439377.949999999</v>
      </c>
      <c r="F226" s="368">
        <f t="shared" si="18"/>
        <v>8875208.1600000001</v>
      </c>
      <c r="G226" s="236">
        <f t="shared" si="17"/>
        <v>3.4612404352521438</v>
      </c>
    </row>
    <row r="227" spans="1:7" ht="11.1" customHeight="1" outlineLevel="6" x14ac:dyDescent="0.2">
      <c r="A227" s="239" t="s">
        <v>210</v>
      </c>
      <c r="B227" s="362">
        <v>343085.28</v>
      </c>
      <c r="C227" s="287">
        <v>2627282.2799999998</v>
      </c>
      <c r="D227" s="287">
        <v>1541580.44</v>
      </c>
      <c r="E227" s="287">
        <v>1541580.44</v>
      </c>
      <c r="F227" s="237">
        <f t="shared" si="18"/>
        <v>-1085701.8399999999</v>
      </c>
      <c r="G227" s="236">
        <f t="shared" si="17"/>
        <v>-0.41324141233883704</v>
      </c>
    </row>
    <row r="228" spans="1:7" ht="11.1" customHeight="1" outlineLevel="5" x14ac:dyDescent="0.2">
      <c r="A228" s="235" t="s">
        <v>211</v>
      </c>
      <c r="B228" s="362">
        <v>1878781.12</v>
      </c>
      <c r="C228" s="287">
        <v>2580135.36</v>
      </c>
      <c r="D228" s="287">
        <v>1878450.26</v>
      </c>
      <c r="E228" s="287">
        <v>1878450.26</v>
      </c>
      <c r="F228" s="237">
        <f t="shared" si="18"/>
        <v>-701685.09999999986</v>
      </c>
      <c r="G228" s="236">
        <f t="shared" si="17"/>
        <v>-0.27195670075232015</v>
      </c>
    </row>
    <row r="229" spans="1:7" ht="11.1" customHeight="1" outlineLevel="5" x14ac:dyDescent="0.2">
      <c r="A229" s="235" t="s">
        <v>212</v>
      </c>
      <c r="B229" s="362">
        <v>4642285.55</v>
      </c>
      <c r="C229" s="287">
        <v>2925129.9</v>
      </c>
      <c r="D229" s="287">
        <v>2374905.81</v>
      </c>
      <c r="E229" s="287">
        <v>2374905.81</v>
      </c>
      <c r="F229" s="237">
        <f t="shared" si="18"/>
        <v>-550224.08999999985</v>
      </c>
      <c r="G229" s="236">
        <f t="shared" si="17"/>
        <v>-0.18810244632212736</v>
      </c>
    </row>
    <row r="230" spans="1:7" ht="11.1" customHeight="1" outlineLevel="5" x14ac:dyDescent="0.2">
      <c r="A230" s="235" t="s">
        <v>213</v>
      </c>
      <c r="B230" s="362">
        <v>2021577.37</v>
      </c>
      <c r="C230" s="287">
        <v>2796885.44</v>
      </c>
      <c r="D230" s="287">
        <v>2150262.7599999998</v>
      </c>
      <c r="E230" s="287">
        <v>2150262.7599999998</v>
      </c>
      <c r="F230" s="237">
        <f t="shared" si="18"/>
        <v>-646622.68000000017</v>
      </c>
      <c r="G230" s="236">
        <f t="shared" si="17"/>
        <v>-0.23119383824315676</v>
      </c>
    </row>
    <row r="231" spans="1:7" ht="11.1" customHeight="1" outlineLevel="4" x14ac:dyDescent="0.2">
      <c r="A231" s="234" t="s">
        <v>135</v>
      </c>
      <c r="B231" s="361">
        <v>29612592.030000001</v>
      </c>
      <c r="C231" s="285">
        <v>28625260.34</v>
      </c>
      <c r="D231" s="285">
        <v>42429082.390000001</v>
      </c>
      <c r="E231" s="285">
        <v>42429082.390000001</v>
      </c>
      <c r="F231" s="367">
        <f t="shared" si="18"/>
        <v>13803822.050000001</v>
      </c>
      <c r="G231" s="228">
        <f t="shared" si="17"/>
        <v>0.48222520550183412</v>
      </c>
    </row>
    <row r="232" spans="1:7" ht="11.1" customHeight="1" outlineLevel="5" x14ac:dyDescent="0.2">
      <c r="A232" s="235" t="s">
        <v>214</v>
      </c>
      <c r="B232" s="362">
        <v>21471087.530000001</v>
      </c>
      <c r="C232" s="287">
        <v>15517335.199999999</v>
      </c>
      <c r="D232" s="287">
        <v>31743443.350000001</v>
      </c>
      <c r="E232" s="287">
        <v>31743443.350000001</v>
      </c>
      <c r="F232" s="237">
        <f t="shared" si="18"/>
        <v>16226108.150000002</v>
      </c>
      <c r="G232" s="236">
        <f t="shared" si="17"/>
        <v>1.0456762028315274</v>
      </c>
    </row>
    <row r="233" spans="1:7" ht="11.1" customHeight="1" outlineLevel="5" x14ac:dyDescent="0.2">
      <c r="A233" s="235" t="s">
        <v>215</v>
      </c>
      <c r="B233" s="362">
        <v>8141504.5</v>
      </c>
      <c r="C233" s="287">
        <v>9857613.4199999999</v>
      </c>
      <c r="D233" s="287">
        <v>7122559.5499999998</v>
      </c>
      <c r="E233" s="287">
        <v>7122559.5499999998</v>
      </c>
      <c r="F233" s="237">
        <f t="shared" si="18"/>
        <v>-2735053.87</v>
      </c>
      <c r="G233" s="236">
        <f t="shared" si="17"/>
        <v>-0.2774559879220746</v>
      </c>
    </row>
    <row r="234" spans="1:7" ht="11.1" customHeight="1" outlineLevel="5" x14ac:dyDescent="0.2">
      <c r="A234" s="235" t="s">
        <v>818</v>
      </c>
      <c r="B234" s="363">
        <v>0</v>
      </c>
      <c r="C234" s="287">
        <v>3250311.72</v>
      </c>
      <c r="D234" s="287">
        <v>3563079.49</v>
      </c>
      <c r="E234" s="287">
        <v>3563079.49</v>
      </c>
      <c r="F234" s="237">
        <f t="shared" si="18"/>
        <v>312767.77</v>
      </c>
      <c r="G234" s="236">
        <f t="shared" si="17"/>
        <v>9.6227007420691235E-2</v>
      </c>
    </row>
    <row r="235" spans="1:7" ht="11.1" customHeight="1" outlineLevel="4" x14ac:dyDescent="0.2">
      <c r="A235" s="234" t="s">
        <v>140</v>
      </c>
      <c r="B235" s="361">
        <v>210885126.59</v>
      </c>
      <c r="C235" s="285">
        <v>200025575.53</v>
      </c>
      <c r="D235" s="285">
        <v>179921053.69999999</v>
      </c>
      <c r="E235" s="285">
        <v>179921053.69999999</v>
      </c>
      <c r="F235" s="229">
        <f t="shared" si="18"/>
        <v>-20104521.830000013</v>
      </c>
      <c r="G235" s="228">
        <f t="shared" si="17"/>
        <v>-0.10050975619857527</v>
      </c>
    </row>
    <row r="236" spans="1:7" ht="11.1" customHeight="1" outlineLevel="5" x14ac:dyDescent="0.2">
      <c r="A236" s="238" t="s">
        <v>216</v>
      </c>
      <c r="B236" s="361">
        <v>23596278.460000001</v>
      </c>
      <c r="C236" s="285">
        <v>30520640.460000001</v>
      </c>
      <c r="D236" s="285">
        <v>23508341.030000001</v>
      </c>
      <c r="E236" s="285">
        <v>23508341.030000001</v>
      </c>
      <c r="F236" s="229">
        <f t="shared" si="18"/>
        <v>-7012299.4299999997</v>
      </c>
      <c r="G236" s="228">
        <f t="shared" si="17"/>
        <v>-0.22975597249311452</v>
      </c>
    </row>
    <row r="237" spans="1:7" ht="11.1" customHeight="1" outlineLevel="6" x14ac:dyDescent="0.2">
      <c r="A237" s="239" t="s">
        <v>217</v>
      </c>
      <c r="B237" s="362">
        <v>14828583.5</v>
      </c>
      <c r="C237" s="287">
        <v>17220309</v>
      </c>
      <c r="D237" s="287">
        <v>16444433.98</v>
      </c>
      <c r="E237" s="287">
        <v>16444433.98</v>
      </c>
      <c r="F237" s="237">
        <f t="shared" si="18"/>
        <v>-775875.01999999955</v>
      </c>
      <c r="G237" s="236">
        <f t="shared" si="17"/>
        <v>-4.5055812877689894E-2</v>
      </c>
    </row>
    <row r="238" spans="1:7" ht="11.1" customHeight="1" outlineLevel="6" x14ac:dyDescent="0.2">
      <c r="A238" s="239" t="s">
        <v>218</v>
      </c>
      <c r="B238" s="362">
        <v>7236894.21</v>
      </c>
      <c r="C238" s="287">
        <v>10514331.460000001</v>
      </c>
      <c r="D238" s="287">
        <v>5490065.1399999997</v>
      </c>
      <c r="E238" s="287">
        <v>5490065.1399999997</v>
      </c>
      <c r="F238" s="237">
        <f t="shared" si="18"/>
        <v>-5024266.3200000012</v>
      </c>
      <c r="G238" s="236">
        <f t="shared" si="17"/>
        <v>-0.47784933727017964</v>
      </c>
    </row>
    <row r="239" spans="1:7" ht="11.1" customHeight="1" outlineLevel="6" x14ac:dyDescent="0.2">
      <c r="A239" s="239" t="s">
        <v>219</v>
      </c>
      <c r="B239" s="362">
        <v>1530800.75</v>
      </c>
      <c r="C239" s="287">
        <v>2786000</v>
      </c>
      <c r="D239" s="287">
        <v>1573841.91</v>
      </c>
      <c r="E239" s="287">
        <v>1573841.91</v>
      </c>
      <c r="F239" s="237">
        <f t="shared" si="18"/>
        <v>-1212158.0900000001</v>
      </c>
      <c r="G239" s="236">
        <f t="shared" si="17"/>
        <v>-0.43508904881550614</v>
      </c>
    </row>
    <row r="240" spans="1:7" ht="11.1" customHeight="1" outlineLevel="5" x14ac:dyDescent="0.2">
      <c r="A240" s="235" t="s">
        <v>220</v>
      </c>
      <c r="B240" s="362">
        <v>20175657.16</v>
      </c>
      <c r="C240" s="287">
        <v>20661325.23</v>
      </c>
      <c r="D240" s="287">
        <v>17336164.18</v>
      </c>
      <c r="E240" s="287">
        <v>17336164.18</v>
      </c>
      <c r="F240" s="237">
        <f t="shared" si="18"/>
        <v>-3325161.0500000007</v>
      </c>
      <c r="G240" s="236">
        <f t="shared" si="17"/>
        <v>-0.16093648461483512</v>
      </c>
    </row>
    <row r="241" spans="1:7" ht="11.1" customHeight="1" outlineLevel="5" x14ac:dyDescent="0.2">
      <c r="A241" s="238" t="s">
        <v>221</v>
      </c>
      <c r="B241" s="361">
        <v>20746445.960000001</v>
      </c>
      <c r="C241" s="285">
        <v>21618598.649999999</v>
      </c>
      <c r="D241" s="285">
        <v>20103723.969999999</v>
      </c>
      <c r="E241" s="285">
        <v>20103723.969999999</v>
      </c>
      <c r="F241" s="229">
        <f t="shared" si="18"/>
        <v>-1514874.6799999997</v>
      </c>
      <c r="G241" s="228">
        <f t="shared" si="17"/>
        <v>-7.0072750992118515E-2</v>
      </c>
    </row>
    <row r="242" spans="1:7" ht="11.1" customHeight="1" outlineLevel="6" x14ac:dyDescent="0.2">
      <c r="A242" s="239" t="s">
        <v>222</v>
      </c>
      <c r="B242" s="362">
        <v>6679485.7000000002</v>
      </c>
      <c r="C242" s="287">
        <v>6421786.7800000003</v>
      </c>
      <c r="D242" s="287">
        <v>5726729.2199999997</v>
      </c>
      <c r="E242" s="287">
        <v>5726729.2199999997</v>
      </c>
      <c r="F242" s="237">
        <f t="shared" si="18"/>
        <v>-695057.56000000052</v>
      </c>
      <c r="G242" s="236">
        <f t="shared" si="17"/>
        <v>-0.10823429425665243</v>
      </c>
    </row>
    <row r="243" spans="1:7" ht="11.1" customHeight="1" outlineLevel="6" x14ac:dyDescent="0.2">
      <c r="A243" s="239" t="s">
        <v>223</v>
      </c>
      <c r="B243" s="362">
        <v>4978270.46</v>
      </c>
      <c r="C243" s="287">
        <v>5730464.5899999999</v>
      </c>
      <c r="D243" s="287">
        <v>5239781.6100000003</v>
      </c>
      <c r="E243" s="287">
        <v>5239781.6100000003</v>
      </c>
      <c r="F243" s="237">
        <f t="shared" si="18"/>
        <v>-490682.97999999952</v>
      </c>
      <c r="G243" s="236">
        <f t="shared" si="17"/>
        <v>-8.5627085255228774E-2</v>
      </c>
    </row>
    <row r="244" spans="1:7" ht="11.1" customHeight="1" outlineLevel="6" x14ac:dyDescent="0.2">
      <c r="A244" s="239" t="s">
        <v>224</v>
      </c>
      <c r="B244" s="362">
        <v>4869468.74</v>
      </c>
      <c r="C244" s="287">
        <v>6080482.6299999999</v>
      </c>
      <c r="D244" s="287">
        <v>6394491.5</v>
      </c>
      <c r="E244" s="287">
        <v>6394491.5</v>
      </c>
      <c r="F244" s="237">
        <f t="shared" si="18"/>
        <v>314008.87000000011</v>
      </c>
      <c r="G244" s="236">
        <f t="shared" si="17"/>
        <v>5.1642096377471303E-2</v>
      </c>
    </row>
    <row r="245" spans="1:7" ht="11.1" customHeight="1" outlineLevel="6" x14ac:dyDescent="0.2">
      <c r="A245" s="239" t="s">
        <v>225</v>
      </c>
      <c r="B245" s="362">
        <v>4219221.0599999996</v>
      </c>
      <c r="C245" s="287">
        <v>3385864.65</v>
      </c>
      <c r="D245" s="287">
        <v>2742721.64</v>
      </c>
      <c r="E245" s="287">
        <v>2742721.64</v>
      </c>
      <c r="F245" s="237">
        <f t="shared" si="18"/>
        <v>-643143.00999999978</v>
      </c>
      <c r="G245" s="236">
        <f t="shared" si="17"/>
        <v>-0.18994941513683949</v>
      </c>
    </row>
    <row r="246" spans="1:7" ht="11.1" customHeight="1" outlineLevel="5" x14ac:dyDescent="0.2">
      <c r="A246" s="238" t="s">
        <v>226</v>
      </c>
      <c r="B246" s="361">
        <v>34062149.159999996</v>
      </c>
      <c r="C246" s="285">
        <v>41274080.020000003</v>
      </c>
      <c r="D246" s="285">
        <v>34988346.460000001</v>
      </c>
      <c r="E246" s="285">
        <v>34988346.460000001</v>
      </c>
      <c r="F246" s="229">
        <f t="shared" si="18"/>
        <v>-6285733.5600000024</v>
      </c>
      <c r="G246" s="228">
        <f t="shared" si="17"/>
        <v>-0.15229251765161456</v>
      </c>
    </row>
    <row r="247" spans="1:7" ht="11.1" customHeight="1" outlineLevel="6" x14ac:dyDescent="0.2">
      <c r="A247" s="239" t="s">
        <v>227</v>
      </c>
      <c r="B247" s="362">
        <v>30560093.350000001</v>
      </c>
      <c r="C247" s="287">
        <v>35391201.780000001</v>
      </c>
      <c r="D247" s="287">
        <v>31689533.370000001</v>
      </c>
      <c r="E247" s="287">
        <v>31689533.370000001</v>
      </c>
      <c r="F247" s="237">
        <f t="shared" si="18"/>
        <v>-3701668.41</v>
      </c>
      <c r="G247" s="236">
        <f t="shared" si="17"/>
        <v>-0.10459289947288142</v>
      </c>
    </row>
    <row r="248" spans="1:7" ht="11.1" customHeight="1" outlineLevel="6" x14ac:dyDescent="0.2">
      <c r="A248" s="239" t="s">
        <v>228</v>
      </c>
      <c r="B248" s="362">
        <v>3502055.81</v>
      </c>
      <c r="C248" s="287">
        <v>5254127.57</v>
      </c>
      <c r="D248" s="287">
        <v>3298813.09</v>
      </c>
      <c r="E248" s="287">
        <v>3298813.09</v>
      </c>
      <c r="F248" s="237">
        <f t="shared" si="18"/>
        <v>-1955314.4800000004</v>
      </c>
      <c r="G248" s="236">
        <f t="shared" si="17"/>
        <v>-0.37214826894657993</v>
      </c>
    </row>
    <row r="249" spans="1:7" ht="11.1" customHeight="1" outlineLevel="6" x14ac:dyDescent="0.2">
      <c r="A249" s="239" t="s">
        <v>229</v>
      </c>
      <c r="B249" s="364">
        <v>0</v>
      </c>
      <c r="C249" s="287">
        <v>628750.67000000004</v>
      </c>
      <c r="D249" s="287">
        <v>0</v>
      </c>
      <c r="E249" s="287">
        <v>0</v>
      </c>
      <c r="F249" s="237">
        <f t="shared" si="18"/>
        <v>-628750.67000000004</v>
      </c>
      <c r="G249" s="236">
        <f t="shared" ref="G249:G308" si="19">D249/C249-1</f>
        <v>-1</v>
      </c>
    </row>
    <row r="250" spans="1:7" ht="11.1" customHeight="1" outlineLevel="5" x14ac:dyDescent="0.2">
      <c r="A250" s="238" t="s">
        <v>230</v>
      </c>
      <c r="B250" s="361">
        <v>6189007.2699999996</v>
      </c>
      <c r="C250" s="285">
        <v>1206900</v>
      </c>
      <c r="D250" s="285">
        <v>1719900</v>
      </c>
      <c r="E250" s="285">
        <v>1719900</v>
      </c>
      <c r="F250" s="367">
        <f t="shared" si="18"/>
        <v>513000</v>
      </c>
      <c r="G250" s="228">
        <f t="shared" si="19"/>
        <v>0.42505592841163309</v>
      </c>
    </row>
    <row r="251" spans="1:7" ht="11.1" customHeight="1" outlineLevel="6" x14ac:dyDescent="0.2">
      <c r="A251" s="239" t="s">
        <v>231</v>
      </c>
      <c r="B251" s="362">
        <v>2339007.27</v>
      </c>
      <c r="C251" s="287">
        <v>1206900</v>
      </c>
      <c r="D251" s="287">
        <v>1719900</v>
      </c>
      <c r="E251" s="287">
        <v>1719900</v>
      </c>
      <c r="F251" s="237">
        <f t="shared" si="18"/>
        <v>513000</v>
      </c>
      <c r="G251" s="236">
        <f t="shared" si="19"/>
        <v>0.42505592841163309</v>
      </c>
    </row>
    <row r="252" spans="1:7" ht="11.1" customHeight="1" outlineLevel="6" x14ac:dyDescent="0.2">
      <c r="A252" s="239" t="s">
        <v>232</v>
      </c>
      <c r="B252" s="362">
        <v>3850000</v>
      </c>
      <c r="C252" s="287">
        <v>0</v>
      </c>
      <c r="D252" s="287">
        <v>0</v>
      </c>
      <c r="E252" s="287">
        <v>0</v>
      </c>
      <c r="F252" s="237">
        <f t="shared" si="18"/>
        <v>0</v>
      </c>
      <c r="G252" s="236" t="e">
        <f t="shared" si="19"/>
        <v>#DIV/0!</v>
      </c>
    </row>
    <row r="253" spans="1:7" ht="11.1" customHeight="1" outlineLevel="5" x14ac:dyDescent="0.2">
      <c r="A253" s="238" t="s">
        <v>233</v>
      </c>
      <c r="B253" s="361">
        <v>35079111.240000002</v>
      </c>
      <c r="C253" s="285">
        <v>46523680.979999997</v>
      </c>
      <c r="D253" s="285">
        <v>47471281.390000001</v>
      </c>
      <c r="E253" s="285">
        <v>47471281.390000001</v>
      </c>
      <c r="F253" s="367">
        <f t="shared" si="18"/>
        <v>947600.41000000387</v>
      </c>
      <c r="G253" s="228">
        <f t="shared" si="19"/>
        <v>2.0368130595843636E-2</v>
      </c>
    </row>
    <row r="254" spans="1:7" ht="11.1" customHeight="1" outlineLevel="6" x14ac:dyDescent="0.2">
      <c r="A254" s="239" t="s">
        <v>234</v>
      </c>
      <c r="B254" s="362">
        <v>3123478.44</v>
      </c>
      <c r="C254" s="287">
        <v>3523680.98</v>
      </c>
      <c r="D254" s="287">
        <v>3557811.79</v>
      </c>
      <c r="E254" s="287">
        <v>3557811.79</v>
      </c>
      <c r="F254" s="237">
        <f t="shared" si="18"/>
        <v>34130.810000000056</v>
      </c>
      <c r="G254" s="236">
        <f t="shared" si="19"/>
        <v>9.6861237421101976E-3</v>
      </c>
    </row>
    <row r="255" spans="1:7" ht="11.1" customHeight="1" outlineLevel="6" x14ac:dyDescent="0.2">
      <c r="A255" s="239" t="s">
        <v>235</v>
      </c>
      <c r="B255" s="362">
        <v>1357005.38</v>
      </c>
      <c r="C255" s="287">
        <v>1600000</v>
      </c>
      <c r="D255" s="287">
        <v>1942078.97</v>
      </c>
      <c r="E255" s="287">
        <v>1942078.97</v>
      </c>
      <c r="F255" s="237">
        <f t="shared" si="18"/>
        <v>342078.97</v>
      </c>
      <c r="G255" s="236">
        <f t="shared" si="19"/>
        <v>0.21379935625000002</v>
      </c>
    </row>
    <row r="256" spans="1:7" ht="11.1" customHeight="1" outlineLevel="6" x14ac:dyDescent="0.2">
      <c r="A256" s="239" t="s">
        <v>236</v>
      </c>
      <c r="B256" s="362">
        <v>30598627.420000002</v>
      </c>
      <c r="C256" s="287">
        <v>41400000</v>
      </c>
      <c r="D256" s="287">
        <v>41971390.630000003</v>
      </c>
      <c r="E256" s="287">
        <v>41971390.630000003</v>
      </c>
      <c r="F256" s="237">
        <f t="shared" si="18"/>
        <v>571390.63000000268</v>
      </c>
      <c r="G256" s="236">
        <f t="shared" si="19"/>
        <v>1.3801706038647499E-2</v>
      </c>
    </row>
    <row r="257" spans="1:7" ht="11.1" customHeight="1" outlineLevel="5" x14ac:dyDescent="0.2">
      <c r="A257" s="235" t="s">
        <v>237</v>
      </c>
      <c r="B257" s="362">
        <v>653414.12</v>
      </c>
      <c r="C257" s="287">
        <v>724771.56</v>
      </c>
      <c r="D257" s="287">
        <v>423085.72</v>
      </c>
      <c r="E257" s="287">
        <v>423085.72</v>
      </c>
      <c r="F257" s="237">
        <f t="shared" si="18"/>
        <v>-301685.84000000008</v>
      </c>
      <c r="G257" s="236">
        <f t="shared" si="19"/>
        <v>-0.41624955592904345</v>
      </c>
    </row>
    <row r="258" spans="1:7" ht="11.1" customHeight="1" outlineLevel="5" x14ac:dyDescent="0.2">
      <c r="A258" s="238" t="s">
        <v>238</v>
      </c>
      <c r="B258" s="361">
        <v>70383063.219999999</v>
      </c>
      <c r="C258" s="285">
        <v>37495578.630000003</v>
      </c>
      <c r="D258" s="285">
        <v>34370210.950000003</v>
      </c>
      <c r="E258" s="285">
        <v>34370210.950000003</v>
      </c>
      <c r="F258" s="229">
        <f t="shared" si="18"/>
        <v>-3125367.6799999997</v>
      </c>
      <c r="G258" s="228">
        <f t="shared" si="19"/>
        <v>-8.3352965714720617E-2</v>
      </c>
    </row>
    <row r="259" spans="1:7" ht="11.1" customHeight="1" outlineLevel="6" x14ac:dyDescent="0.2">
      <c r="A259" s="242" t="s">
        <v>239</v>
      </c>
      <c r="B259" s="361">
        <v>23266946.649999999</v>
      </c>
      <c r="C259" s="285">
        <v>17076504.66</v>
      </c>
      <c r="D259" s="285">
        <v>18392713.609999999</v>
      </c>
      <c r="E259" s="285">
        <v>18392713.609999999</v>
      </c>
      <c r="F259" s="367">
        <f t="shared" si="18"/>
        <v>1316208.9499999993</v>
      </c>
      <c r="G259" s="228">
        <f t="shared" si="19"/>
        <v>7.7077187410787174E-2</v>
      </c>
    </row>
    <row r="260" spans="1:7" ht="11.1" customHeight="1" outlineLevel="7" x14ac:dyDescent="0.2">
      <c r="A260" s="243" t="s">
        <v>240</v>
      </c>
      <c r="B260" s="362">
        <v>19214113.600000001</v>
      </c>
      <c r="C260" s="287">
        <v>11946605.140000001</v>
      </c>
      <c r="D260" s="287">
        <v>16161644.85</v>
      </c>
      <c r="E260" s="287">
        <v>16161644.85</v>
      </c>
      <c r="F260" s="321">
        <f t="shared" si="18"/>
        <v>4215039.709999999</v>
      </c>
      <c r="G260" s="236">
        <f t="shared" si="19"/>
        <v>0.35282322137584265</v>
      </c>
    </row>
    <row r="261" spans="1:7" ht="11.1" customHeight="1" outlineLevel="7" x14ac:dyDescent="0.2">
      <c r="A261" s="243" t="s">
        <v>241</v>
      </c>
      <c r="B261" s="362">
        <v>4052833.05</v>
      </c>
      <c r="C261" s="287">
        <v>5129899.5199999996</v>
      </c>
      <c r="D261" s="287">
        <v>2231068.7599999998</v>
      </c>
      <c r="E261" s="287">
        <v>2231068.7599999998</v>
      </c>
      <c r="F261" s="237">
        <f t="shared" si="18"/>
        <v>-2898830.76</v>
      </c>
      <c r="G261" s="236">
        <f t="shared" si="19"/>
        <v>-0.56508529040350486</v>
      </c>
    </row>
    <row r="262" spans="1:7" ht="11.1" customHeight="1" outlineLevel="6" x14ac:dyDescent="0.2">
      <c r="A262" s="239" t="s">
        <v>242</v>
      </c>
      <c r="B262" s="362">
        <v>47116116.57</v>
      </c>
      <c r="C262" s="287">
        <v>20419073.969999999</v>
      </c>
      <c r="D262" s="287">
        <v>15977497.34</v>
      </c>
      <c r="E262" s="287">
        <v>15977497.34</v>
      </c>
      <c r="F262" s="237">
        <f t="shared" si="18"/>
        <v>-4441576.629999999</v>
      </c>
      <c r="G262" s="236">
        <f t="shared" si="19"/>
        <v>-0.21752096282748312</v>
      </c>
    </row>
    <row r="263" spans="1:7" ht="11.1" customHeight="1" outlineLevel="4" x14ac:dyDescent="0.2">
      <c r="A263" s="234" t="s">
        <v>243</v>
      </c>
      <c r="B263" s="361">
        <v>67820601.569999993</v>
      </c>
      <c r="C263" s="285">
        <v>73749068.159999996</v>
      </c>
      <c r="D263" s="285">
        <v>66026317.829999998</v>
      </c>
      <c r="E263" s="285">
        <v>66026317.829999998</v>
      </c>
      <c r="F263" s="229">
        <f t="shared" si="18"/>
        <v>-7722750.3299999982</v>
      </c>
      <c r="G263" s="228">
        <f t="shared" si="19"/>
        <v>-0.10471658181829968</v>
      </c>
    </row>
    <row r="264" spans="1:7" ht="11.1" customHeight="1" outlineLevel="5" x14ac:dyDescent="0.2">
      <c r="A264" s="235" t="s">
        <v>244</v>
      </c>
      <c r="B264" s="362">
        <v>1728010.28</v>
      </c>
      <c r="C264" s="287">
        <v>680819.81</v>
      </c>
      <c r="D264" s="287">
        <v>1073697.3600000001</v>
      </c>
      <c r="E264" s="287">
        <v>1073697.3600000001</v>
      </c>
      <c r="F264" s="368">
        <f t="shared" si="18"/>
        <v>392877.55000000005</v>
      </c>
      <c r="G264" s="236">
        <f t="shared" si="19"/>
        <v>0.57706539120828459</v>
      </c>
    </row>
    <row r="265" spans="1:7" ht="11.1" customHeight="1" outlineLevel="5" x14ac:dyDescent="0.2">
      <c r="A265" s="235" t="s">
        <v>243</v>
      </c>
      <c r="B265" s="362">
        <v>457606.52</v>
      </c>
      <c r="C265" s="287">
        <v>1337197.04</v>
      </c>
      <c r="D265" s="287">
        <v>532711.46</v>
      </c>
      <c r="E265" s="287">
        <v>532711.46</v>
      </c>
      <c r="F265" s="237">
        <f t="shared" ref="F265:F308" si="20">D265-C265</f>
        <v>-804485.58000000007</v>
      </c>
      <c r="G265" s="236">
        <f t="shared" si="19"/>
        <v>-0.60162082021958407</v>
      </c>
    </row>
    <row r="266" spans="1:7" ht="11.1" customHeight="1" outlineLevel="5" x14ac:dyDescent="0.2">
      <c r="A266" s="235" t="s">
        <v>245</v>
      </c>
      <c r="B266" s="362">
        <v>25233037.969999999</v>
      </c>
      <c r="C266" s="287">
        <v>27467714.219999999</v>
      </c>
      <c r="D266" s="287">
        <v>25115931.940000001</v>
      </c>
      <c r="E266" s="287">
        <v>25115931.940000001</v>
      </c>
      <c r="F266" s="237">
        <f t="shared" si="20"/>
        <v>-2351782.2799999975</v>
      </c>
      <c r="G266" s="236">
        <f t="shared" si="19"/>
        <v>-8.5619875799042622E-2</v>
      </c>
    </row>
    <row r="267" spans="1:7" ht="11.1" customHeight="1" outlineLevel="5" x14ac:dyDescent="0.2">
      <c r="A267" s="235" t="s">
        <v>246</v>
      </c>
      <c r="B267" s="362">
        <v>3245681.29</v>
      </c>
      <c r="C267" s="287">
        <v>4154688.41</v>
      </c>
      <c r="D267" s="287">
        <v>3964439.08</v>
      </c>
      <c r="E267" s="287">
        <v>3964439.08</v>
      </c>
      <c r="F267" s="237">
        <f t="shared" si="20"/>
        <v>-190249.33000000007</v>
      </c>
      <c r="G267" s="236">
        <f t="shared" si="19"/>
        <v>-4.5791479703287785E-2</v>
      </c>
    </row>
    <row r="268" spans="1:7" ht="11.1" customHeight="1" outlineLevel="5" x14ac:dyDescent="0.2">
      <c r="A268" s="235" t="s">
        <v>247</v>
      </c>
      <c r="B268" s="362">
        <v>27936580.23</v>
      </c>
      <c r="C268" s="287">
        <v>27946343.93</v>
      </c>
      <c r="D268" s="287">
        <v>25182554.879999999</v>
      </c>
      <c r="E268" s="287">
        <v>25182554.879999999</v>
      </c>
      <c r="F268" s="237">
        <f t="shared" si="20"/>
        <v>-2763789.0500000007</v>
      </c>
      <c r="G268" s="236">
        <f t="shared" si="19"/>
        <v>-9.8896265533793604E-2</v>
      </c>
    </row>
    <row r="269" spans="1:7" ht="11.1" customHeight="1" outlineLevel="5" x14ac:dyDescent="0.2">
      <c r="A269" s="235" t="s">
        <v>248</v>
      </c>
      <c r="B269" s="362">
        <v>157208.59</v>
      </c>
      <c r="C269" s="287">
        <v>268129.5</v>
      </c>
      <c r="D269" s="287">
        <v>160984.23000000001</v>
      </c>
      <c r="E269" s="287">
        <v>160984.23000000001</v>
      </c>
      <c r="F269" s="237">
        <f t="shared" si="20"/>
        <v>-107145.26999999999</v>
      </c>
      <c r="G269" s="236">
        <f t="shared" si="19"/>
        <v>-0.39960269198279186</v>
      </c>
    </row>
    <row r="270" spans="1:7" ht="11.1" customHeight="1" outlineLevel="5" x14ac:dyDescent="0.2">
      <c r="A270" s="235" t="s">
        <v>249</v>
      </c>
      <c r="B270" s="362">
        <v>170359.13</v>
      </c>
      <c r="C270" s="287">
        <v>254661.58</v>
      </c>
      <c r="D270" s="287">
        <v>113117.66</v>
      </c>
      <c r="E270" s="287">
        <v>113117.66</v>
      </c>
      <c r="F270" s="237">
        <f t="shared" si="20"/>
        <v>-141543.91999999998</v>
      </c>
      <c r="G270" s="236">
        <f t="shared" si="19"/>
        <v>-0.55581183467093853</v>
      </c>
    </row>
    <row r="271" spans="1:7" ht="11.1" customHeight="1" outlineLevel="5" x14ac:dyDescent="0.2">
      <c r="A271" s="235" t="s">
        <v>250</v>
      </c>
      <c r="B271" s="362">
        <v>8892117.5600000005</v>
      </c>
      <c r="C271" s="287">
        <v>11639513.67</v>
      </c>
      <c r="D271" s="287">
        <v>9882881.2200000007</v>
      </c>
      <c r="E271" s="287">
        <v>9882881.2200000007</v>
      </c>
      <c r="F271" s="237">
        <f t="shared" si="20"/>
        <v>-1756632.4499999993</v>
      </c>
      <c r="G271" s="236">
        <f t="shared" si="19"/>
        <v>-0.15091974628867799</v>
      </c>
    </row>
    <row r="272" spans="1:7" ht="11.1" customHeight="1" outlineLevel="4" x14ac:dyDescent="0.2">
      <c r="A272" s="234" t="s">
        <v>251</v>
      </c>
      <c r="B272" s="361">
        <v>201580.59</v>
      </c>
      <c r="C272" s="285">
        <v>1098740</v>
      </c>
      <c r="D272" s="285">
        <v>327300.03000000003</v>
      </c>
      <c r="E272" s="285">
        <v>327300.03000000003</v>
      </c>
      <c r="F272" s="229">
        <f t="shared" si="20"/>
        <v>-771439.97</v>
      </c>
      <c r="G272" s="228">
        <f t="shared" si="19"/>
        <v>-0.70211330251014803</v>
      </c>
    </row>
    <row r="273" spans="1:12" ht="11.1" customHeight="1" outlineLevel="5" x14ac:dyDescent="0.2">
      <c r="A273" s="235" t="s">
        <v>252</v>
      </c>
      <c r="B273" s="362">
        <v>124275.59</v>
      </c>
      <c r="C273" s="287">
        <v>700000</v>
      </c>
      <c r="D273" s="287">
        <v>2772</v>
      </c>
      <c r="E273" s="287">
        <v>2772</v>
      </c>
      <c r="F273" s="237">
        <f t="shared" si="20"/>
        <v>-697228</v>
      </c>
      <c r="G273" s="236">
        <f t="shared" si="19"/>
        <v>-0.99604000000000004</v>
      </c>
    </row>
    <row r="274" spans="1:12" ht="11.1" customHeight="1" outlineLevel="5" x14ac:dyDescent="0.2">
      <c r="A274" s="235" t="s">
        <v>253</v>
      </c>
      <c r="B274" s="362">
        <v>77305</v>
      </c>
      <c r="C274" s="287">
        <v>398740</v>
      </c>
      <c r="D274" s="287">
        <v>324528.03000000003</v>
      </c>
      <c r="E274" s="287">
        <v>324528.03000000003</v>
      </c>
      <c r="F274" s="237">
        <f t="shared" si="20"/>
        <v>-74211.969999999972</v>
      </c>
      <c r="G274" s="236">
        <f t="shared" si="19"/>
        <v>-0.18611619100165511</v>
      </c>
    </row>
    <row r="275" spans="1:12" ht="11.1" customHeight="1" outlineLevel="4" x14ac:dyDescent="0.2">
      <c r="A275" s="240" t="s">
        <v>172</v>
      </c>
      <c r="B275" s="362">
        <v>6916947.75</v>
      </c>
      <c r="C275" s="287">
        <v>12388669.859999999</v>
      </c>
      <c r="D275" s="287">
        <v>8628186.2300000004</v>
      </c>
      <c r="E275" s="287">
        <v>8628186.2300000004</v>
      </c>
      <c r="F275" s="237">
        <f t="shared" si="20"/>
        <v>-3760483.629999999</v>
      </c>
      <c r="G275" s="236">
        <f t="shared" si="19"/>
        <v>-0.30354216170871462</v>
      </c>
    </row>
    <row r="276" spans="1:12" ht="11.1" customHeight="1" outlineLevel="4" x14ac:dyDescent="0.2">
      <c r="A276" s="234" t="s">
        <v>173</v>
      </c>
      <c r="B276" s="361">
        <v>1001447013.52</v>
      </c>
      <c r="C276" s="285">
        <v>1069280373.3099999</v>
      </c>
      <c r="D276" s="285">
        <v>1112338496.6700001</v>
      </c>
      <c r="E276" s="285">
        <v>1112338496.6700001</v>
      </c>
      <c r="F276" s="229">
        <f t="shared" si="20"/>
        <v>43058123.360000134</v>
      </c>
      <c r="G276" s="228">
        <f t="shared" si="19"/>
        <v>4.026831917499063E-2</v>
      </c>
      <c r="H276" s="226">
        <f>C276+C191+C176</f>
        <v>3977034175.6999998</v>
      </c>
      <c r="I276" s="226">
        <f>D276+D191+D176</f>
        <v>3745555908.2700005</v>
      </c>
      <c r="J276" s="226">
        <f>I276-H276</f>
        <v>-231478267.42999935</v>
      </c>
      <c r="K276" s="226"/>
      <c r="L276" s="221">
        <f>I276/H276*100-100</f>
        <v>-5.8203741080313165</v>
      </c>
    </row>
    <row r="277" spans="1:12" ht="11.1" customHeight="1" outlineLevel="5" x14ac:dyDescent="0.2">
      <c r="A277" s="235" t="s">
        <v>174</v>
      </c>
      <c r="B277" s="362">
        <v>731254954.37</v>
      </c>
      <c r="C277" s="287">
        <v>753892656.32000005</v>
      </c>
      <c r="D277" s="287">
        <v>803204358.57000005</v>
      </c>
      <c r="E277" s="287">
        <v>803204358.57000005</v>
      </c>
      <c r="F277" s="237">
        <f t="shared" si="20"/>
        <v>49311702.25</v>
      </c>
      <c r="G277" s="236">
        <f t="shared" si="19"/>
        <v>6.540944766686918E-2</v>
      </c>
    </row>
    <row r="278" spans="1:12" ht="11.1" customHeight="1" outlineLevel="5" x14ac:dyDescent="0.2">
      <c r="A278" s="235" t="s">
        <v>175</v>
      </c>
      <c r="B278" s="362">
        <v>226273115.75</v>
      </c>
      <c r="C278" s="287">
        <v>241639255.11000001</v>
      </c>
      <c r="D278" s="287">
        <v>250837127.84999999</v>
      </c>
      <c r="E278" s="287">
        <v>250837127.84999999</v>
      </c>
      <c r="F278" s="237">
        <f t="shared" si="20"/>
        <v>9197872.7399999797</v>
      </c>
      <c r="G278" s="236">
        <f t="shared" si="19"/>
        <v>3.8064480606898377E-2</v>
      </c>
    </row>
    <row r="279" spans="1:12" ht="11.1" customHeight="1" outlineLevel="5" x14ac:dyDescent="0.2">
      <c r="A279" s="235" t="s">
        <v>176</v>
      </c>
      <c r="B279" s="362">
        <v>43569621.799999997</v>
      </c>
      <c r="C279" s="287">
        <v>72172461.879999995</v>
      </c>
      <c r="D279" s="287">
        <v>58155953.460000001</v>
      </c>
      <c r="E279" s="287">
        <v>58155953.460000001</v>
      </c>
      <c r="F279" s="237">
        <f t="shared" si="20"/>
        <v>-14016508.419999994</v>
      </c>
      <c r="G279" s="236">
        <f t="shared" si="19"/>
        <v>-0.19420853958543105</v>
      </c>
    </row>
    <row r="280" spans="1:12" ht="11.1" customHeight="1" outlineLevel="5" x14ac:dyDescent="0.2">
      <c r="A280" s="235" t="s">
        <v>177</v>
      </c>
      <c r="B280" s="362">
        <v>349321.6</v>
      </c>
      <c r="C280" s="287">
        <v>1576000</v>
      </c>
      <c r="D280" s="287">
        <v>141056.79</v>
      </c>
      <c r="E280" s="287">
        <v>141056.79</v>
      </c>
      <c r="F280" s="237">
        <f t="shared" si="20"/>
        <v>-1434943.21</v>
      </c>
      <c r="G280" s="236">
        <f t="shared" si="19"/>
        <v>-0.91049696065989849</v>
      </c>
    </row>
    <row r="281" spans="1:12" ht="11.1" customHeight="1" outlineLevel="4" x14ac:dyDescent="0.2">
      <c r="A281" s="234" t="s">
        <v>178</v>
      </c>
      <c r="B281" s="361">
        <v>4990920.3499999996</v>
      </c>
      <c r="C281" s="285">
        <v>6466990.0800000001</v>
      </c>
      <c r="D281" s="285">
        <v>4195316.71</v>
      </c>
      <c r="E281" s="285">
        <v>4195316.71</v>
      </c>
      <c r="F281" s="229">
        <f t="shared" si="20"/>
        <v>-2271673.37</v>
      </c>
      <c r="G281" s="228">
        <f t="shared" si="19"/>
        <v>-0.35127212843969602</v>
      </c>
    </row>
    <row r="282" spans="1:12" ht="11.1" customHeight="1" outlineLevel="5" x14ac:dyDescent="0.2">
      <c r="A282" s="235" t="s">
        <v>179</v>
      </c>
      <c r="B282" s="362">
        <v>1702868.32</v>
      </c>
      <c r="C282" s="287">
        <v>4128333.28</v>
      </c>
      <c r="D282" s="287">
        <v>1542906.19</v>
      </c>
      <c r="E282" s="287">
        <v>1542906.19</v>
      </c>
      <c r="F282" s="237">
        <f t="shared" si="20"/>
        <v>-2585427.09</v>
      </c>
      <c r="G282" s="236">
        <f t="shared" si="19"/>
        <v>-0.62626413970143413</v>
      </c>
    </row>
    <row r="283" spans="1:12" ht="11.1" customHeight="1" outlineLevel="5" x14ac:dyDescent="0.2">
      <c r="A283" s="235" t="s">
        <v>180</v>
      </c>
      <c r="B283" s="362">
        <v>400640.86</v>
      </c>
      <c r="C283" s="287">
        <v>695738.6</v>
      </c>
      <c r="D283" s="287">
        <v>559347.17000000004</v>
      </c>
      <c r="E283" s="287">
        <v>559347.17000000004</v>
      </c>
      <c r="F283" s="237">
        <f t="shared" si="20"/>
        <v>-136391.42999999993</v>
      </c>
      <c r="G283" s="236">
        <f t="shared" si="19"/>
        <v>-0.1960383253135588</v>
      </c>
    </row>
    <row r="284" spans="1:12" ht="11.1" customHeight="1" outlineLevel="5" x14ac:dyDescent="0.2">
      <c r="A284" s="235" t="s">
        <v>181</v>
      </c>
      <c r="B284" s="362">
        <v>2887411.17</v>
      </c>
      <c r="C284" s="287">
        <v>1642918.2</v>
      </c>
      <c r="D284" s="287">
        <v>2093063.35</v>
      </c>
      <c r="E284" s="287">
        <v>2093063.35</v>
      </c>
      <c r="F284" s="237">
        <f t="shared" si="20"/>
        <v>450145.15000000014</v>
      </c>
      <c r="G284" s="236">
        <f t="shared" si="19"/>
        <v>0.27399121270919036</v>
      </c>
    </row>
    <row r="285" spans="1:12" ht="11.1" customHeight="1" outlineLevel="3" x14ac:dyDescent="0.2">
      <c r="A285" s="246" t="s">
        <v>254</v>
      </c>
      <c r="B285" s="361">
        <v>76137361.129999995</v>
      </c>
      <c r="C285" s="284">
        <v>35211707.219999999</v>
      </c>
      <c r="D285" s="284">
        <v>72848052.439999998</v>
      </c>
      <c r="E285" s="284">
        <v>72848052.439999998</v>
      </c>
      <c r="F285" s="369">
        <f t="shared" si="20"/>
        <v>37636345.219999999</v>
      </c>
      <c r="G285" s="224">
        <f t="shared" si="19"/>
        <v>1.068858859493834</v>
      </c>
    </row>
    <row r="286" spans="1:12" ht="11.1" customHeight="1" outlineLevel="4" x14ac:dyDescent="0.2">
      <c r="A286" s="240" t="s">
        <v>255</v>
      </c>
      <c r="B286" s="362">
        <v>352877.93</v>
      </c>
      <c r="C286" s="287">
        <v>214320</v>
      </c>
      <c r="D286" s="287">
        <v>126463.32</v>
      </c>
      <c r="E286" s="287">
        <v>126463.32</v>
      </c>
      <c r="F286" s="237">
        <f t="shared" si="20"/>
        <v>-87856.68</v>
      </c>
      <c r="G286" s="236">
        <f t="shared" si="19"/>
        <v>-0.40993225083986562</v>
      </c>
    </row>
    <row r="287" spans="1:12" ht="11.1" customHeight="1" outlineLevel="4" x14ac:dyDescent="0.2">
      <c r="A287" s="240" t="s">
        <v>256</v>
      </c>
      <c r="B287" s="362">
        <v>6925800.3899999997</v>
      </c>
      <c r="C287" s="287">
        <v>2596850</v>
      </c>
      <c r="D287" s="287">
        <v>9640830.2400000002</v>
      </c>
      <c r="E287" s="287">
        <v>9640830.2400000002</v>
      </c>
      <c r="F287" s="237">
        <f t="shared" si="20"/>
        <v>7043980.2400000002</v>
      </c>
      <c r="G287" s="236">
        <f t="shared" si="19"/>
        <v>2.7125094787916129</v>
      </c>
    </row>
    <row r="288" spans="1:12" ht="11.1" customHeight="1" outlineLevel="4" x14ac:dyDescent="0.2">
      <c r="A288" s="240" t="s">
        <v>257</v>
      </c>
      <c r="B288" s="362">
        <v>412088.88</v>
      </c>
      <c r="C288" s="287">
        <v>762560</v>
      </c>
      <c r="D288" s="287">
        <v>2184652.8199999998</v>
      </c>
      <c r="E288" s="287">
        <v>2184652.8199999998</v>
      </c>
      <c r="F288" s="237">
        <f t="shared" si="20"/>
        <v>1422092.8199999998</v>
      </c>
      <c r="G288" s="236">
        <f t="shared" si="19"/>
        <v>1.8648930182543011</v>
      </c>
    </row>
    <row r="289" spans="1:7" ht="11.1" customHeight="1" outlineLevel="4" x14ac:dyDescent="0.2">
      <c r="A289" s="240" t="s">
        <v>258</v>
      </c>
      <c r="B289" s="362">
        <v>26214384.109999999</v>
      </c>
      <c r="C289" s="287">
        <v>170000</v>
      </c>
      <c r="D289" s="287">
        <v>26729776.670000002</v>
      </c>
      <c r="E289" s="287">
        <v>26729776.670000002</v>
      </c>
      <c r="F289" s="237">
        <f t="shared" si="20"/>
        <v>26559776.670000002</v>
      </c>
      <c r="G289" s="236">
        <f t="shared" si="19"/>
        <v>156.23398041176472</v>
      </c>
    </row>
    <row r="290" spans="1:7" ht="11.1" customHeight="1" outlineLevel="4" x14ac:dyDescent="0.2">
      <c r="A290" s="240" t="s">
        <v>53</v>
      </c>
      <c r="B290" s="362">
        <v>539779.19999999995</v>
      </c>
      <c r="C290" s="287">
        <v>0</v>
      </c>
      <c r="D290" s="287">
        <v>4391000.22</v>
      </c>
      <c r="E290" s="287">
        <v>4391000.22</v>
      </c>
      <c r="F290" s="237">
        <f t="shared" si="20"/>
        <v>4391000.22</v>
      </c>
      <c r="G290" s="236" t="e">
        <f t="shared" si="19"/>
        <v>#DIV/0!</v>
      </c>
    </row>
    <row r="291" spans="1:7" ht="11.1" customHeight="1" outlineLevel="4" x14ac:dyDescent="0.2">
      <c r="A291" s="240" t="s">
        <v>259</v>
      </c>
      <c r="B291" s="362">
        <v>169069.15</v>
      </c>
      <c r="C291" s="287">
        <v>0</v>
      </c>
      <c r="D291" s="287">
        <v>333601.11</v>
      </c>
      <c r="E291" s="287">
        <v>333601.11</v>
      </c>
      <c r="F291" s="237">
        <f t="shared" si="20"/>
        <v>333601.11</v>
      </c>
      <c r="G291" s="236" t="e">
        <f t="shared" si="19"/>
        <v>#DIV/0!</v>
      </c>
    </row>
    <row r="292" spans="1:7" ht="11.1" customHeight="1" outlineLevel="4" x14ac:dyDescent="0.2">
      <c r="A292" s="234" t="s">
        <v>260</v>
      </c>
      <c r="B292" s="361">
        <v>27393680.100000001</v>
      </c>
      <c r="C292" s="285">
        <v>21834303.969999999</v>
      </c>
      <c r="D292" s="285">
        <v>20152059.489999998</v>
      </c>
      <c r="E292" s="285">
        <v>20152059.489999998</v>
      </c>
      <c r="F292" s="229">
        <f t="shared" si="20"/>
        <v>-1682244.4800000004</v>
      </c>
      <c r="G292" s="228">
        <f t="shared" si="19"/>
        <v>-7.7045940292458037E-2</v>
      </c>
    </row>
    <row r="293" spans="1:7" ht="11.1" customHeight="1" outlineLevel="5" x14ac:dyDescent="0.2">
      <c r="A293" s="235" t="s">
        <v>261</v>
      </c>
      <c r="B293" s="363">
        <v>0</v>
      </c>
      <c r="C293" s="287">
        <v>0</v>
      </c>
      <c r="D293" s="287">
        <v>0</v>
      </c>
      <c r="E293" s="287">
        <v>0</v>
      </c>
      <c r="F293" s="237">
        <f t="shared" si="20"/>
        <v>0</v>
      </c>
      <c r="G293" s="236" t="e">
        <f t="shared" si="19"/>
        <v>#DIV/0!</v>
      </c>
    </row>
    <row r="294" spans="1:7" ht="11.1" customHeight="1" outlineLevel="5" x14ac:dyDescent="0.2">
      <c r="A294" s="235" t="s">
        <v>262</v>
      </c>
      <c r="B294" s="362">
        <v>5825103.6699999999</v>
      </c>
      <c r="C294" s="287">
        <v>5961881.2199999997</v>
      </c>
      <c r="D294" s="287">
        <v>6034046</v>
      </c>
      <c r="E294" s="287">
        <v>6034046</v>
      </c>
      <c r="F294" s="237">
        <f t="shared" si="20"/>
        <v>72164.780000000261</v>
      </c>
      <c r="G294" s="236">
        <f t="shared" si="19"/>
        <v>1.2104363930953932E-2</v>
      </c>
    </row>
    <row r="295" spans="1:7" ht="11.1" customHeight="1" outlineLevel="5" x14ac:dyDescent="0.2">
      <c r="A295" s="235" t="s">
        <v>263</v>
      </c>
      <c r="B295" s="362">
        <v>-23129.62</v>
      </c>
      <c r="C295" s="287">
        <v>84566.34</v>
      </c>
      <c r="D295" s="287">
        <v>5018.05</v>
      </c>
      <c r="E295" s="287">
        <v>5018.05</v>
      </c>
      <c r="F295" s="237">
        <f t="shared" si="20"/>
        <v>-79548.289999999994</v>
      </c>
      <c r="G295" s="236">
        <f t="shared" si="19"/>
        <v>-0.94066137898364766</v>
      </c>
    </row>
    <row r="296" spans="1:7" ht="11.1" customHeight="1" outlineLevel="5" x14ac:dyDescent="0.2">
      <c r="A296" s="235" t="s">
        <v>264</v>
      </c>
      <c r="B296" s="362">
        <v>13324510.58</v>
      </c>
      <c r="C296" s="287">
        <v>8811652.3499999996</v>
      </c>
      <c r="D296" s="287">
        <v>4670135.53</v>
      </c>
      <c r="E296" s="287">
        <v>4670135.53</v>
      </c>
      <c r="F296" s="237">
        <f t="shared" si="20"/>
        <v>-4141516.8199999994</v>
      </c>
      <c r="G296" s="236">
        <f t="shared" si="19"/>
        <v>-0.4700045638999818</v>
      </c>
    </row>
    <row r="297" spans="1:7" ht="11.1" customHeight="1" outlineLevel="5" x14ac:dyDescent="0.2">
      <c r="A297" s="235" t="s">
        <v>265</v>
      </c>
      <c r="B297" s="362">
        <v>8267195.4699999997</v>
      </c>
      <c r="C297" s="287">
        <v>6976204.0599999996</v>
      </c>
      <c r="D297" s="287">
        <v>9442859.9100000001</v>
      </c>
      <c r="E297" s="287">
        <v>9442859.9100000001</v>
      </c>
      <c r="F297" s="237">
        <f t="shared" si="20"/>
        <v>2466655.8500000006</v>
      </c>
      <c r="G297" s="236">
        <f t="shared" si="19"/>
        <v>0.35358137875341922</v>
      </c>
    </row>
    <row r="298" spans="1:7" ht="11.1" customHeight="1" outlineLevel="4" x14ac:dyDescent="0.2">
      <c r="A298" s="240" t="s">
        <v>266</v>
      </c>
      <c r="B298" s="362">
        <v>64936.33</v>
      </c>
      <c r="C298" s="287">
        <v>59331</v>
      </c>
      <c r="D298" s="287">
        <v>8776.84</v>
      </c>
      <c r="E298" s="287">
        <v>8776.84</v>
      </c>
      <c r="F298" s="237">
        <f t="shared" si="20"/>
        <v>-50554.16</v>
      </c>
      <c r="G298" s="236">
        <f t="shared" si="19"/>
        <v>-0.85206991286174172</v>
      </c>
    </row>
    <row r="299" spans="1:7" ht="11.1" customHeight="1" outlineLevel="4" x14ac:dyDescent="0.2">
      <c r="A299" s="240" t="s">
        <v>254</v>
      </c>
      <c r="B299" s="362">
        <v>9267953.7300000004</v>
      </c>
      <c r="C299" s="287">
        <v>1493814.54</v>
      </c>
      <c r="D299" s="287">
        <v>11593460.9</v>
      </c>
      <c r="E299" s="287">
        <v>11593460.9</v>
      </c>
      <c r="F299" s="237">
        <f t="shared" si="20"/>
        <v>10099646.359999999</v>
      </c>
      <c r="G299" s="236">
        <f t="shared" si="19"/>
        <v>6.7609774102212183</v>
      </c>
    </row>
    <row r="300" spans="1:7" ht="11.1" customHeight="1" outlineLevel="4" x14ac:dyDescent="0.2">
      <c r="A300" s="240" t="s">
        <v>267</v>
      </c>
      <c r="B300" s="363">
        <v>0</v>
      </c>
      <c r="C300" s="287">
        <v>2130527.71</v>
      </c>
      <c r="D300" s="287">
        <v>1687727.52</v>
      </c>
      <c r="E300" s="287">
        <v>1687727.52</v>
      </c>
      <c r="F300" s="237">
        <f t="shared" si="20"/>
        <v>-442800.18999999994</v>
      </c>
      <c r="G300" s="236">
        <f t="shared" si="19"/>
        <v>-0.20783592155203645</v>
      </c>
    </row>
    <row r="301" spans="1:7" ht="11.1" customHeight="1" outlineLevel="4" x14ac:dyDescent="0.2">
      <c r="A301" s="240" t="s">
        <v>58</v>
      </c>
      <c r="B301" s="362">
        <v>2281038.4300000002</v>
      </c>
      <c r="C301" s="287">
        <v>1300000</v>
      </c>
      <c r="D301" s="287">
        <v>-10422472.539999999</v>
      </c>
      <c r="E301" s="287">
        <v>-10422472.539999999</v>
      </c>
      <c r="F301" s="237">
        <f t="shared" si="20"/>
        <v>-11722472.539999999</v>
      </c>
      <c r="G301" s="236">
        <f t="shared" si="19"/>
        <v>-9.0172865692307678</v>
      </c>
    </row>
    <row r="302" spans="1:7" ht="11.1" customHeight="1" outlineLevel="4" x14ac:dyDescent="0.2">
      <c r="A302" s="240" t="s">
        <v>268</v>
      </c>
      <c r="B302" s="362">
        <v>2477959.31</v>
      </c>
      <c r="C302" s="287">
        <v>4650000</v>
      </c>
      <c r="D302" s="287">
        <v>4584983.08</v>
      </c>
      <c r="E302" s="287">
        <v>4584983.08</v>
      </c>
      <c r="F302" s="237">
        <f t="shared" si="20"/>
        <v>-65016.919999999925</v>
      </c>
      <c r="G302" s="236">
        <f t="shared" si="19"/>
        <v>-1.3982133333333313E-2</v>
      </c>
    </row>
    <row r="303" spans="1:7" ht="11.1" customHeight="1" outlineLevel="4" x14ac:dyDescent="0.2">
      <c r="A303" s="240" t="s">
        <v>269</v>
      </c>
      <c r="B303" s="362">
        <v>7500</v>
      </c>
      <c r="C303" s="287">
        <v>0</v>
      </c>
      <c r="D303" s="287">
        <v>15000</v>
      </c>
      <c r="E303" s="287">
        <v>15000</v>
      </c>
      <c r="F303" s="237">
        <f t="shared" si="20"/>
        <v>15000</v>
      </c>
      <c r="G303" s="236" t="e">
        <f t="shared" si="19"/>
        <v>#DIV/0!</v>
      </c>
    </row>
    <row r="304" spans="1:7" ht="11.1" customHeight="1" outlineLevel="4" x14ac:dyDescent="0.2">
      <c r="A304" s="240" t="s">
        <v>819</v>
      </c>
      <c r="B304" s="363">
        <v>0</v>
      </c>
      <c r="C304" s="287">
        <v>0</v>
      </c>
      <c r="D304" s="287">
        <v>1789364.83</v>
      </c>
      <c r="E304" s="287">
        <v>1789364.83</v>
      </c>
      <c r="F304" s="237">
        <f t="shared" si="20"/>
        <v>1789364.83</v>
      </c>
      <c r="G304" s="236" t="e">
        <f t="shared" si="19"/>
        <v>#DIV/0!</v>
      </c>
    </row>
    <row r="305" spans="1:7" ht="11.1" customHeight="1" outlineLevel="4" x14ac:dyDescent="0.2">
      <c r="A305" s="240" t="s">
        <v>271</v>
      </c>
      <c r="B305" s="362">
        <v>30293.57</v>
      </c>
      <c r="C305" s="287">
        <v>0</v>
      </c>
      <c r="D305" s="287">
        <v>32827.94</v>
      </c>
      <c r="E305" s="287">
        <v>32827.94</v>
      </c>
      <c r="F305" s="237">
        <f t="shared" si="20"/>
        <v>32827.94</v>
      </c>
      <c r="G305" s="236" t="e">
        <f t="shared" si="19"/>
        <v>#DIV/0!</v>
      </c>
    </row>
    <row r="306" spans="1:7" ht="11.1" customHeight="1" outlineLevel="4" x14ac:dyDescent="0.2">
      <c r="A306" s="240" t="s">
        <v>272</v>
      </c>
      <c r="B306" s="363">
        <v>0</v>
      </c>
      <c r="C306" s="287">
        <v>0</v>
      </c>
      <c r="D306" s="287">
        <v>0</v>
      </c>
      <c r="E306" s="287">
        <v>0</v>
      </c>
      <c r="F306" s="237">
        <f t="shared" si="20"/>
        <v>0</v>
      </c>
      <c r="G306" s="236" t="e">
        <f t="shared" si="19"/>
        <v>#DIV/0!</v>
      </c>
    </row>
    <row r="307" spans="1:7" ht="11.1" customHeight="1" outlineLevel="1" x14ac:dyDescent="0.2">
      <c r="A307" s="247" t="s">
        <v>273</v>
      </c>
      <c r="B307" s="362">
        <v>7068085.4800000004</v>
      </c>
      <c r="C307" s="287">
        <v>-13813063.949999999</v>
      </c>
      <c r="D307" s="287">
        <v>28410796.260000002</v>
      </c>
      <c r="E307" s="287">
        <v>28410796.260000002</v>
      </c>
      <c r="F307" s="368">
        <f t="shared" si="20"/>
        <v>42223860.210000001</v>
      </c>
      <c r="G307" s="236">
        <f t="shared" si="19"/>
        <v>-3.0568062497097181</v>
      </c>
    </row>
    <row r="308" spans="1:7" ht="11.1" customHeight="1" outlineLevel="1" x14ac:dyDescent="0.2">
      <c r="A308" s="247" t="s">
        <v>274</v>
      </c>
      <c r="B308" s="365">
        <v>500.77</v>
      </c>
      <c r="C308" s="287">
        <v>0</v>
      </c>
      <c r="D308" s="287">
        <v>-232145.42</v>
      </c>
      <c r="E308" s="287">
        <v>-232145.42</v>
      </c>
      <c r="F308" s="237">
        <f t="shared" si="20"/>
        <v>-232145.42</v>
      </c>
      <c r="G308" s="236" t="e">
        <f t="shared" si="19"/>
        <v>#DIV/0!</v>
      </c>
    </row>
    <row r="310" spans="1:7" ht="11.45" customHeight="1" x14ac:dyDescent="0.2">
      <c r="B310" s="219">
        <v>-1</v>
      </c>
      <c r="C310" s="289">
        <f>C119+C307+C308</f>
        <v>6230417245.5</v>
      </c>
      <c r="D310" s="289">
        <f t="shared" ref="D310:E310" si="21">D119+D307+D308</f>
        <v>6357556456.6399994</v>
      </c>
      <c r="E310" s="289">
        <f t="shared" si="21"/>
        <v>6357556456.6399994</v>
      </c>
      <c r="F310" s="225">
        <f t="shared" ref="F310" si="22">D310-C310</f>
        <v>127139211.13999939</v>
      </c>
      <c r="G310" s="224">
        <f t="shared" ref="G310" si="23">D310/C310-1</f>
        <v>2.040621135475762E-2</v>
      </c>
    </row>
  </sheetData>
  <mergeCells count="1">
    <mergeCell ref="C5:G5"/>
  </mergeCells>
  <conditionalFormatting sqref="G7:G44 G46:G60 G120">
    <cfRule type="cellIs" dxfId="46" priority="3" operator="lessThan">
      <formula>0</formula>
    </cfRule>
  </conditionalFormatting>
  <conditionalFormatting sqref="G119 G121:G308">
    <cfRule type="cellIs" dxfId="45" priority="2" operator="greaterThan">
      <formula>0</formula>
    </cfRule>
  </conditionalFormatting>
  <conditionalFormatting sqref="G310">
    <cfRule type="cellIs" dxfId="44" priority="1" operator="greaterThan">
      <formula>0</formula>
    </cfRule>
  </conditionalFormatting>
  <pageMargins left="0.75" right="1" top="0.75" bottom="1" header="0.5" footer="0.5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49" sqref="B49"/>
    </sheetView>
  </sheetViews>
  <sheetFormatPr defaultRowHeight="15" x14ac:dyDescent="0.25"/>
  <cols>
    <col min="1" max="1" width="65.42578125" customWidth="1"/>
    <col min="2" max="5" width="33.42578125" customWidth="1"/>
  </cols>
  <sheetData>
    <row r="1" spans="1:7" ht="17.25" customHeight="1" thickBot="1" x14ac:dyDescent="0.3">
      <c r="A1" s="248" t="s">
        <v>794</v>
      </c>
      <c r="B1" s="249" t="s">
        <v>795</v>
      </c>
      <c r="C1" s="249" t="s">
        <v>796</v>
      </c>
      <c r="D1" s="249" t="s">
        <v>797</v>
      </c>
      <c r="E1" s="250" t="s">
        <v>798</v>
      </c>
      <c r="G1">
        <v>1000</v>
      </c>
    </row>
    <row r="2" spans="1:7" ht="17.25" customHeight="1" x14ac:dyDescent="0.25">
      <c r="A2" s="251" t="s">
        <v>799</v>
      </c>
      <c r="B2" s="252">
        <f>(ФГУП!C121)/1000</f>
        <v>492776.49823000003</v>
      </c>
      <c r="C2" s="252">
        <f>(ФГУП!D121)/1000</f>
        <v>528922.98910999997</v>
      </c>
      <c r="D2" s="252">
        <f>C2-B2</f>
        <v>36146.490879999939</v>
      </c>
      <c r="E2" s="253">
        <f>C2/B2-1</f>
        <v>7.3352708600824545E-2</v>
      </c>
    </row>
    <row r="3" spans="1:7" ht="15" customHeight="1" x14ac:dyDescent="0.25">
      <c r="A3" s="254" t="s">
        <v>800</v>
      </c>
      <c r="B3" s="255">
        <f>(ФГУП!C123)/1000</f>
        <v>313352.81936000002</v>
      </c>
      <c r="C3" s="255">
        <f>(ФГУП!D123)/1000</f>
        <v>325908.86275999999</v>
      </c>
      <c r="D3" s="255">
        <f t="shared" ref="D3:D21" si="0">C3-B3</f>
        <v>12556.043399999966</v>
      </c>
      <c r="E3" s="256">
        <f t="shared" ref="E3:E21" si="1">C3/B3-1</f>
        <v>4.0069987005844521E-2</v>
      </c>
    </row>
    <row r="4" spans="1:7" ht="17.25" customHeight="1" x14ac:dyDescent="0.25">
      <c r="A4" s="254" t="s">
        <v>801</v>
      </c>
      <c r="B4" s="255">
        <f>(B2-B3)</f>
        <v>179423.67887</v>
      </c>
      <c r="C4" s="255">
        <f>(C2-C3)</f>
        <v>203014.12634999998</v>
      </c>
      <c r="D4" s="255">
        <f t="shared" si="0"/>
        <v>23590.447479999973</v>
      </c>
      <c r="E4" s="256">
        <f t="shared" si="1"/>
        <v>0.13147900895005193</v>
      </c>
    </row>
    <row r="5" spans="1:7" ht="17.25" customHeight="1" x14ac:dyDescent="0.25">
      <c r="A5" s="257" t="s">
        <v>802</v>
      </c>
      <c r="B5" s="258">
        <f>(SUM(B6:B10))</f>
        <v>316221.82628000004</v>
      </c>
      <c r="C5" s="258">
        <f>(SUM(C6:C10))</f>
        <v>577438.22918000002</v>
      </c>
      <c r="D5" s="258">
        <f t="shared" si="0"/>
        <v>261216.40289999999</v>
      </c>
      <c r="E5" s="259">
        <f t="shared" si="1"/>
        <v>0.8260543112185581</v>
      </c>
    </row>
    <row r="6" spans="1:7" ht="17.25" customHeight="1" x14ac:dyDescent="0.25">
      <c r="A6" s="254" t="s">
        <v>803</v>
      </c>
      <c r="B6" s="255">
        <f>(ФГУП!C154)/1000</f>
        <v>194168.56874000002</v>
      </c>
      <c r="C6" s="255">
        <f>(ФГУП!D154)/1000</f>
        <v>230446.32793999999</v>
      </c>
      <c r="D6" s="255">
        <f t="shared" si="0"/>
        <v>36277.759199999971</v>
      </c>
      <c r="E6" s="256">
        <f t="shared" si="1"/>
        <v>0.18683641454131239</v>
      </c>
    </row>
    <row r="7" spans="1:7" ht="17.25" customHeight="1" x14ac:dyDescent="0.25">
      <c r="A7" s="254" t="s">
        <v>804</v>
      </c>
      <c r="B7" s="255">
        <f>(ФГУП!C157)/1000</f>
        <v>118083.15405</v>
      </c>
      <c r="C7" s="255">
        <f>(ФГУП!D157)/1000</f>
        <v>341353.31251000002</v>
      </c>
      <c r="D7" s="255">
        <f t="shared" si="0"/>
        <v>223270.15846000001</v>
      </c>
      <c r="E7" s="256">
        <f t="shared" si="1"/>
        <v>1.8907875577701851</v>
      </c>
    </row>
    <row r="8" spans="1:7" ht="17.25" customHeight="1" x14ac:dyDescent="0.25">
      <c r="A8" s="254" t="s">
        <v>823</v>
      </c>
      <c r="B8" s="255">
        <f>(ФГУП!C160)/1000</f>
        <v>3130.0212299999998</v>
      </c>
      <c r="C8" s="255">
        <f>(ФГУП!D160)/1000</f>
        <v>3890.6852899999999</v>
      </c>
      <c r="D8" s="255">
        <f t="shared" si="0"/>
        <v>760.66406000000006</v>
      </c>
      <c r="E8" s="256">
        <f t="shared" si="1"/>
        <v>0.2430220129848768</v>
      </c>
    </row>
    <row r="9" spans="1:7" ht="17.25" customHeight="1" x14ac:dyDescent="0.25">
      <c r="A9" s="254" t="s">
        <v>805</v>
      </c>
      <c r="B9" s="255">
        <f>(ФГУП!C167)/1000</f>
        <v>547.66786000000002</v>
      </c>
      <c r="C9" s="255">
        <f>(ФГУП!D167)/1000</f>
        <v>1184.9918</v>
      </c>
      <c r="D9" s="255">
        <f t="shared" si="0"/>
        <v>637.32393999999999</v>
      </c>
      <c r="E9" s="256">
        <f t="shared" si="1"/>
        <v>1.1637052062905426</v>
      </c>
    </row>
    <row r="10" spans="1:7" ht="17.25" customHeight="1" x14ac:dyDescent="0.25">
      <c r="A10" s="254" t="s">
        <v>850</v>
      </c>
      <c r="B10" s="255">
        <f>ФГУП!C168/1000</f>
        <v>292.4144</v>
      </c>
      <c r="C10" s="255">
        <f>ФГУП!D168/1000</f>
        <v>562.91164000000003</v>
      </c>
      <c r="D10" s="255">
        <f t="shared" ref="D10" si="2">C10-B10</f>
        <v>270.49724000000003</v>
      </c>
      <c r="E10" s="256">
        <f t="shared" ref="E10" si="3">C10/B10-1</f>
        <v>0.925047603674785</v>
      </c>
    </row>
    <row r="11" spans="1:7" ht="17.25" customHeight="1" x14ac:dyDescent="0.25">
      <c r="A11" s="254" t="s">
        <v>824</v>
      </c>
      <c r="B11" s="255">
        <f>(ФГУП!C173)/1000</f>
        <v>3331.2961</v>
      </c>
      <c r="C11" s="255">
        <f>(ФГУП!D173)/1000</f>
        <v>4530.6724699999995</v>
      </c>
      <c r="D11" s="255">
        <f t="shared" ref="D11" si="4">C11-B11</f>
        <v>1199.3763699999995</v>
      </c>
      <c r="E11" s="256">
        <f t="shared" ref="E11" si="5">C11/B11-1</f>
        <v>0.36003295233948118</v>
      </c>
    </row>
    <row r="12" spans="1:7" ht="17.25" customHeight="1" x14ac:dyDescent="0.25">
      <c r="A12" s="257" t="s">
        <v>806</v>
      </c>
      <c r="B12" s="258">
        <f>(ФГУП!C136+ФГУП!C230)/1000</f>
        <v>92261.120319999987</v>
      </c>
      <c r="C12" s="258">
        <f>(ФГУП!D136+ФГУП!D230)/1000</f>
        <v>122726.54009000001</v>
      </c>
      <c r="D12" s="258">
        <f t="shared" si="0"/>
        <v>30465.419770000022</v>
      </c>
      <c r="E12" s="259">
        <f t="shared" si="1"/>
        <v>0.33020864763329616</v>
      </c>
    </row>
    <row r="13" spans="1:7" ht="17.25" customHeight="1" x14ac:dyDescent="0.25">
      <c r="A13" s="257" t="s">
        <v>807</v>
      </c>
      <c r="B13" s="258">
        <f>(ФГУП!C288)/1000</f>
        <v>170</v>
      </c>
      <c r="C13" s="258">
        <f>(ФГУП!D288)/1000</f>
        <v>26166.080969999999</v>
      </c>
      <c r="D13" s="258">
        <f t="shared" si="0"/>
        <v>25996.080969999999</v>
      </c>
      <c r="E13" s="259">
        <f t="shared" si="1"/>
        <v>152.91812335294117</v>
      </c>
    </row>
    <row r="14" spans="1:7" ht="17.25" customHeight="1" x14ac:dyDescent="0.25">
      <c r="A14" s="257" t="s">
        <v>808</v>
      </c>
      <c r="B14" s="258">
        <f>(ФГУП!C298)/1000</f>
        <v>1290.9213200000002</v>
      </c>
      <c r="C14" s="258">
        <f>(ФГУП!D298)/1000</f>
        <v>9275.3405999999995</v>
      </c>
      <c r="D14" s="258">
        <f t="shared" si="0"/>
        <v>7984.4192799999992</v>
      </c>
      <c r="E14" s="259">
        <f t="shared" si="1"/>
        <v>6.1850549342542411</v>
      </c>
    </row>
    <row r="15" spans="1:7" ht="17.25" customHeight="1" x14ac:dyDescent="0.25">
      <c r="A15" s="257" t="s">
        <v>809</v>
      </c>
      <c r="B15" s="258">
        <f>(ФГУП!C133)/1000</f>
        <v>19521.118850000003</v>
      </c>
      <c r="C15" s="258">
        <f>(ФГУП!D133)/1000</f>
        <v>21742.045829999999</v>
      </c>
      <c r="D15" s="258">
        <f t="shared" si="0"/>
        <v>2220.9269799999965</v>
      </c>
      <c r="E15" s="259">
        <f t="shared" si="1"/>
        <v>0.11377047581470956</v>
      </c>
    </row>
    <row r="16" spans="1:7" ht="17.25" customHeight="1" x14ac:dyDescent="0.25">
      <c r="A16" s="254" t="s">
        <v>825</v>
      </c>
      <c r="B16" s="255">
        <f>(ФГУП!C225)/1000</f>
        <v>2507.6332699999998</v>
      </c>
      <c r="C16" s="255">
        <f>(ФГУП!D225)/1000</f>
        <v>10230.784730000001</v>
      </c>
      <c r="D16" s="255">
        <f t="shared" ref="D16:D17" si="6">C16-B16</f>
        <v>7723.151460000001</v>
      </c>
      <c r="E16" s="256">
        <f t="shared" ref="E16:E17" si="7">C16/B16-1</f>
        <v>3.0798568324944906</v>
      </c>
    </row>
    <row r="17" spans="1:5" ht="17.25" customHeight="1" x14ac:dyDescent="0.25">
      <c r="A17" s="254" t="s">
        <v>810</v>
      </c>
      <c r="B17" s="255">
        <f>(ФГУП!C220)/1000</f>
        <v>6287.3674099999998</v>
      </c>
      <c r="C17" s="255">
        <f>(ФГУП!D220)/1000</f>
        <v>8847.9213500000005</v>
      </c>
      <c r="D17" s="255">
        <f t="shared" si="6"/>
        <v>2560.5539400000007</v>
      </c>
      <c r="E17" s="256">
        <f t="shared" si="7"/>
        <v>0.40725374755855093</v>
      </c>
    </row>
    <row r="18" spans="1:5" ht="17.25" customHeight="1" x14ac:dyDescent="0.25">
      <c r="A18" s="254" t="s">
        <v>811</v>
      </c>
      <c r="B18" s="255">
        <f>(ФГУП!C259)/1000</f>
        <v>10620.688320000001</v>
      </c>
      <c r="C18" s="255">
        <f>(ФГУП!D259)/1000</f>
        <v>13610.620650000001</v>
      </c>
      <c r="D18" s="255">
        <f t="shared" si="0"/>
        <v>2989.9323299999996</v>
      </c>
      <c r="E18" s="256">
        <f t="shared" si="1"/>
        <v>0.28151963789104006</v>
      </c>
    </row>
    <row r="19" spans="1:5" ht="17.25" customHeight="1" x14ac:dyDescent="0.25">
      <c r="A19" s="254" t="s">
        <v>822</v>
      </c>
      <c r="B19" s="255">
        <f>(ФГУП!C263)/1000</f>
        <v>577.0625500000001</v>
      </c>
      <c r="C19" s="255">
        <f>(ФГУП!D263)/1000</f>
        <v>987.39899000000003</v>
      </c>
      <c r="D19" s="255">
        <f t="shared" ref="D19" si="8">C19-B19</f>
        <v>410.33643999999993</v>
      </c>
      <c r="E19" s="256">
        <f t="shared" ref="E19" si="9">C19/B19-1</f>
        <v>0.71107792387497648</v>
      </c>
    </row>
    <row r="20" spans="1:5" ht="17.25" customHeight="1" x14ac:dyDescent="0.25">
      <c r="A20" s="254" t="s">
        <v>812</v>
      </c>
      <c r="B20" s="255">
        <f>(ФГУП!C286)/1000</f>
        <v>2288.35</v>
      </c>
      <c r="C20" s="255">
        <f>(ФГУП!D286)/1000</f>
        <v>8518.9993599999998</v>
      </c>
      <c r="D20" s="255">
        <f t="shared" si="0"/>
        <v>6230.6493599999994</v>
      </c>
      <c r="E20" s="256">
        <f t="shared" si="1"/>
        <v>2.7227694015338564</v>
      </c>
    </row>
    <row r="21" spans="1:5" ht="17.25" customHeight="1" thickBot="1" x14ac:dyDescent="0.3">
      <c r="A21" s="260" t="s">
        <v>849</v>
      </c>
      <c r="B21" s="261">
        <f>ФГУП!C287/1000</f>
        <v>635.55999999999995</v>
      </c>
      <c r="C21" s="261">
        <f>ФГУП!D287/1000</f>
        <v>2180.0741600000001</v>
      </c>
      <c r="D21" s="261">
        <f t="shared" si="0"/>
        <v>1544.5141600000002</v>
      </c>
      <c r="E21" s="262">
        <f t="shared" si="1"/>
        <v>2.4301626282333695</v>
      </c>
    </row>
    <row r="41" spans="1:2" x14ac:dyDescent="0.25">
      <c r="A41" t="s">
        <v>826</v>
      </c>
      <c r="B41" s="176">
        <f>D7</f>
        <v>223270.15846000001</v>
      </c>
    </row>
    <row r="42" spans="1:2" x14ac:dyDescent="0.25">
      <c r="A42" t="str">
        <f>A6</f>
        <v xml:space="preserve">      Железнодорожные перевозки грузов</v>
      </c>
      <c r="B42" s="176">
        <f>D6</f>
        <v>36277.759199999971</v>
      </c>
    </row>
    <row r="43" spans="1:2" x14ac:dyDescent="0.25">
      <c r="A43" t="str">
        <f>A12</f>
        <v xml:space="preserve">  Амортизация</v>
      </c>
      <c r="B43" s="176">
        <f>D12</f>
        <v>30465.419770000022</v>
      </c>
    </row>
    <row r="44" spans="1:2" x14ac:dyDescent="0.25">
      <c r="A44" t="str">
        <f>A13</f>
        <v xml:space="preserve">  Убытки прошлых лет</v>
      </c>
      <c r="B44" s="176">
        <f>D13</f>
        <v>25996.080969999999</v>
      </c>
    </row>
    <row r="45" spans="1:2" x14ac:dyDescent="0.25">
      <c r="A45" t="str">
        <f>A4</f>
        <v xml:space="preserve">      Ремонт, ТО, Запчасти, Масла</v>
      </c>
      <c r="B45" s="176">
        <f>D4</f>
        <v>23590.447479999973</v>
      </c>
    </row>
    <row r="46" spans="1:2" x14ac:dyDescent="0.25">
      <c r="A46" t="str">
        <f>A3</f>
        <v xml:space="preserve">      ГСМ</v>
      </c>
      <c r="B46" s="176">
        <f>D3</f>
        <v>12556.043399999966</v>
      </c>
    </row>
    <row r="47" spans="1:2" x14ac:dyDescent="0.25">
      <c r="A47" t="str">
        <f>A14</f>
        <v xml:space="preserve">  Прочие расходы</v>
      </c>
      <c r="B47" s="176">
        <f>D14</f>
        <v>7984.4192799999992</v>
      </c>
    </row>
    <row r="48" spans="1:2" x14ac:dyDescent="0.25">
      <c r="A48" t="str">
        <f>A16</f>
        <v xml:space="preserve">  ОС до 40000 техника связи</v>
      </c>
      <c r="B48" s="176">
        <f>D16</f>
        <v>7723.151460000001</v>
      </c>
    </row>
    <row r="49" spans="1:2" x14ac:dyDescent="0.25">
      <c r="A49" t="str">
        <f>A20</f>
        <v xml:space="preserve">  Штрафы, пени</v>
      </c>
      <c r="B49" s="176">
        <f>D20</f>
        <v>6230.6493599999994</v>
      </c>
    </row>
    <row r="50" spans="1:2" x14ac:dyDescent="0.25">
      <c r="A50" t="str">
        <f>A18</f>
        <v xml:space="preserve">  Программное обеспечение (включая лицензии на ПО)</v>
      </c>
      <c r="B50" s="176">
        <f>D18</f>
        <v>2989.9323299999996</v>
      </c>
    </row>
    <row r="51" spans="1:2" x14ac:dyDescent="0.25">
      <c r="A51" t="str">
        <f>A17</f>
        <v xml:space="preserve">  Хозтовары и стройматериалы</v>
      </c>
      <c r="B51" s="176">
        <f>D17</f>
        <v>2560.5539400000007</v>
      </c>
    </row>
    <row r="52" spans="1:2" x14ac:dyDescent="0.25">
      <c r="A52" t="str">
        <f>A15</f>
        <v xml:space="preserve">  Расходы на форменное обмундирование ОПП</v>
      </c>
      <c r="B52" s="176">
        <f>D15</f>
        <v>2220.9269799999965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view="pageBreakPreview" topLeftCell="A7" zoomScale="115" zoomScaleNormal="100" zoomScaleSheetLayoutView="115" workbookViewId="0">
      <selection activeCell="U7" sqref="U7:U50"/>
    </sheetView>
  </sheetViews>
  <sheetFormatPr defaultRowHeight="15" x14ac:dyDescent="0.25"/>
  <cols>
    <col min="1" max="1" width="48.28515625" style="49" customWidth="1"/>
    <col min="2" max="5" width="10.85546875" style="49" customWidth="1"/>
    <col min="6" max="21" width="12.140625" style="49" customWidth="1"/>
    <col min="22" max="16384" width="9.140625" style="49"/>
  </cols>
  <sheetData>
    <row r="1" spans="1:23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3" x14ac:dyDescent="0.25">
      <c r="A2" s="51" t="s">
        <v>387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3" ht="15.75" thickBo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3" ht="15" customHeight="1" thickBot="1" x14ac:dyDescent="0.3">
      <c r="A4" s="413" t="s">
        <v>277</v>
      </c>
      <c r="B4" s="483" t="s">
        <v>393</v>
      </c>
      <c r="C4" s="484"/>
      <c r="D4" s="484"/>
      <c r="E4" s="485"/>
      <c r="F4" s="475" t="s">
        <v>365</v>
      </c>
      <c r="G4" s="476"/>
      <c r="H4" s="476"/>
      <c r="I4" s="477"/>
      <c r="J4" s="478" t="s">
        <v>392</v>
      </c>
      <c r="K4" s="479"/>
      <c r="L4" s="480" t="s">
        <v>366</v>
      </c>
      <c r="M4" s="480"/>
      <c r="N4" s="481"/>
      <c r="O4" s="482" t="s">
        <v>7</v>
      </c>
      <c r="P4" s="482"/>
      <c r="Q4" s="482"/>
      <c r="R4" s="482"/>
      <c r="S4" s="472" t="s">
        <v>394</v>
      </c>
      <c r="T4" s="473"/>
      <c r="U4" s="474"/>
    </row>
    <row r="5" spans="1:23" ht="45.75" thickBot="1" x14ac:dyDescent="0.3">
      <c r="A5" s="416"/>
      <c r="B5" s="129" t="s">
        <v>388</v>
      </c>
      <c r="C5" s="106" t="s">
        <v>389</v>
      </c>
      <c r="D5" s="106" t="s">
        <v>390</v>
      </c>
      <c r="E5" s="130" t="s">
        <v>391</v>
      </c>
      <c r="F5" s="87" t="s">
        <v>388</v>
      </c>
      <c r="G5" s="52" t="s">
        <v>389</v>
      </c>
      <c r="H5" s="52" t="s">
        <v>390</v>
      </c>
      <c r="I5" s="88" t="s">
        <v>391</v>
      </c>
      <c r="J5" s="104" t="s">
        <v>388</v>
      </c>
      <c r="K5" s="128" t="s">
        <v>389</v>
      </c>
      <c r="L5" s="127" t="s">
        <v>388</v>
      </c>
      <c r="M5" s="53" t="s">
        <v>389</v>
      </c>
      <c r="N5" s="98" t="s">
        <v>390</v>
      </c>
      <c r="O5" s="54" t="s">
        <v>388</v>
      </c>
      <c r="P5" s="54" t="s">
        <v>389</v>
      </c>
      <c r="Q5" s="54" t="s">
        <v>390</v>
      </c>
      <c r="R5" s="111" t="s">
        <v>368</v>
      </c>
      <c r="S5" s="117" t="s">
        <v>388</v>
      </c>
      <c r="T5" s="108" t="s">
        <v>389</v>
      </c>
      <c r="U5" s="118" t="s">
        <v>390</v>
      </c>
    </row>
    <row r="6" spans="1:23" x14ac:dyDescent="0.25">
      <c r="A6" s="56" t="s">
        <v>278</v>
      </c>
      <c r="B6" s="89">
        <v>11060318.474479999</v>
      </c>
      <c r="C6" s="57">
        <v>10507798.040659999</v>
      </c>
      <c r="D6" s="57">
        <f t="shared" ref="D6:D37" si="0">C6-B6</f>
        <v>-552520.43381999992</v>
      </c>
      <c r="E6" s="58">
        <f t="shared" ref="E6:E37" si="1">IFERROR(C6/B6,0)</f>
        <v>0.95004479888216087</v>
      </c>
      <c r="F6" s="89">
        <f>данные!B6</f>
        <v>5451533.7048800001</v>
      </c>
      <c r="G6" s="57">
        <f>данные!C6</f>
        <v>6040335.18836</v>
      </c>
      <c r="H6" s="57">
        <f t="shared" ref="H6:H37" si="2">G6-F6</f>
        <v>588801.48347999994</v>
      </c>
      <c r="I6" s="58">
        <f t="shared" ref="I6:I37" si="3">IFERROR(G6/F6,0)</f>
        <v>1.1080065749117405</v>
      </c>
      <c r="J6" s="89">
        <f>данные!I6</f>
        <v>0</v>
      </c>
      <c r="K6" s="57">
        <f>данные!J6</f>
        <v>0</v>
      </c>
      <c r="L6" s="89">
        <f>данные!P6</f>
        <v>6245857.5046799993</v>
      </c>
      <c r="M6" s="57">
        <f>данные!Q6</f>
        <v>6329377.8057999993</v>
      </c>
      <c r="N6" s="99">
        <f t="shared" ref="N6:N37" si="4">M6-L6</f>
        <v>83520.30111999996</v>
      </c>
      <c r="O6" s="89">
        <f>данные!S6</f>
        <v>-100076.09262000001</v>
      </c>
      <c r="P6" s="57">
        <f>данные!T6</f>
        <v>-54430.628320000003</v>
      </c>
      <c r="Q6" s="57">
        <f t="shared" ref="Q6:Q37" si="5">P6-O6</f>
        <v>45645.464300000007</v>
      </c>
      <c r="R6" s="112">
        <f t="shared" ref="R6:R23" si="6">IFERROR(P6/O6,0)</f>
        <v>0.54389242120672232</v>
      </c>
      <c r="S6" s="109">
        <f t="shared" ref="S6:S37" si="7">O6/(F6+J6)</f>
        <v>-1.8357419771690267E-2</v>
      </c>
      <c r="T6" s="109">
        <f t="shared" ref="T6:T37" si="8">P6/(G6+K6)</f>
        <v>-9.0111933564366257E-3</v>
      </c>
      <c r="U6" s="119">
        <f t="shared" ref="U6:U37" si="9">T6-S6</f>
        <v>9.3462264152536414E-3</v>
      </c>
      <c r="W6" s="49" t="e">
        <f>VLOOKUP(A6,Лист3!$A$3:$E$74,1,0)</f>
        <v>#N/A</v>
      </c>
    </row>
    <row r="7" spans="1:23" x14ac:dyDescent="0.25">
      <c r="A7" s="142" t="s">
        <v>281</v>
      </c>
      <c r="B7" s="93">
        <v>109032.67481</v>
      </c>
      <c r="C7" s="59">
        <v>119897.28525</v>
      </c>
      <c r="D7" s="59">
        <f t="shared" si="0"/>
        <v>10864.610440000004</v>
      </c>
      <c r="E7" s="58">
        <f t="shared" si="1"/>
        <v>1.0996454545294119</v>
      </c>
      <c r="F7" s="93">
        <f>данные!B9</f>
        <v>47312.657090000001</v>
      </c>
      <c r="G7" s="59">
        <f>данные!C9</f>
        <v>64320.528590000002</v>
      </c>
      <c r="H7" s="59">
        <f t="shared" si="2"/>
        <v>17007.871500000001</v>
      </c>
      <c r="I7" s="58">
        <f t="shared" si="3"/>
        <v>1.359478256899564</v>
      </c>
      <c r="J7" s="93">
        <f>данные!I9</f>
        <v>1634.7853700000001</v>
      </c>
      <c r="K7" s="59">
        <f>данные!J9</f>
        <v>15383.939259999999</v>
      </c>
      <c r="L7" s="93">
        <f>данные!P9</f>
        <v>64452.135190000001</v>
      </c>
      <c r="M7" s="59">
        <f>данные!Q9</f>
        <v>78934.30863</v>
      </c>
      <c r="N7" s="90">
        <f t="shared" si="4"/>
        <v>14482.173439999999</v>
      </c>
      <c r="O7" s="93">
        <f>данные!S9</f>
        <v>6424.0164699999996</v>
      </c>
      <c r="P7" s="59">
        <f>данные!T9</f>
        <v>1202.5429999999999</v>
      </c>
      <c r="Q7" s="59">
        <f t="shared" si="5"/>
        <v>-5221.4734699999999</v>
      </c>
      <c r="R7" s="112">
        <f t="shared" si="6"/>
        <v>0.18719488121113115</v>
      </c>
      <c r="S7" s="110">
        <f t="shared" si="7"/>
        <v>0.1312431487150677</v>
      </c>
      <c r="T7" s="110">
        <f t="shared" si="8"/>
        <v>1.5087523101755455E-2</v>
      </c>
      <c r="U7" s="120">
        <f t="shared" si="9"/>
        <v>-0.11615562561331225</v>
      </c>
      <c r="W7" s="49" t="e">
        <f>VLOOKUP(A7,Лист3!$A$3:$E$74,1,0)</f>
        <v>#N/A</v>
      </c>
    </row>
    <row r="8" spans="1:23" x14ac:dyDescent="0.25">
      <c r="A8" s="65" t="s">
        <v>282</v>
      </c>
      <c r="B8" s="94">
        <v>68706.569940000001</v>
      </c>
      <c r="C8" s="23">
        <v>59959.96329</v>
      </c>
      <c r="D8" s="23">
        <f t="shared" si="0"/>
        <v>-8746.6066500000015</v>
      </c>
      <c r="E8" s="24">
        <f t="shared" si="1"/>
        <v>0.87269621147383392</v>
      </c>
      <c r="F8" s="94">
        <f>данные!B10</f>
        <v>32518.054660000002</v>
      </c>
      <c r="G8" s="23">
        <f>данные!C10</f>
        <v>36495</v>
      </c>
      <c r="H8" s="23">
        <f t="shared" si="2"/>
        <v>3976.9453399999984</v>
      </c>
      <c r="I8" s="24">
        <f t="shared" si="3"/>
        <v>1.1222996080664069</v>
      </c>
      <c r="J8" s="94">
        <f>данные!I10</f>
        <v>247.78838000000002</v>
      </c>
      <c r="K8" s="23">
        <f>данные!J10</f>
        <v>362.86138</v>
      </c>
      <c r="L8" s="94">
        <f>данные!P10</f>
        <v>30908.79279</v>
      </c>
      <c r="M8" s="23">
        <f>данные!Q10</f>
        <v>28567.207579999998</v>
      </c>
      <c r="N8" s="82">
        <f t="shared" si="4"/>
        <v>-2341.5852100000011</v>
      </c>
      <c r="O8" s="94">
        <f>данные!S10</f>
        <v>4204.6457900000005</v>
      </c>
      <c r="P8" s="23">
        <f>данные!T10</f>
        <v>4667.1964600000001</v>
      </c>
      <c r="Q8" s="23">
        <f t="shared" si="5"/>
        <v>462.55066999999963</v>
      </c>
      <c r="R8" s="113">
        <f t="shared" si="6"/>
        <v>1.1100094260258722</v>
      </c>
      <c r="S8" s="110">
        <f t="shared" si="7"/>
        <v>0.12832405334015176</v>
      </c>
      <c r="T8" s="110">
        <f t="shared" si="8"/>
        <v>0.12662689275109537</v>
      </c>
      <c r="U8" s="121">
        <f t="shared" si="9"/>
        <v>-1.6971605890563901E-3</v>
      </c>
      <c r="W8" s="49" t="str">
        <f>VLOOKUP(A8,Лист3!$A$3:$E$74,1,0)</f>
        <v>УСС по Белгородской области</v>
      </c>
    </row>
    <row r="9" spans="1:23" x14ac:dyDescent="0.25">
      <c r="A9" s="65" t="s">
        <v>283</v>
      </c>
      <c r="B9" s="94">
        <v>61452.232710000004</v>
      </c>
      <c r="C9" s="23">
        <v>59718.961439999999</v>
      </c>
      <c r="D9" s="23">
        <f t="shared" si="0"/>
        <v>-1733.2712700000047</v>
      </c>
      <c r="E9" s="24">
        <f t="shared" si="1"/>
        <v>0.97179482024388752</v>
      </c>
      <c r="F9" s="94">
        <f>данные!B11</f>
        <v>35242.850299999998</v>
      </c>
      <c r="G9" s="23">
        <f>данные!C11</f>
        <v>36305.842700000001</v>
      </c>
      <c r="H9" s="23">
        <f t="shared" si="2"/>
        <v>1062.9924000000028</v>
      </c>
      <c r="I9" s="24">
        <f t="shared" si="3"/>
        <v>1.0301619304611127</v>
      </c>
      <c r="J9" s="94">
        <f>данные!I11</f>
        <v>-3147.8824100000002</v>
      </c>
      <c r="K9" s="23">
        <f>данные!J11</f>
        <v>-4228.0653200000006</v>
      </c>
      <c r="L9" s="94">
        <f>данные!P11</f>
        <v>29037.1649</v>
      </c>
      <c r="M9" s="23">
        <f>данные!Q11</f>
        <v>29180.340929999998</v>
      </c>
      <c r="N9" s="82">
        <f t="shared" si="4"/>
        <v>143.17602999999872</v>
      </c>
      <c r="O9" s="94">
        <f>данные!S11</f>
        <v>3561.6390200000001</v>
      </c>
      <c r="P9" s="23">
        <f>данные!T11</f>
        <v>3296.6362899999999</v>
      </c>
      <c r="Q9" s="23">
        <f t="shared" si="5"/>
        <v>-265.00273000000016</v>
      </c>
      <c r="R9" s="113">
        <f t="shared" si="6"/>
        <v>0.92559528674525804</v>
      </c>
      <c r="S9" s="110">
        <f t="shared" si="7"/>
        <v>0.1109718829508385</v>
      </c>
      <c r="T9" s="110">
        <f t="shared" si="8"/>
        <v>0.10277009690999982</v>
      </c>
      <c r="U9" s="121">
        <f t="shared" si="9"/>
        <v>-8.2017860408386822E-3</v>
      </c>
      <c r="W9" s="49" t="str">
        <f>VLOOKUP(A9,Лист3!$A$3:$E$74,1,0)</f>
        <v>УСС по Брянской области</v>
      </c>
    </row>
    <row r="10" spans="1:23" x14ac:dyDescent="0.25">
      <c r="A10" s="141" t="s">
        <v>284</v>
      </c>
      <c r="B10" s="94">
        <v>175584.90874000001</v>
      </c>
      <c r="C10" s="23">
        <v>182652.82218000002</v>
      </c>
      <c r="D10" s="23">
        <f t="shared" si="0"/>
        <v>7067.9134400000039</v>
      </c>
      <c r="E10" s="24">
        <f t="shared" si="1"/>
        <v>1.0402535359713967</v>
      </c>
      <c r="F10" s="94">
        <f>данные!B12</f>
        <v>98602.304749999996</v>
      </c>
      <c r="G10" s="23">
        <f>данные!C12</f>
        <v>98217.99</v>
      </c>
      <c r="H10" s="23">
        <f t="shared" si="2"/>
        <v>-384.31474999999045</v>
      </c>
      <c r="I10" s="24">
        <f t="shared" si="3"/>
        <v>0.99610237558874104</v>
      </c>
      <c r="J10" s="94">
        <f>данные!I12</f>
        <v>1514.2425499999999</v>
      </c>
      <c r="K10" s="23">
        <f>данные!J12</f>
        <v>-2669.2033500000002</v>
      </c>
      <c r="L10" s="94">
        <f>данные!P12</f>
        <v>87478.167829999991</v>
      </c>
      <c r="M10" s="23">
        <f>данные!Q12</f>
        <v>93466.347569999998</v>
      </c>
      <c r="N10" s="82">
        <f t="shared" si="4"/>
        <v>5988.1797400000069</v>
      </c>
      <c r="O10" s="94">
        <f>данные!S12</f>
        <v>11345.42483</v>
      </c>
      <c r="P10" s="23">
        <f>данные!T12</f>
        <v>9803.2518199999995</v>
      </c>
      <c r="Q10" s="23">
        <f t="shared" si="5"/>
        <v>-1542.1730100000004</v>
      </c>
      <c r="R10" s="113">
        <f t="shared" si="6"/>
        <v>0.86407093316398975</v>
      </c>
      <c r="S10" s="110">
        <f t="shared" si="7"/>
        <v>0.11332217436547576</v>
      </c>
      <c r="T10" s="110">
        <f t="shared" si="8"/>
        <v>0.1025994380850675</v>
      </c>
      <c r="U10" s="121">
        <v>9.9999999999999995E-7</v>
      </c>
      <c r="W10" s="49" t="str">
        <f>VLOOKUP(A10,Лист3!$A$3:$E$74,1,0)</f>
        <v>УСС по Владимирской области</v>
      </c>
    </row>
    <row r="11" spans="1:23" x14ac:dyDescent="0.25">
      <c r="A11" s="65" t="s">
        <v>285</v>
      </c>
      <c r="B11" s="94">
        <v>124324.50362</v>
      </c>
      <c r="C11" s="23">
        <v>137704.84378</v>
      </c>
      <c r="D11" s="23">
        <f t="shared" si="0"/>
        <v>13380.340159999992</v>
      </c>
      <c r="E11" s="24">
        <f t="shared" si="1"/>
        <v>1.107624319988417</v>
      </c>
      <c r="F11" s="94">
        <f>данные!B13</f>
        <v>71653.707269999999</v>
      </c>
      <c r="G11" s="23">
        <f>данные!C13</f>
        <v>62400</v>
      </c>
      <c r="H11" s="23">
        <f t="shared" si="2"/>
        <v>-9253.707269999999</v>
      </c>
      <c r="I11" s="24">
        <f t="shared" si="3"/>
        <v>0.87085515010227055</v>
      </c>
      <c r="J11" s="94">
        <f>данные!I13</f>
        <v>-419.1019</v>
      </c>
      <c r="K11" s="23">
        <f>данные!J13</f>
        <v>-854.11428000000001</v>
      </c>
      <c r="L11" s="94">
        <f>данные!P13</f>
        <v>51983.434209999999</v>
      </c>
      <c r="M11" s="23">
        <f>данные!Q13</f>
        <v>53912.986779999999</v>
      </c>
      <c r="N11" s="82">
        <f t="shared" si="4"/>
        <v>1929.5525699999998</v>
      </c>
      <c r="O11" s="94">
        <f>данные!S13</f>
        <v>16579.40609</v>
      </c>
      <c r="P11" s="23">
        <f>данные!T13</f>
        <v>7997.9711299999999</v>
      </c>
      <c r="Q11" s="23">
        <f t="shared" si="5"/>
        <v>-8581.4349600000005</v>
      </c>
      <c r="R11" s="113">
        <f t="shared" si="6"/>
        <v>0.48240395865712216</v>
      </c>
      <c r="S11" s="110">
        <f t="shared" si="7"/>
        <v>0.23274370657189478</v>
      </c>
      <c r="T11" s="110">
        <f t="shared" si="8"/>
        <v>0.12995135314789974</v>
      </c>
      <c r="U11" s="121">
        <f t="shared" si="9"/>
        <v>-0.10279235342399504</v>
      </c>
      <c r="W11" s="49" t="str">
        <f>VLOOKUP(A11,Лист3!$A$3:$E$74,1,0)</f>
        <v>УСС по Воронежской области</v>
      </c>
    </row>
    <row r="12" spans="1:23" x14ac:dyDescent="0.25">
      <c r="A12" s="141" t="s">
        <v>286</v>
      </c>
      <c r="B12" s="94">
        <v>39930.744659999997</v>
      </c>
      <c r="C12" s="23">
        <v>50972.494899999998</v>
      </c>
      <c r="D12" s="23">
        <f t="shared" si="0"/>
        <v>11041.750240000001</v>
      </c>
      <c r="E12" s="24">
        <f t="shared" si="1"/>
        <v>1.2765225225328918</v>
      </c>
      <c r="F12" s="94">
        <f>данные!B14</f>
        <v>17735.625230000001</v>
      </c>
      <c r="G12" s="23">
        <f>данные!C14</f>
        <v>19217.164339999999</v>
      </c>
      <c r="H12" s="23">
        <f t="shared" si="2"/>
        <v>1481.5391099999979</v>
      </c>
      <c r="I12" s="24">
        <f t="shared" si="3"/>
        <v>1.083534642325096</v>
      </c>
      <c r="J12" s="94">
        <f>данные!I14</f>
        <v>5386.0223900000001</v>
      </c>
      <c r="K12" s="23">
        <f>данные!J14</f>
        <v>10099.26548</v>
      </c>
      <c r="L12" s="94">
        <f>данные!P14</f>
        <v>23754.977210000001</v>
      </c>
      <c r="M12" s="23">
        <f>данные!Q14</f>
        <v>25450.01597</v>
      </c>
      <c r="N12" s="82">
        <f t="shared" si="4"/>
        <v>1695.0387599999995</v>
      </c>
      <c r="O12" s="94">
        <f>данные!S14</f>
        <v>2082.7582600000001</v>
      </c>
      <c r="P12" s="23">
        <f>данные!T14</f>
        <v>678.56760999999995</v>
      </c>
      <c r="Q12" s="23">
        <f t="shared" si="5"/>
        <v>-1404.19065</v>
      </c>
      <c r="R12" s="113">
        <f t="shared" si="6"/>
        <v>0.3258023857267045</v>
      </c>
      <c r="S12" s="110">
        <f t="shared" si="7"/>
        <v>9.0078280502745578E-2</v>
      </c>
      <c r="T12" s="110">
        <f t="shared" si="8"/>
        <v>2.3146324916312747E-2</v>
      </c>
      <c r="U12" s="121">
        <f t="shared" si="9"/>
        <v>-6.6931955586432834E-2</v>
      </c>
      <c r="W12" s="49" t="e">
        <f>VLOOKUP(A12,Лист3!$A$3:$E$74,1,0)</f>
        <v>#N/A</v>
      </c>
    </row>
    <row r="13" spans="1:23" x14ac:dyDescent="0.25">
      <c r="A13" s="65" t="s">
        <v>287</v>
      </c>
      <c r="B13" s="94">
        <v>173164.27327999999</v>
      </c>
      <c r="C13" s="23">
        <v>184328.75211</v>
      </c>
      <c r="D13" s="23">
        <f t="shared" si="0"/>
        <v>11164.478830000007</v>
      </c>
      <c r="E13" s="24">
        <f t="shared" si="1"/>
        <v>1.0644733386311591</v>
      </c>
      <c r="F13" s="94">
        <f>данные!B15</f>
        <v>101899.82214</v>
      </c>
      <c r="G13" s="23">
        <f>данные!C15</f>
        <v>107830.41499999999</v>
      </c>
      <c r="H13" s="23">
        <f t="shared" si="2"/>
        <v>5930.5928599999897</v>
      </c>
      <c r="I13" s="24">
        <f t="shared" si="3"/>
        <v>1.0582002277869726</v>
      </c>
      <c r="J13" s="94">
        <f>данные!I15</f>
        <v>-3553.5108500000001</v>
      </c>
      <c r="K13" s="23">
        <f>данные!J15</f>
        <v>-2895.6600899999999</v>
      </c>
      <c r="L13" s="94">
        <f>данные!P15</f>
        <v>45821.24843</v>
      </c>
      <c r="M13" s="23">
        <f>данные!Q15</f>
        <v>42568.55876</v>
      </c>
      <c r="N13" s="82">
        <f t="shared" si="4"/>
        <v>-3252.6896699999998</v>
      </c>
      <c r="O13" s="94">
        <f>данные!S15</f>
        <v>42251.419200000004</v>
      </c>
      <c r="P13" s="23">
        <f>данные!T15</f>
        <v>46764.52461</v>
      </c>
      <c r="Q13" s="23">
        <f t="shared" si="5"/>
        <v>4513.1054099999965</v>
      </c>
      <c r="R13" s="113">
        <f t="shared" si="6"/>
        <v>1.1068154749698915</v>
      </c>
      <c r="S13" s="110">
        <f t="shared" si="7"/>
        <v>0.42961874874402323</v>
      </c>
      <c r="T13" s="110">
        <f t="shared" si="8"/>
        <v>0.44565334573953891</v>
      </c>
      <c r="U13" s="121">
        <f t="shared" si="9"/>
        <v>1.6034596995515682E-2</v>
      </c>
      <c r="W13" s="49" t="str">
        <f>VLOOKUP(A13,Лист3!$A$3:$E$74,1,0)</f>
        <v>УСС по Костромской области</v>
      </c>
    </row>
    <row r="14" spans="1:23" x14ac:dyDescent="0.25">
      <c r="A14" s="65" t="s">
        <v>288</v>
      </c>
      <c r="B14" s="94">
        <v>45022.468590000004</v>
      </c>
      <c r="C14" s="23">
        <v>37027.668079999996</v>
      </c>
      <c r="D14" s="23">
        <f t="shared" si="0"/>
        <v>-7994.8005100000082</v>
      </c>
      <c r="E14" s="24">
        <f t="shared" si="1"/>
        <v>0.82242642928345022</v>
      </c>
      <c r="F14" s="94">
        <f>данные!B16</f>
        <v>19621.01656</v>
      </c>
      <c r="G14" s="23">
        <f>данные!C16</f>
        <v>24018.249319999999</v>
      </c>
      <c r="H14" s="23">
        <f t="shared" si="2"/>
        <v>4397.232759999999</v>
      </c>
      <c r="I14" s="24">
        <f t="shared" si="3"/>
        <v>1.2241083048145596</v>
      </c>
      <c r="J14" s="94">
        <f>данные!I16</f>
        <v>-305.10775000000001</v>
      </c>
      <c r="K14" s="23">
        <f>данные!J16</f>
        <v>-616.43606000000011</v>
      </c>
      <c r="L14" s="94">
        <f>данные!P16</f>
        <v>19397.36002</v>
      </c>
      <c r="M14" s="23">
        <f>данные!Q16</f>
        <v>18628.319829999997</v>
      </c>
      <c r="N14" s="82">
        <f t="shared" si="4"/>
        <v>-769.04019000000335</v>
      </c>
      <c r="O14" s="94">
        <f>данные!S16</f>
        <v>2259.3483300000003</v>
      </c>
      <c r="P14" s="23">
        <f>данные!T16</f>
        <v>3452.6252200000004</v>
      </c>
      <c r="Q14" s="23">
        <f t="shared" si="5"/>
        <v>1193.2768900000001</v>
      </c>
      <c r="R14" s="113">
        <f t="shared" si="6"/>
        <v>1.5281509159767321</v>
      </c>
      <c r="S14" s="110">
        <f t="shared" si="7"/>
        <v>0.11696826446138105</v>
      </c>
      <c r="T14" s="110">
        <f t="shared" si="8"/>
        <v>0.14753665374731736</v>
      </c>
      <c r="U14" s="121">
        <f t="shared" si="9"/>
        <v>3.0568389285936318E-2</v>
      </c>
      <c r="W14" s="49" t="str">
        <f>VLOOKUP(A14,Лист3!$A$3:$E$74,1,0)</f>
        <v>УСС по Курской области</v>
      </c>
    </row>
    <row r="15" spans="1:23" x14ac:dyDescent="0.25">
      <c r="A15" s="65" t="s">
        <v>289</v>
      </c>
      <c r="B15" s="94">
        <v>38706.863060000003</v>
      </c>
      <c r="C15" s="23">
        <v>34971.406609999998</v>
      </c>
      <c r="D15" s="23">
        <f t="shared" si="0"/>
        <v>-3735.4564500000051</v>
      </c>
      <c r="E15" s="24">
        <f t="shared" si="1"/>
        <v>0.90349369195303619</v>
      </c>
      <c r="F15" s="94">
        <f>данные!B17</f>
        <v>19716.27896</v>
      </c>
      <c r="G15" s="23">
        <f>данные!C17</f>
        <v>21446.741000000002</v>
      </c>
      <c r="H15" s="23">
        <f t="shared" si="2"/>
        <v>1730.4620400000022</v>
      </c>
      <c r="I15" s="24">
        <f t="shared" si="3"/>
        <v>1.0877681860512691</v>
      </c>
      <c r="J15" s="94">
        <f>данные!I17</f>
        <v>352.82673999999997</v>
      </c>
      <c r="K15" s="23">
        <f>данные!J17</f>
        <v>267.79894000000002</v>
      </c>
      <c r="L15" s="94">
        <f>данные!P17</f>
        <v>21233.051489999998</v>
      </c>
      <c r="M15" s="23">
        <f>данные!Q17</f>
        <v>16005.842259999999</v>
      </c>
      <c r="N15" s="82">
        <f t="shared" si="4"/>
        <v>-5227.2092299999986</v>
      </c>
      <c r="O15" s="94">
        <f>данные!S17</f>
        <v>386.43240999999995</v>
      </c>
      <c r="P15" s="23">
        <f>данные!T17</f>
        <v>453.21300000000002</v>
      </c>
      <c r="Q15" s="23">
        <f t="shared" si="5"/>
        <v>66.780590000000075</v>
      </c>
      <c r="R15" s="113">
        <f t="shared" si="6"/>
        <v>1.1728131188582243</v>
      </c>
      <c r="S15" s="110">
        <f t="shared" si="7"/>
        <v>1.9255088680907188E-2</v>
      </c>
      <c r="T15" s="110">
        <f t="shared" si="8"/>
        <v>2.0871406958300032E-2</v>
      </c>
      <c r="U15" s="121">
        <f t="shared" si="9"/>
        <v>1.6163182773928433E-3</v>
      </c>
      <c r="W15" s="49" t="str">
        <f>VLOOKUP(A15,Лист3!$A$3:$E$74,1,0)</f>
        <v>УСС по Липецкой области</v>
      </c>
    </row>
    <row r="16" spans="1:23" x14ac:dyDescent="0.25">
      <c r="A16" s="65" t="s">
        <v>290</v>
      </c>
      <c r="B16" s="94">
        <v>26857.100129999999</v>
      </c>
      <c r="C16" s="23">
        <v>22127.422710000003</v>
      </c>
      <c r="D16" s="23">
        <f t="shared" si="0"/>
        <v>-4729.6774199999963</v>
      </c>
      <c r="E16" s="24">
        <f t="shared" si="1"/>
        <v>0.82389470951419519</v>
      </c>
      <c r="F16" s="94">
        <f>данные!B18</f>
        <v>11598.39609</v>
      </c>
      <c r="G16" s="23">
        <f>данные!C18</f>
        <v>16154.121999999999</v>
      </c>
      <c r="H16" s="23">
        <f t="shared" si="2"/>
        <v>4555.7259099999992</v>
      </c>
      <c r="I16" s="24">
        <f t="shared" si="3"/>
        <v>1.3927893024732869</v>
      </c>
      <c r="J16" s="94">
        <f>данные!I18</f>
        <v>-134.06854999999999</v>
      </c>
      <c r="K16" s="23">
        <f>данные!J18</f>
        <v>349.10765000000004</v>
      </c>
      <c r="L16" s="94">
        <f>данные!P18</f>
        <v>15601.44584</v>
      </c>
      <c r="M16" s="23">
        <f>данные!Q18</f>
        <v>13392.596160000001</v>
      </c>
      <c r="N16" s="82">
        <f t="shared" si="4"/>
        <v>-2208.8496799999994</v>
      </c>
      <c r="O16" s="94">
        <f>данные!S18</f>
        <v>-944.62085999999999</v>
      </c>
      <c r="P16" s="23">
        <f>данные!T18</f>
        <v>334.88607999999999</v>
      </c>
      <c r="Q16" s="23">
        <f t="shared" si="5"/>
        <v>1279.50694</v>
      </c>
      <c r="R16" s="113">
        <f t="shared" si="6"/>
        <v>-0.35451903952237512</v>
      </c>
      <c r="S16" s="110">
        <f t="shared" si="7"/>
        <v>-8.2396534528880003E-2</v>
      </c>
      <c r="T16" s="110">
        <f t="shared" si="8"/>
        <v>2.0292154148142751E-2</v>
      </c>
      <c r="U16" s="121">
        <f t="shared" si="9"/>
        <v>0.10268868867702276</v>
      </c>
      <c r="W16" s="49" t="str">
        <f>VLOOKUP(A16,Лист3!$A$3:$E$74,1,0)</f>
        <v>УСС по Орловской области</v>
      </c>
    </row>
    <row r="17" spans="1:23" x14ac:dyDescent="0.25">
      <c r="A17" s="65" t="s">
        <v>291</v>
      </c>
      <c r="B17" s="94">
        <v>37220.331140000002</v>
      </c>
      <c r="C17" s="23">
        <v>35364.300710000003</v>
      </c>
      <c r="D17" s="23">
        <f t="shared" si="0"/>
        <v>-1856.0304299999989</v>
      </c>
      <c r="E17" s="24">
        <f t="shared" si="1"/>
        <v>0.95013396245673487</v>
      </c>
      <c r="F17" s="94">
        <f>данные!B19</f>
        <v>16574.964840000001</v>
      </c>
      <c r="G17" s="23">
        <f>данные!C19</f>
        <v>19880.161929999998</v>
      </c>
      <c r="H17" s="23">
        <f t="shared" si="2"/>
        <v>3305.1970899999978</v>
      </c>
      <c r="I17" s="24">
        <f t="shared" si="3"/>
        <v>1.1994089955487348</v>
      </c>
      <c r="J17" s="94">
        <f>данные!I19</f>
        <v>432.76337999999998</v>
      </c>
      <c r="K17" s="23">
        <f>данные!J19</f>
        <v>-1842.6186200000002</v>
      </c>
      <c r="L17" s="94">
        <f>данные!P19</f>
        <v>18612.262460000002</v>
      </c>
      <c r="M17" s="23">
        <f>данные!Q19</f>
        <v>22100.337190000002</v>
      </c>
      <c r="N17" s="82">
        <f t="shared" si="4"/>
        <v>3488.0747300000003</v>
      </c>
      <c r="O17" s="94">
        <f>данные!S19</f>
        <v>608.96086000000003</v>
      </c>
      <c r="P17" s="23">
        <f>данные!T19</f>
        <v>1360.5302300000001</v>
      </c>
      <c r="Q17" s="23">
        <f t="shared" si="5"/>
        <v>751.56937000000005</v>
      </c>
      <c r="R17" s="113">
        <f t="shared" si="6"/>
        <v>2.2341833759233722</v>
      </c>
      <c r="S17" s="110">
        <f t="shared" si="7"/>
        <v>3.5804950086390785E-2</v>
      </c>
      <c r="T17" s="110">
        <f t="shared" si="8"/>
        <v>7.5427690268980441E-2</v>
      </c>
      <c r="U17" s="121">
        <f t="shared" si="9"/>
        <v>3.9622740182589655E-2</v>
      </c>
      <c r="W17" s="49" t="str">
        <f>VLOOKUP(A17,Лист3!$A$3:$E$74,1,0)</f>
        <v>УСС по Рязанской области</v>
      </c>
    </row>
    <row r="18" spans="1:23" x14ac:dyDescent="0.25">
      <c r="A18" s="65" t="s">
        <v>292</v>
      </c>
      <c r="B18" s="94">
        <v>55324.515890000002</v>
      </c>
      <c r="C18" s="23">
        <v>66095.835210000005</v>
      </c>
      <c r="D18" s="23">
        <f t="shared" si="0"/>
        <v>10771.319320000002</v>
      </c>
      <c r="E18" s="24">
        <f t="shared" si="1"/>
        <v>1.1946934220159517</v>
      </c>
      <c r="F18" s="94">
        <f>данные!B20</f>
        <v>34596.645859999997</v>
      </c>
      <c r="G18" s="23">
        <f>данные!C20</f>
        <v>36552.902430000002</v>
      </c>
      <c r="H18" s="23">
        <f t="shared" si="2"/>
        <v>1956.256570000005</v>
      </c>
      <c r="I18" s="24">
        <f t="shared" si="3"/>
        <v>1.0565446886937035</v>
      </c>
      <c r="J18" s="94">
        <f>данные!I20</f>
        <v>-42.314300000000003</v>
      </c>
      <c r="K18" s="23">
        <f>данные!J20</f>
        <v>-127.33158</v>
      </c>
      <c r="L18" s="94">
        <f>данные!P20</f>
        <v>29407.361840000001</v>
      </c>
      <c r="M18" s="23">
        <f>данные!Q20</f>
        <v>28844.112980000002</v>
      </c>
      <c r="N18" s="82">
        <f t="shared" si="4"/>
        <v>-563.24885999999969</v>
      </c>
      <c r="O18" s="94">
        <f>данные!S20</f>
        <v>6157.2907100000002</v>
      </c>
      <c r="P18" s="23">
        <f>данные!T20</f>
        <v>5682.5810300000003</v>
      </c>
      <c r="Q18" s="23">
        <f t="shared" si="5"/>
        <v>-474.70967999999993</v>
      </c>
      <c r="R18" s="113">
        <f t="shared" si="6"/>
        <v>0.92290283139806473</v>
      </c>
      <c r="S18" s="110">
        <f t="shared" si="7"/>
        <v>0.178191573444519</v>
      </c>
      <c r="T18" s="110">
        <f t="shared" si="8"/>
        <v>0.15600527040195994</v>
      </c>
      <c r="U18" s="121">
        <f t="shared" si="9"/>
        <v>-2.2186303042559058E-2</v>
      </c>
      <c r="W18" s="49" t="str">
        <f>VLOOKUP(A18,Лист3!$A$3:$E$74,1,0)</f>
        <v>УСС по Смоленской области</v>
      </c>
    </row>
    <row r="19" spans="1:23" x14ac:dyDescent="0.25">
      <c r="A19" s="65" t="s">
        <v>293</v>
      </c>
      <c r="B19" s="94">
        <v>32061.898739999997</v>
      </c>
      <c r="C19" s="23">
        <v>30605.215029999999</v>
      </c>
      <c r="D19" s="23">
        <f t="shared" si="0"/>
        <v>-1456.6837099999975</v>
      </c>
      <c r="E19" s="24">
        <f t="shared" si="1"/>
        <v>0.95456651766594669</v>
      </c>
      <c r="F19" s="94">
        <f>данные!B21</f>
        <v>15556.06458</v>
      </c>
      <c r="G19" s="23">
        <f>данные!C21</f>
        <v>17890.293000000001</v>
      </c>
      <c r="H19" s="23">
        <f t="shared" si="2"/>
        <v>2334.2284200000013</v>
      </c>
      <c r="I19" s="24">
        <f t="shared" si="3"/>
        <v>1.1500526311134665</v>
      </c>
      <c r="J19" s="94">
        <f>данные!I21</f>
        <v>101.84896000000001</v>
      </c>
      <c r="K19" s="23">
        <f>данные!J21</f>
        <v>678.01043000000004</v>
      </c>
      <c r="L19" s="94">
        <f>данные!P21</f>
        <v>18082.391489999998</v>
      </c>
      <c r="M19" s="23">
        <f>данные!Q21</f>
        <v>17145.617719999998</v>
      </c>
      <c r="N19" s="82">
        <f t="shared" si="4"/>
        <v>-936.77376999999979</v>
      </c>
      <c r="O19" s="94">
        <f>данные!S21</f>
        <v>-936.22031000000004</v>
      </c>
      <c r="P19" s="23">
        <f>данные!T21</f>
        <v>-72.199669999999998</v>
      </c>
      <c r="Q19" s="23">
        <f t="shared" si="5"/>
        <v>864.02064000000007</v>
      </c>
      <c r="R19" s="113">
        <f t="shared" si="6"/>
        <v>7.7118247947430232E-2</v>
      </c>
      <c r="S19" s="110">
        <f t="shared" si="7"/>
        <v>-5.9792149676156668E-2</v>
      </c>
      <c r="T19" s="110">
        <f t="shared" si="8"/>
        <v>-3.8883288541779284E-3</v>
      </c>
      <c r="U19" s="121">
        <f t="shared" si="9"/>
        <v>5.5903820821978742E-2</v>
      </c>
      <c r="W19" s="49" t="str">
        <f>VLOOKUP(A19,Лист3!$A$3:$E$74,1,0)</f>
        <v>УСС по Тамбовской области</v>
      </c>
    </row>
    <row r="20" spans="1:23" x14ac:dyDescent="0.25">
      <c r="A20" s="141" t="s">
        <v>294</v>
      </c>
      <c r="B20" s="94">
        <v>38825.628750000003</v>
      </c>
      <c r="C20" s="23">
        <v>40540.413280000001</v>
      </c>
      <c r="D20" s="23">
        <f t="shared" si="0"/>
        <v>1714.7845299999972</v>
      </c>
      <c r="E20" s="24">
        <f t="shared" si="1"/>
        <v>1.0441663041966833</v>
      </c>
      <c r="F20" s="94">
        <f>данные!B22</f>
        <v>20421.020769999999</v>
      </c>
      <c r="G20" s="23">
        <f>данные!C22</f>
        <v>24532</v>
      </c>
      <c r="H20" s="23">
        <f t="shared" si="2"/>
        <v>4110.9792300000008</v>
      </c>
      <c r="I20" s="24">
        <f t="shared" si="3"/>
        <v>1.2013111526745683</v>
      </c>
      <c r="J20" s="94">
        <f>данные!I22</f>
        <v>108.18185000000001</v>
      </c>
      <c r="K20" s="23">
        <f>данные!J22</f>
        <v>7.4595399999999996</v>
      </c>
      <c r="L20" s="94">
        <f>данные!P22</f>
        <v>20980.54293</v>
      </c>
      <c r="M20" s="23">
        <f>данные!Q22</f>
        <v>19088.330469999997</v>
      </c>
      <c r="N20" s="82">
        <f t="shared" si="4"/>
        <v>-1892.2124600000025</v>
      </c>
      <c r="O20" s="94">
        <f>данные!S22</f>
        <v>3377.59701</v>
      </c>
      <c r="P20" s="23">
        <f>данные!T22</f>
        <v>2927.7111400000003</v>
      </c>
      <c r="Q20" s="23">
        <f t="shared" si="5"/>
        <v>-449.88586999999961</v>
      </c>
      <c r="R20" s="113">
        <f t="shared" si="6"/>
        <v>0.86680297600097667</v>
      </c>
      <c r="S20" s="110">
        <f t="shared" si="7"/>
        <v>0.16452645884596953</v>
      </c>
      <c r="T20" s="110">
        <f t="shared" si="8"/>
        <v>0.11930625999434706</v>
      </c>
      <c r="U20" s="121">
        <v>9.9999999999999995E-7</v>
      </c>
      <c r="W20" s="49" t="str">
        <f>VLOOKUP(A20,Лист3!$A$3:$E$74,1,0)</f>
        <v>УСС по Тверской области</v>
      </c>
    </row>
    <row r="21" spans="1:23" x14ac:dyDescent="0.25">
      <c r="A21" s="65" t="s">
        <v>295</v>
      </c>
      <c r="B21" s="94">
        <v>48691.641670000005</v>
      </c>
      <c r="C21" s="23">
        <v>50281.071360000002</v>
      </c>
      <c r="D21" s="23">
        <f t="shared" si="0"/>
        <v>1589.4296899999972</v>
      </c>
      <c r="E21" s="24">
        <f t="shared" si="1"/>
        <v>1.0326427624020589</v>
      </c>
      <c r="F21" s="94">
        <f>данные!B23</f>
        <v>22242.577379999999</v>
      </c>
      <c r="G21" s="23">
        <f>данные!C23</f>
        <v>27526.905589999998</v>
      </c>
      <c r="H21" s="23">
        <f t="shared" si="2"/>
        <v>5284.3282099999997</v>
      </c>
      <c r="I21" s="24">
        <f t="shared" si="3"/>
        <v>1.2375771530304551</v>
      </c>
      <c r="J21" s="94">
        <f>данные!I23</f>
        <v>214.2587</v>
      </c>
      <c r="K21" s="23">
        <f>данные!J23</f>
        <v>718.97709999999995</v>
      </c>
      <c r="L21" s="94">
        <f>данные!P23</f>
        <v>20594.54578</v>
      </c>
      <c r="M21" s="23">
        <f>данные!Q23</f>
        <v>21327.154300000002</v>
      </c>
      <c r="N21" s="82">
        <f t="shared" si="4"/>
        <v>732.60852000000159</v>
      </c>
      <c r="O21" s="94">
        <f>данные!S23</f>
        <v>3859.0177699999999</v>
      </c>
      <c r="P21" s="23">
        <f>данные!T23</f>
        <v>5717.2948699999997</v>
      </c>
      <c r="Q21" s="23">
        <f t="shared" si="5"/>
        <v>1858.2770999999998</v>
      </c>
      <c r="R21" s="113">
        <f t="shared" si="6"/>
        <v>1.4815414726633922</v>
      </c>
      <c r="S21" s="110">
        <f t="shared" si="7"/>
        <v>0.17184156112876611</v>
      </c>
      <c r="T21" s="110">
        <f t="shared" si="8"/>
        <v>0.20241161987209258</v>
      </c>
      <c r="U21" s="121">
        <f t="shared" si="9"/>
        <v>3.0570058743326467E-2</v>
      </c>
      <c r="W21" s="49" t="str">
        <f>VLOOKUP(A21,Лист3!$A$3:$E$74,1,0)</f>
        <v>УСС по Тульской области</v>
      </c>
    </row>
    <row r="22" spans="1:23" ht="19.5" customHeight="1" x14ac:dyDescent="0.25">
      <c r="A22" s="66" t="s">
        <v>296</v>
      </c>
      <c r="B22" s="91">
        <v>57037.625229999998</v>
      </c>
      <c r="C22" s="72">
        <v>71372.271159999989</v>
      </c>
      <c r="D22" s="72">
        <f t="shared" si="0"/>
        <v>14334.645929999991</v>
      </c>
      <c r="E22" s="73">
        <f t="shared" si="1"/>
        <v>1.2513191226352183</v>
      </c>
      <c r="F22" s="91">
        <f>данные!B24</f>
        <v>30152.44469</v>
      </c>
      <c r="G22" s="72">
        <f>данные!C24</f>
        <v>31333</v>
      </c>
      <c r="H22" s="72">
        <f t="shared" si="2"/>
        <v>1180.5553099999997</v>
      </c>
      <c r="I22" s="73">
        <f t="shared" si="3"/>
        <v>1.0391528886674828</v>
      </c>
      <c r="J22" s="91">
        <f>данные!I24</f>
        <v>584.62943000000007</v>
      </c>
      <c r="K22" s="72">
        <f>данные!J24</f>
        <v>2725.9082699999999</v>
      </c>
      <c r="L22" s="91">
        <f>данные!P24</f>
        <v>26472.27477</v>
      </c>
      <c r="M22" s="72">
        <f>данные!Q24</f>
        <v>26231.468270000001</v>
      </c>
      <c r="N22" s="92">
        <f t="shared" si="4"/>
        <v>-240.80649999999878</v>
      </c>
      <c r="O22" s="91">
        <f>данные!S24</f>
        <v>5317.5076600000002</v>
      </c>
      <c r="P22" s="72">
        <f>данные!T24</f>
        <v>4356.2838000000002</v>
      </c>
      <c r="Q22" s="72">
        <f t="shared" si="5"/>
        <v>-961.22386000000006</v>
      </c>
      <c r="R22" s="114">
        <f t="shared" si="6"/>
        <v>0.81923413721984184</v>
      </c>
      <c r="S22" s="110">
        <f t="shared" si="7"/>
        <v>0.17299979950076003</v>
      </c>
      <c r="T22" s="110">
        <f t="shared" si="8"/>
        <v>0.12790438746497143</v>
      </c>
      <c r="U22" s="122">
        <f t="shared" si="9"/>
        <v>-4.5095412035788596E-2</v>
      </c>
      <c r="W22" s="49" t="str">
        <f>VLOOKUP(A22,Лист3!$A$3:$E$74,1,0)</f>
        <v>УСС по Ярославской области</v>
      </c>
    </row>
    <row r="23" spans="1:23" ht="30" x14ac:dyDescent="0.25">
      <c r="A23" s="64" t="s">
        <v>298</v>
      </c>
      <c r="B23" s="93">
        <v>1125894.17307</v>
      </c>
      <c r="C23" s="59">
        <v>958301.31354999996</v>
      </c>
      <c r="D23" s="59">
        <f t="shared" si="0"/>
        <v>-167592.85952000006</v>
      </c>
      <c r="E23" s="58">
        <f t="shared" si="1"/>
        <v>0.85114688082715539</v>
      </c>
      <c r="F23" s="93">
        <f>данные!B26</f>
        <v>507129.10456000001</v>
      </c>
      <c r="G23" s="59">
        <f>данные!C26</f>
        <v>571825.9142</v>
      </c>
      <c r="H23" s="59">
        <f t="shared" si="2"/>
        <v>64696.809639999992</v>
      </c>
      <c r="I23" s="58">
        <f t="shared" si="3"/>
        <v>1.1275746334774708</v>
      </c>
      <c r="J23" s="93">
        <f>данные!I26</f>
        <v>-19110.85283</v>
      </c>
      <c r="K23" s="59">
        <f>данные!J26</f>
        <v>-9023.7450399999998</v>
      </c>
      <c r="L23" s="93">
        <f>данные!P26</f>
        <v>466497.28497000004</v>
      </c>
      <c r="M23" s="59">
        <f>данные!Q26</f>
        <v>388351.49612000003</v>
      </c>
      <c r="N23" s="90">
        <f t="shared" si="4"/>
        <v>-78145.788850000012</v>
      </c>
      <c r="O23" s="93">
        <f>данные!S26</f>
        <v>112379.28586</v>
      </c>
      <c r="P23" s="59">
        <f>данные!T26</f>
        <v>84855.021099999998</v>
      </c>
      <c r="Q23" s="59">
        <f t="shared" si="5"/>
        <v>-27524.264760000005</v>
      </c>
      <c r="R23" s="112">
        <f t="shared" si="6"/>
        <v>0.75507706291807886</v>
      </c>
      <c r="S23" s="110">
        <f t="shared" si="7"/>
        <v>0.23027680924150096</v>
      </c>
      <c r="T23" s="110">
        <f t="shared" si="8"/>
        <v>0.15077237748860989</v>
      </c>
      <c r="U23" s="120">
        <f t="shared" si="9"/>
        <v>-7.9504431752891069E-2</v>
      </c>
      <c r="W23" s="49" t="str">
        <f>VLOOKUP(A23,Лист3!$A$3:$E$74,1,0)</f>
        <v>УСС по г. Санкт-Петербургу и Ленинградской области</v>
      </c>
    </row>
    <row r="24" spans="1:23" x14ac:dyDescent="0.25">
      <c r="A24" s="65" t="s">
        <v>299</v>
      </c>
      <c r="B24" s="94">
        <v>88751.327930000014</v>
      </c>
      <c r="C24" s="23">
        <v>69623.6679</v>
      </c>
      <c r="D24" s="23">
        <f t="shared" si="0"/>
        <v>-19127.660030000014</v>
      </c>
      <c r="E24" s="24">
        <f t="shared" si="1"/>
        <v>0.78448029481782644</v>
      </c>
      <c r="F24" s="94">
        <f>данные!B27</f>
        <v>33081.300190000002</v>
      </c>
      <c r="G24" s="23">
        <f>данные!C27</f>
        <v>43477.570439999996</v>
      </c>
      <c r="H24" s="23">
        <f t="shared" si="2"/>
        <v>10396.270249999994</v>
      </c>
      <c r="I24" s="24">
        <f t="shared" si="3"/>
        <v>1.3142642577616293</v>
      </c>
      <c r="J24" s="94">
        <f>данные!I27</f>
        <v>159.45944</v>
      </c>
      <c r="K24" s="23">
        <f>данные!J27</f>
        <v>-600.29062999999996</v>
      </c>
      <c r="L24" s="94">
        <f>данные!P27</f>
        <v>50077.807520000002</v>
      </c>
      <c r="M24" s="23">
        <f>данные!Q27</f>
        <v>43971.693810000004</v>
      </c>
      <c r="N24" s="82">
        <f t="shared" si="4"/>
        <v>-6106.1137099999978</v>
      </c>
      <c r="O24" s="94">
        <f>данные!S27</f>
        <v>-10387.36443</v>
      </c>
      <c r="P24" s="23">
        <f>данные!T27</f>
        <v>-5149.8221199999998</v>
      </c>
      <c r="Q24" s="23">
        <f t="shared" si="5"/>
        <v>5237.5423099999998</v>
      </c>
      <c r="R24" s="113">
        <f>IFERROR(P24/O24,0)*-1</f>
        <v>-0.49577755307464455</v>
      </c>
      <c r="S24" s="110">
        <f t="shared" si="7"/>
        <v>-0.31248878020902193</v>
      </c>
      <c r="T24" s="110">
        <f t="shared" si="8"/>
        <v>-0.12010608282102214</v>
      </c>
      <c r="U24" s="121">
        <f t="shared" si="9"/>
        <v>0.19238269738799979</v>
      </c>
      <c r="W24" s="49" t="str">
        <f>VLOOKUP(A24,Лист3!$A$3:$E$74,1,0)</f>
        <v>УСС по Архангельской области</v>
      </c>
    </row>
    <row r="25" spans="1:23" x14ac:dyDescent="0.25">
      <c r="A25" s="65" t="s">
        <v>300</v>
      </c>
      <c r="B25" s="94">
        <v>54194.436999999998</v>
      </c>
      <c r="C25" s="23">
        <v>51366.040780000003</v>
      </c>
      <c r="D25" s="23">
        <f t="shared" si="0"/>
        <v>-2828.3962199999951</v>
      </c>
      <c r="E25" s="24">
        <f t="shared" si="1"/>
        <v>0.947810211221495</v>
      </c>
      <c r="F25" s="94">
        <f>данные!B28</f>
        <v>28420.33913</v>
      </c>
      <c r="G25" s="23">
        <f>данные!C28</f>
        <v>29476.839</v>
      </c>
      <c r="H25" s="23">
        <f t="shared" si="2"/>
        <v>1056.4998699999996</v>
      </c>
      <c r="I25" s="24">
        <f t="shared" si="3"/>
        <v>1.0371740768175697</v>
      </c>
      <c r="J25" s="94">
        <f>данные!I28</f>
        <v>567.16331000000002</v>
      </c>
      <c r="K25" s="23">
        <f>данные!J28</f>
        <v>199.61651000000001</v>
      </c>
      <c r="L25" s="94">
        <f>данные!P28</f>
        <v>29020.40958</v>
      </c>
      <c r="M25" s="23">
        <f>данные!Q28</f>
        <v>25734.804459999999</v>
      </c>
      <c r="N25" s="82">
        <f t="shared" si="4"/>
        <v>-3285.6051200000002</v>
      </c>
      <c r="O25" s="94">
        <f>данные!S28</f>
        <v>1511.6214</v>
      </c>
      <c r="P25" s="23">
        <f>данные!T28</f>
        <v>818.87417000000005</v>
      </c>
      <c r="Q25" s="23">
        <f t="shared" si="5"/>
        <v>-692.74722999999994</v>
      </c>
      <c r="R25" s="113">
        <f t="shared" ref="R25:R56" si="10">IFERROR(P25/O25,0)</f>
        <v>0.54171909050771583</v>
      </c>
      <c r="S25" s="110">
        <f t="shared" si="7"/>
        <v>5.2147348780007555E-2</v>
      </c>
      <c r="T25" s="110">
        <f t="shared" si="8"/>
        <v>2.7593395367720586E-2</v>
      </c>
      <c r="U25" s="121">
        <f t="shared" si="9"/>
        <v>-2.4553953412286968E-2</v>
      </c>
      <c r="W25" s="49" t="str">
        <f>VLOOKUP(A25,Лист3!$A$3:$E$74,1,0)</f>
        <v>УСС по Вологодской области</v>
      </c>
    </row>
    <row r="26" spans="1:23" x14ac:dyDescent="0.25">
      <c r="A26" s="65" t="s">
        <v>301</v>
      </c>
      <c r="B26" s="94">
        <v>112885.45452</v>
      </c>
      <c r="C26" s="23">
        <v>95693.922099999996</v>
      </c>
      <c r="D26" s="23">
        <f t="shared" si="0"/>
        <v>-17191.532420000003</v>
      </c>
      <c r="E26" s="24">
        <f t="shared" si="1"/>
        <v>0.84770817025895784</v>
      </c>
      <c r="F26" s="94">
        <f>данные!B29</f>
        <v>49570.013279999999</v>
      </c>
      <c r="G26" s="23">
        <f>данные!C29</f>
        <v>54106.346689999998</v>
      </c>
      <c r="H26" s="23">
        <f t="shared" si="2"/>
        <v>4536.3334099999993</v>
      </c>
      <c r="I26" s="24">
        <f t="shared" si="3"/>
        <v>1.0915136613818555</v>
      </c>
      <c r="J26" s="94">
        <f>данные!I29</f>
        <v>762.04849000000002</v>
      </c>
      <c r="K26" s="23">
        <f>данные!J29</f>
        <v>3424.31934</v>
      </c>
      <c r="L26" s="94">
        <f>данные!P29</f>
        <v>54907.075870000001</v>
      </c>
      <c r="M26" s="23">
        <f>данные!Q29</f>
        <v>48545.320270000004</v>
      </c>
      <c r="N26" s="82">
        <f t="shared" si="4"/>
        <v>-6361.7555999999968</v>
      </c>
      <c r="O26" s="94">
        <f>данные!S29</f>
        <v>-4205.1297800000002</v>
      </c>
      <c r="P26" s="23">
        <f>данные!T29</f>
        <v>-30.94455</v>
      </c>
      <c r="Q26" s="23">
        <f t="shared" si="5"/>
        <v>4174.18523</v>
      </c>
      <c r="R26" s="113">
        <f t="shared" si="10"/>
        <v>7.358762183078211E-3</v>
      </c>
      <c r="S26" s="110">
        <f t="shared" si="7"/>
        <v>-8.3547735421926075E-2</v>
      </c>
      <c r="T26" s="110">
        <f t="shared" si="8"/>
        <v>-5.378792239927072E-4</v>
      </c>
      <c r="U26" s="121">
        <f t="shared" si="9"/>
        <v>8.3009856197933371E-2</v>
      </c>
      <c r="W26" s="49" t="str">
        <f>VLOOKUP(A26,Лист3!$A$3:$E$74,1,0)</f>
        <v>УСС по Калининградской области</v>
      </c>
    </row>
    <row r="27" spans="1:23" x14ac:dyDescent="0.25">
      <c r="A27" s="65" t="s">
        <v>302</v>
      </c>
      <c r="B27" s="94">
        <v>331941.19524999999</v>
      </c>
      <c r="C27" s="23">
        <v>275159.27205999999</v>
      </c>
      <c r="D27" s="23">
        <f t="shared" si="0"/>
        <v>-56781.923190000001</v>
      </c>
      <c r="E27" s="24">
        <f t="shared" si="1"/>
        <v>0.82893981222416535</v>
      </c>
      <c r="F27" s="94">
        <f>данные!B30</f>
        <v>140772.64095</v>
      </c>
      <c r="G27" s="23">
        <f>данные!C30</f>
        <v>180513.6</v>
      </c>
      <c r="H27" s="23">
        <f t="shared" si="2"/>
        <v>39740.959050000005</v>
      </c>
      <c r="I27" s="24">
        <f t="shared" si="3"/>
        <v>1.2823059848974157</v>
      </c>
      <c r="J27" s="94">
        <f>данные!I30</f>
        <v>510.22285999999997</v>
      </c>
      <c r="K27" s="23">
        <f>данные!J30</f>
        <v>2468.7769199999998</v>
      </c>
      <c r="L27" s="94">
        <f>данные!P30</f>
        <v>121485.69162</v>
      </c>
      <c r="M27" s="23">
        <f>данные!Q30</f>
        <v>119005.32498999999</v>
      </c>
      <c r="N27" s="82">
        <f t="shared" si="4"/>
        <v>-2480.3666300000041</v>
      </c>
      <c r="O27" s="94">
        <f>данные!S30</f>
        <v>27922.690870000002</v>
      </c>
      <c r="P27" s="23">
        <f>данные!T30</f>
        <v>47688.504959999998</v>
      </c>
      <c r="Q27" s="23">
        <f t="shared" si="5"/>
        <v>19765.814089999996</v>
      </c>
      <c r="R27" s="113">
        <f t="shared" si="10"/>
        <v>1.7078764071136241</v>
      </c>
      <c r="S27" s="110">
        <f t="shared" si="7"/>
        <v>0.19763678422848924</v>
      </c>
      <c r="T27" s="110">
        <f t="shared" si="8"/>
        <v>0.26061802105046128</v>
      </c>
      <c r="U27" s="121">
        <f t="shared" si="9"/>
        <v>6.2981236821972042E-2</v>
      </c>
      <c r="W27" s="49" t="str">
        <f>VLOOKUP(A27,Лист3!$A$3:$E$74,1,0)</f>
        <v>УСС по Мурманской области</v>
      </c>
    </row>
    <row r="28" spans="1:23" x14ac:dyDescent="0.25">
      <c r="A28" s="65" t="s">
        <v>303</v>
      </c>
      <c r="B28" s="94">
        <v>61135.603390000004</v>
      </c>
      <c r="C28" s="23">
        <v>52790.191740000002</v>
      </c>
      <c r="D28" s="23">
        <f t="shared" si="0"/>
        <v>-8345.4116500000018</v>
      </c>
      <c r="E28" s="24">
        <f t="shared" si="1"/>
        <v>0.86349342793327089</v>
      </c>
      <c r="F28" s="94">
        <f>данные!B31</f>
        <v>28611.652570000002</v>
      </c>
      <c r="G28" s="23">
        <f>данные!C31</f>
        <v>31290.364949999999</v>
      </c>
      <c r="H28" s="23">
        <f t="shared" si="2"/>
        <v>2678.7123799999972</v>
      </c>
      <c r="I28" s="24">
        <f t="shared" si="3"/>
        <v>1.0936231269216756</v>
      </c>
      <c r="J28" s="94">
        <f>данные!I31</f>
        <v>574.15483999999992</v>
      </c>
      <c r="K28" s="23">
        <f>данные!J31</f>
        <v>1117.76694</v>
      </c>
      <c r="L28" s="94">
        <f>данные!P31</f>
        <v>30498.079739999997</v>
      </c>
      <c r="M28" s="23">
        <f>данные!Q31</f>
        <v>27679.138579999999</v>
      </c>
      <c r="N28" s="82">
        <f t="shared" si="4"/>
        <v>-2818.9411599999985</v>
      </c>
      <c r="O28" s="94">
        <f>данные!S31</f>
        <v>1239.1827599999999</v>
      </c>
      <c r="P28" s="23">
        <f>данные!T31</f>
        <v>1093.1520800000001</v>
      </c>
      <c r="Q28" s="23">
        <f t="shared" si="5"/>
        <v>-146.03067999999985</v>
      </c>
      <c r="R28" s="113">
        <f t="shared" si="10"/>
        <v>0.88215565555479492</v>
      </c>
      <c r="S28" s="110">
        <f t="shared" si="7"/>
        <v>4.2458402558204225E-2</v>
      </c>
      <c r="T28" s="110">
        <f t="shared" si="8"/>
        <v>3.3730795829589551E-2</v>
      </c>
      <c r="U28" s="121">
        <f t="shared" si="9"/>
        <v>-8.7276067286146744E-3</v>
      </c>
      <c r="W28" s="49" t="str">
        <f>VLOOKUP(A28,Лист3!$A$3:$E$74,1,0)</f>
        <v>УСС по Новгородской области</v>
      </c>
    </row>
    <row r="29" spans="1:23" x14ac:dyDescent="0.25">
      <c r="A29" s="65" t="s">
        <v>304</v>
      </c>
      <c r="B29" s="94">
        <v>47083.71329</v>
      </c>
      <c r="C29" s="23">
        <v>40976.244259999999</v>
      </c>
      <c r="D29" s="23">
        <f t="shared" si="0"/>
        <v>-6107.4690300000002</v>
      </c>
      <c r="E29" s="24">
        <f t="shared" si="1"/>
        <v>0.87028489039548307</v>
      </c>
      <c r="F29" s="94">
        <f>данные!B32</f>
        <v>22232.625379999998</v>
      </c>
      <c r="G29" s="23">
        <f>данные!C32</f>
        <v>23775</v>
      </c>
      <c r="H29" s="23">
        <f t="shared" si="2"/>
        <v>1542.3746200000023</v>
      </c>
      <c r="I29" s="24">
        <f t="shared" si="3"/>
        <v>1.0693743808316714</v>
      </c>
      <c r="J29" s="94">
        <f>данные!I32</f>
        <v>46.606559999999995</v>
      </c>
      <c r="K29" s="23">
        <f>данные!J32</f>
        <v>-86.468399999999988</v>
      </c>
      <c r="L29" s="94">
        <f>данные!P32</f>
        <v>21578.25144</v>
      </c>
      <c r="M29" s="23">
        <f>данные!Q32</f>
        <v>21190.194359999998</v>
      </c>
      <c r="N29" s="82">
        <f t="shared" si="4"/>
        <v>-388.05708000000232</v>
      </c>
      <c r="O29" s="94">
        <f>данные!S32</f>
        <v>1823.3338600000002</v>
      </c>
      <c r="P29" s="23">
        <f>данные!T32</f>
        <v>1794.6840900000002</v>
      </c>
      <c r="Q29" s="23">
        <f t="shared" si="5"/>
        <v>-28.64976999999999</v>
      </c>
      <c r="R29" s="113">
        <f t="shared" si="10"/>
        <v>0.98428715079091444</v>
      </c>
      <c r="S29" s="110">
        <f t="shared" si="7"/>
        <v>8.1840068136567926E-2</v>
      </c>
      <c r="T29" s="110">
        <f t="shared" si="8"/>
        <v>7.5761728092930858E-2</v>
      </c>
      <c r="U29" s="121">
        <f t="shared" si="9"/>
        <v>-6.0783400436370677E-3</v>
      </c>
      <c r="W29" s="49" t="str">
        <f>VLOOKUP(A29,Лист3!$A$3:$E$74,1,0)</f>
        <v>УСС по Псковской области</v>
      </c>
    </row>
    <row r="30" spans="1:23" x14ac:dyDescent="0.25">
      <c r="A30" s="143" t="s">
        <v>305</v>
      </c>
      <c r="B30" s="91">
        <v>60183.703809999999</v>
      </c>
      <c r="C30" s="72">
        <v>60532.975159999995</v>
      </c>
      <c r="D30" s="72">
        <f t="shared" si="0"/>
        <v>349.27134999999544</v>
      </c>
      <c r="E30" s="73">
        <f t="shared" si="1"/>
        <v>1.0058034206585664</v>
      </c>
      <c r="F30" s="91">
        <f>данные!B33</f>
        <v>32144.435590000001</v>
      </c>
      <c r="G30" s="72">
        <f>данные!C33</f>
        <v>35811.567439999999</v>
      </c>
      <c r="H30" s="72">
        <f t="shared" si="2"/>
        <v>3667.1318499999979</v>
      </c>
      <c r="I30" s="73">
        <f t="shared" si="3"/>
        <v>1.1140829441454192</v>
      </c>
      <c r="J30" s="91">
        <f>данные!I33</f>
        <v>276.51371999999998</v>
      </c>
      <c r="K30" s="72">
        <f>данные!J33</f>
        <v>166.33120000000002</v>
      </c>
      <c r="L30" s="91">
        <f>данные!P33</f>
        <v>33674.974780000004</v>
      </c>
      <c r="M30" s="72">
        <f>данные!Q33</f>
        <v>31828.196840000001</v>
      </c>
      <c r="N30" s="92">
        <f t="shared" si="4"/>
        <v>-1846.7779400000036</v>
      </c>
      <c r="O30" s="91">
        <f>данные!S33</f>
        <v>2525.3417300000001</v>
      </c>
      <c r="P30" s="72">
        <f>данные!T33</f>
        <v>1930.4851100000001</v>
      </c>
      <c r="Q30" s="72">
        <f t="shared" si="5"/>
        <v>-594.85662000000002</v>
      </c>
      <c r="R30" s="114">
        <f t="shared" si="10"/>
        <v>0.76444509947570538</v>
      </c>
      <c r="S30" s="110">
        <f t="shared" si="7"/>
        <v>7.7892282112204447E-2</v>
      </c>
      <c r="T30" s="110">
        <f t="shared" si="8"/>
        <v>5.3657528176303745E-2</v>
      </c>
      <c r="U30" s="122">
        <v>9.9999999999999995E-7</v>
      </c>
      <c r="W30" s="49" t="e">
        <f>VLOOKUP(A30,Лист3!$A$3:$E$74,1,0)</f>
        <v>#N/A</v>
      </c>
    </row>
    <row r="31" spans="1:23" x14ac:dyDescent="0.25">
      <c r="A31" s="64" t="s">
        <v>308</v>
      </c>
      <c r="B31" s="93">
        <v>29205.905269999999</v>
      </c>
      <c r="C31" s="59">
        <v>34410.818549999996</v>
      </c>
      <c r="D31" s="59">
        <f t="shared" si="0"/>
        <v>5204.913279999997</v>
      </c>
      <c r="E31" s="58">
        <f t="shared" si="1"/>
        <v>1.1782144135537695</v>
      </c>
      <c r="F31" s="93">
        <f>данные!B36</f>
        <v>15647.304689999999</v>
      </c>
      <c r="G31" s="59">
        <f>данные!C36</f>
        <v>16335.038</v>
      </c>
      <c r="H31" s="59">
        <f t="shared" si="2"/>
        <v>687.73331000000144</v>
      </c>
      <c r="I31" s="58">
        <f t="shared" si="3"/>
        <v>1.0439521900816262</v>
      </c>
      <c r="J31" s="93">
        <f>данные!I36</f>
        <v>5113.5443800000003</v>
      </c>
      <c r="K31" s="59">
        <f>данные!J36</f>
        <v>9716.2393900000006</v>
      </c>
      <c r="L31" s="93">
        <f>данные!P36</f>
        <v>21742.983920000002</v>
      </c>
      <c r="M31" s="59">
        <f>данные!Q36</f>
        <v>22175.45506</v>
      </c>
      <c r="N31" s="90">
        <f t="shared" si="4"/>
        <v>432.47113999999783</v>
      </c>
      <c r="O31" s="93">
        <f>данные!S36</f>
        <v>-688.5394</v>
      </c>
      <c r="P31" s="59">
        <f>данные!T36</f>
        <v>-235.52123999999998</v>
      </c>
      <c r="Q31" s="59">
        <f t="shared" si="5"/>
        <v>453.01816000000002</v>
      </c>
      <c r="R31" s="112">
        <f t="shared" si="10"/>
        <v>0.34205920532652156</v>
      </c>
      <c r="S31" s="110">
        <f t="shared" si="7"/>
        <v>-3.3165281327292073E-2</v>
      </c>
      <c r="T31" s="110">
        <f t="shared" si="8"/>
        <v>-9.0406791373081278E-3</v>
      </c>
      <c r="U31" s="120">
        <f t="shared" si="9"/>
        <v>2.4124602189983947E-2</v>
      </c>
      <c r="W31" s="49" t="str">
        <f>VLOOKUP(A31,Лист3!$A$3:$E$74,1,0)</f>
        <v>УСС по Астраханской области</v>
      </c>
    </row>
    <row r="32" spans="1:23" x14ac:dyDescent="0.25">
      <c r="A32" s="65" t="s">
        <v>309</v>
      </c>
      <c r="B32" s="94">
        <v>77282.392469999992</v>
      </c>
      <c r="C32" s="23">
        <v>89254.200569999986</v>
      </c>
      <c r="D32" s="23">
        <f t="shared" si="0"/>
        <v>11971.808099999995</v>
      </c>
      <c r="E32" s="24">
        <f t="shared" si="1"/>
        <v>1.1549099053144258</v>
      </c>
      <c r="F32" s="94">
        <f>данные!B37</f>
        <v>39822.616009999998</v>
      </c>
      <c r="G32" s="23">
        <f>данные!C37</f>
        <v>47300.669689999995</v>
      </c>
      <c r="H32" s="23">
        <f t="shared" si="2"/>
        <v>7478.0536799999973</v>
      </c>
      <c r="I32" s="24">
        <f t="shared" si="3"/>
        <v>1.1877840892753544</v>
      </c>
      <c r="J32" s="94">
        <f>данные!I37</f>
        <v>3706.19641</v>
      </c>
      <c r="K32" s="23">
        <f>данные!J37</f>
        <v>11941.186159999999</v>
      </c>
      <c r="L32" s="94">
        <f>данные!P37</f>
        <v>51648.031649999997</v>
      </c>
      <c r="M32" s="23">
        <f>данные!Q37</f>
        <v>54752.779990000003</v>
      </c>
      <c r="N32" s="82">
        <f t="shared" si="4"/>
        <v>3104.7483400000056</v>
      </c>
      <c r="O32" s="94">
        <f>данные!S37</f>
        <v>-2053.279</v>
      </c>
      <c r="P32" s="23">
        <f>данные!T37</f>
        <v>-512.93244000000004</v>
      </c>
      <c r="Q32" s="23">
        <f t="shared" si="5"/>
        <v>1540.34656</v>
      </c>
      <c r="R32" s="113">
        <f t="shared" si="10"/>
        <v>0.24981137000865447</v>
      </c>
      <c r="S32" s="110">
        <f t="shared" si="7"/>
        <v>-4.7170572451836264E-2</v>
      </c>
      <c r="T32" s="110">
        <f t="shared" si="8"/>
        <v>-8.6582777099141143E-3</v>
      </c>
      <c r="U32" s="121">
        <f t="shared" si="9"/>
        <v>3.8512294741922151E-2</v>
      </c>
      <c r="W32" s="49" t="str">
        <f>VLOOKUP(A32,Лист3!$A$3:$E$74,1,0)</f>
        <v>УСС по Волгоградской области</v>
      </c>
    </row>
    <row r="33" spans="1:23" ht="30" x14ac:dyDescent="0.25">
      <c r="A33" s="65" t="s">
        <v>310</v>
      </c>
      <c r="B33" s="94">
        <v>64311.033969999997</v>
      </c>
      <c r="C33" s="23">
        <v>73629.843909999996</v>
      </c>
      <c r="D33" s="23">
        <f t="shared" si="0"/>
        <v>9318.8099399999992</v>
      </c>
      <c r="E33" s="24">
        <f t="shared" si="1"/>
        <v>1.1449021943007023</v>
      </c>
      <c r="F33" s="94">
        <f>данные!B38</f>
        <v>35131.58208</v>
      </c>
      <c r="G33" s="23">
        <f>данные!C38</f>
        <v>37089.740409999999</v>
      </c>
      <c r="H33" s="23">
        <f t="shared" si="2"/>
        <v>1958.1583299999984</v>
      </c>
      <c r="I33" s="24">
        <f t="shared" si="3"/>
        <v>1.0557378351348075</v>
      </c>
      <c r="J33" s="94">
        <f>данные!I38</f>
        <v>3247.4189999999999</v>
      </c>
      <c r="K33" s="23">
        <f>данные!J38</f>
        <v>5120.5646200000001</v>
      </c>
      <c r="L33" s="94">
        <f>данные!P38</f>
        <v>38810.32879</v>
      </c>
      <c r="M33" s="23">
        <f>данные!Q38</f>
        <v>40530.351190000001</v>
      </c>
      <c r="N33" s="82">
        <f t="shared" si="4"/>
        <v>1720.0224000000017</v>
      </c>
      <c r="O33" s="94">
        <f>данные!S38</f>
        <v>3212.68163</v>
      </c>
      <c r="P33" s="23">
        <f>данные!T38</f>
        <v>1221.46452</v>
      </c>
      <c r="Q33" s="23">
        <f t="shared" si="5"/>
        <v>-1991.21711</v>
      </c>
      <c r="R33" s="113">
        <f t="shared" si="10"/>
        <v>0.38020092267903932</v>
      </c>
      <c r="S33" s="110">
        <f t="shared" si="7"/>
        <v>8.3709360316680761E-2</v>
      </c>
      <c r="T33" s="110">
        <f t="shared" si="8"/>
        <v>2.8937590456450678E-2</v>
      </c>
      <c r="U33" s="121">
        <f t="shared" si="9"/>
        <v>-5.477176986023008E-2</v>
      </c>
      <c r="W33" s="49" t="str">
        <f>VLOOKUP(A33,Лист3!$A$3:$E$74,1,0)</f>
        <v>УСС по Кабардино-Балкарской Республике</v>
      </c>
    </row>
    <row r="34" spans="1:23" x14ac:dyDescent="0.25">
      <c r="A34" s="65" t="s">
        <v>312</v>
      </c>
      <c r="B34" s="94">
        <v>84860.338730000003</v>
      </c>
      <c r="C34" s="23">
        <v>102986.42335</v>
      </c>
      <c r="D34" s="23">
        <f t="shared" si="0"/>
        <v>18126.084619999994</v>
      </c>
      <c r="E34" s="24">
        <f t="shared" si="1"/>
        <v>1.2135990132878414</v>
      </c>
      <c r="F34" s="94">
        <f>данные!B41</f>
        <v>62507.494270000003</v>
      </c>
      <c r="G34" s="23">
        <f>данные!C41</f>
        <v>57442.271000000001</v>
      </c>
      <c r="H34" s="23">
        <f t="shared" si="2"/>
        <v>-5065.2232700000022</v>
      </c>
      <c r="I34" s="24">
        <f t="shared" si="3"/>
        <v>0.91896614431349843</v>
      </c>
      <c r="J34" s="94">
        <f>данные!I41</f>
        <v>125.08642999999999</v>
      </c>
      <c r="K34" s="23">
        <f>данные!J41</f>
        <v>-546.41353000000004</v>
      </c>
      <c r="L34" s="94">
        <f>данные!P41</f>
        <v>49286.705040000001</v>
      </c>
      <c r="M34" s="23">
        <f>данные!Q41</f>
        <v>48275.604090000001</v>
      </c>
      <c r="N34" s="82">
        <f t="shared" si="4"/>
        <v>-1011.10095</v>
      </c>
      <c r="O34" s="94">
        <f>данные!S41</f>
        <v>9346.1471300000012</v>
      </c>
      <c r="P34" s="23">
        <f>данные!T41</f>
        <v>6624.5219200000001</v>
      </c>
      <c r="Q34" s="23">
        <f t="shared" si="5"/>
        <v>-2721.6252100000011</v>
      </c>
      <c r="R34" s="113">
        <f t="shared" si="10"/>
        <v>0.70879709337509644</v>
      </c>
      <c r="S34" s="110">
        <f t="shared" si="7"/>
        <v>0.14922181116512737</v>
      </c>
      <c r="T34" s="110">
        <f t="shared" si="8"/>
        <v>0.11643241203444332</v>
      </c>
      <c r="U34" s="121">
        <f t="shared" si="9"/>
        <v>-3.2789399130684044E-2</v>
      </c>
      <c r="W34" s="49" t="str">
        <f>VLOOKUP(A34,Лист3!$A$3:$E$74,1,0)</f>
        <v>УСС по Республике Дагестан</v>
      </c>
    </row>
    <row r="35" spans="1:23" x14ac:dyDescent="0.25">
      <c r="A35" s="65" t="s">
        <v>311</v>
      </c>
      <c r="B35" s="94">
        <v>239484.54738999999</v>
      </c>
      <c r="C35" s="23">
        <v>196731.25121000002</v>
      </c>
      <c r="D35" s="23">
        <f t="shared" si="0"/>
        <v>-42753.296179999976</v>
      </c>
      <c r="E35" s="24">
        <f t="shared" si="1"/>
        <v>0.82147785046700184</v>
      </c>
      <c r="F35" s="94">
        <f>данные!B40</f>
        <v>108849.94772</v>
      </c>
      <c r="G35" s="23">
        <f>данные!C40</f>
        <v>120015.88137999999</v>
      </c>
      <c r="H35" s="23">
        <f t="shared" si="2"/>
        <v>11165.933659999995</v>
      </c>
      <c r="I35" s="24">
        <f t="shared" si="3"/>
        <v>1.1025809740278669</v>
      </c>
      <c r="J35" s="94">
        <f>данные!I40</f>
        <v>4921.79954</v>
      </c>
      <c r="K35" s="23">
        <f>данные!J40</f>
        <v>3410.1519500000004</v>
      </c>
      <c r="L35" s="94">
        <f>данные!P40</f>
        <v>106205.48639000001</v>
      </c>
      <c r="M35" s="23">
        <f>данные!Q40</f>
        <v>95055.29445999999</v>
      </c>
      <c r="N35" s="82">
        <f t="shared" si="4"/>
        <v>-11150.191930000015</v>
      </c>
      <c r="O35" s="94">
        <f>данные!S40</f>
        <v>11196.58065</v>
      </c>
      <c r="P35" s="23">
        <f>данные!T40</f>
        <v>14985.755570000001</v>
      </c>
      <c r="Q35" s="23">
        <f t="shared" si="5"/>
        <v>3789.1749200000013</v>
      </c>
      <c r="R35" s="113">
        <f t="shared" si="10"/>
        <v>1.3384225093756639</v>
      </c>
      <c r="S35" s="110">
        <f t="shared" si="7"/>
        <v>9.8412663245934923E-2</v>
      </c>
      <c r="T35" s="110">
        <f t="shared" si="8"/>
        <v>0.12141486820639448</v>
      </c>
      <c r="U35" s="121">
        <f t="shared" si="9"/>
        <v>2.3002204960459557E-2</v>
      </c>
      <c r="W35" s="49" t="str">
        <f>VLOOKUP(A35,Лист3!$A$3:$E$74,1,0)</f>
        <v>УСС по Краснодарскому краю</v>
      </c>
    </row>
    <row r="36" spans="1:23" x14ac:dyDescent="0.25">
      <c r="A36" s="65" t="s">
        <v>318</v>
      </c>
      <c r="B36" s="94">
        <v>104126.37768999999</v>
      </c>
      <c r="C36" s="23">
        <v>120654.12903</v>
      </c>
      <c r="D36" s="23">
        <f t="shared" si="0"/>
        <v>16527.751340000003</v>
      </c>
      <c r="E36" s="24">
        <f t="shared" si="1"/>
        <v>1.1587278046798635</v>
      </c>
      <c r="F36" s="94">
        <f>данные!B48</f>
        <v>54069.343780000003</v>
      </c>
      <c r="G36" s="23">
        <f>данные!C48</f>
        <v>46667.501759999999</v>
      </c>
      <c r="H36" s="23">
        <f t="shared" si="2"/>
        <v>-7401.8420200000037</v>
      </c>
      <c r="I36" s="24">
        <f t="shared" si="3"/>
        <v>0.86310464484057769</v>
      </c>
      <c r="J36" s="94">
        <f>данные!I48</f>
        <v>732.40971999999999</v>
      </c>
      <c r="K36" s="23">
        <f>данные!J48</f>
        <v>-180.17483999999999</v>
      </c>
      <c r="L36" s="94">
        <f>данные!P48</f>
        <v>31252.296630000001</v>
      </c>
      <c r="M36" s="23">
        <f>данные!Q48</f>
        <v>35149.949479999996</v>
      </c>
      <c r="N36" s="82">
        <f t="shared" si="4"/>
        <v>3897.6528499999949</v>
      </c>
      <c r="O36" s="94">
        <f>данные!S48</f>
        <v>10526.1373</v>
      </c>
      <c r="P36" s="23">
        <f>данные!T48</f>
        <v>12918.09189</v>
      </c>
      <c r="Q36" s="23">
        <f t="shared" si="5"/>
        <v>2391.9545899999994</v>
      </c>
      <c r="R36" s="113">
        <f t="shared" si="10"/>
        <v>1.227239539237247</v>
      </c>
      <c r="S36" s="110">
        <f t="shared" si="7"/>
        <v>0.19207665134291732</v>
      </c>
      <c r="T36" s="110">
        <f t="shared" si="8"/>
        <v>0.27788416211219741</v>
      </c>
      <c r="U36" s="121">
        <f t="shared" si="9"/>
        <v>8.5807510769280088E-2</v>
      </c>
      <c r="W36" s="49" t="str">
        <f>VLOOKUP(A36,Лист3!$A$3:$E$74,1,0)</f>
        <v>УСС по Пензенской области</v>
      </c>
    </row>
    <row r="37" spans="1:23" ht="30" x14ac:dyDescent="0.25">
      <c r="A37" s="65" t="s">
        <v>313</v>
      </c>
      <c r="B37" s="94">
        <v>46071.932139999997</v>
      </c>
      <c r="C37" s="23">
        <v>44298.525670000003</v>
      </c>
      <c r="D37" s="23">
        <f t="shared" si="0"/>
        <v>-1773.4064699999944</v>
      </c>
      <c r="E37" s="24">
        <f t="shared" si="1"/>
        <v>0.96150787719058328</v>
      </c>
      <c r="F37" s="94">
        <f>данные!B42</f>
        <v>20735.671280000002</v>
      </c>
      <c r="G37" s="23">
        <f>данные!C42</f>
        <v>27985.54393</v>
      </c>
      <c r="H37" s="23">
        <f t="shared" si="2"/>
        <v>7249.8726499999975</v>
      </c>
      <c r="I37" s="24">
        <f t="shared" si="3"/>
        <v>1.3496328887597988</v>
      </c>
      <c r="J37" s="94">
        <f>данные!I42</f>
        <v>587.46309999999994</v>
      </c>
      <c r="K37" s="23">
        <f>данные!J42</f>
        <v>878.54260999999997</v>
      </c>
      <c r="L37" s="94">
        <f>данные!P42</f>
        <v>25934.067569999999</v>
      </c>
      <c r="M37" s="23">
        <f>данные!Q42</f>
        <v>28797.693789999998</v>
      </c>
      <c r="N37" s="82">
        <f t="shared" si="4"/>
        <v>2863.6262199999983</v>
      </c>
      <c r="O37" s="94">
        <f>данные!S42</f>
        <v>587.37643000000003</v>
      </c>
      <c r="P37" s="23">
        <f>данные!T42</f>
        <v>2111.1515499999996</v>
      </c>
      <c r="Q37" s="23">
        <f t="shared" si="5"/>
        <v>1523.7751199999996</v>
      </c>
      <c r="R37" s="113">
        <f t="shared" si="10"/>
        <v>3.594205422917633</v>
      </c>
      <c r="S37" s="110">
        <f t="shared" si="7"/>
        <v>2.7546439446112986E-2</v>
      </c>
      <c r="T37" s="110">
        <f t="shared" si="8"/>
        <v>7.3141117667948882E-2</v>
      </c>
      <c r="U37" s="121">
        <f t="shared" si="9"/>
        <v>4.5594678221835896E-2</v>
      </c>
      <c r="W37" s="49" t="str">
        <f>VLOOKUP(A37,Лист3!$A$3:$E$74,1,0)</f>
        <v>УСС по Республике Северная Осетия - Алания</v>
      </c>
    </row>
    <row r="38" spans="1:23" x14ac:dyDescent="0.25">
      <c r="A38" s="65" t="s">
        <v>314</v>
      </c>
      <c r="B38" s="94">
        <v>80457.136629999994</v>
      </c>
      <c r="C38" s="23">
        <v>78330.591889999996</v>
      </c>
      <c r="D38" s="23">
        <f t="shared" ref="D38:D69" si="11">C38-B38</f>
        <v>-2126.5447399999975</v>
      </c>
      <c r="E38" s="24">
        <f t="shared" ref="E38:E69" si="12">IFERROR(C38/B38,0)</f>
        <v>0.97356922171143889</v>
      </c>
      <c r="F38" s="94">
        <f>данные!B43</f>
        <v>29183.867750000001</v>
      </c>
      <c r="G38" s="23">
        <f>данные!C43</f>
        <v>31522.484</v>
      </c>
      <c r="H38" s="23">
        <f t="shared" ref="H38:H69" si="13">G38-F38</f>
        <v>2338.6162499999991</v>
      </c>
      <c r="I38" s="24">
        <f t="shared" ref="I38:I69" si="14">IFERROR(G38/F38,0)</f>
        <v>1.0801338695074096</v>
      </c>
      <c r="J38" s="94">
        <f>данные!I43</f>
        <v>-238.07217</v>
      </c>
      <c r="K38" s="23">
        <f>данные!J43</f>
        <v>-3166.1730299999999</v>
      </c>
      <c r="L38" s="94">
        <f>данные!P43</f>
        <v>27803.920389999999</v>
      </c>
      <c r="M38" s="23">
        <f>данные!Q43</f>
        <v>30088.222690000002</v>
      </c>
      <c r="N38" s="82">
        <f t="shared" ref="N38:N69" si="15">M38-L38</f>
        <v>2284.302300000003</v>
      </c>
      <c r="O38" s="94">
        <f>данные!S43</f>
        <v>3028.1251699999998</v>
      </c>
      <c r="P38" s="23">
        <f>данные!T43</f>
        <v>2849.7264799999998</v>
      </c>
      <c r="Q38" s="23">
        <f t="shared" ref="Q38:Q69" si="16">P38-O38</f>
        <v>-178.39868999999999</v>
      </c>
      <c r="R38" s="113">
        <f t="shared" si="10"/>
        <v>0.94108609123314413</v>
      </c>
      <c r="S38" s="110">
        <f t="shared" ref="S38:S69" si="17">O38/(F38+J38)</f>
        <v>0.10461364454920259</v>
      </c>
      <c r="T38" s="110">
        <f t="shared" ref="T38:T69" si="18">P38/(G38+K38)</f>
        <v>0.10049708098542552</v>
      </c>
      <c r="U38" s="121">
        <f t="shared" ref="U38:U69" si="19">T38-S38</f>
        <v>-4.1165635637770703E-3</v>
      </c>
      <c r="W38" s="49" t="str">
        <f>VLOOKUP(A38,Лист3!$A$3:$E$74,1,0)</f>
        <v>УСС по Ставропольскому краю</v>
      </c>
    </row>
    <row r="39" spans="1:23" x14ac:dyDescent="0.25">
      <c r="A39" s="66" t="s">
        <v>315</v>
      </c>
      <c r="B39" s="91">
        <v>55019.934299999994</v>
      </c>
      <c r="C39" s="72">
        <v>54262.186860000002</v>
      </c>
      <c r="D39" s="72">
        <f t="shared" si="11"/>
        <v>-757.74743999999191</v>
      </c>
      <c r="E39" s="73">
        <f t="shared" si="12"/>
        <v>0.98622776545191204</v>
      </c>
      <c r="F39" s="91">
        <f>данные!B44</f>
        <v>43786.565579999995</v>
      </c>
      <c r="G39" s="72">
        <f>данные!C44</f>
        <v>44458.421000000002</v>
      </c>
      <c r="H39" s="72">
        <f t="shared" si="13"/>
        <v>671.85542000000714</v>
      </c>
      <c r="I39" s="73">
        <f t="shared" si="14"/>
        <v>1.0153438711417659</v>
      </c>
      <c r="J39" s="91">
        <f>данные!I44</f>
        <v>957.85185999999999</v>
      </c>
      <c r="K39" s="72">
        <f>данные!J44</f>
        <v>1024.64554</v>
      </c>
      <c r="L39" s="91">
        <f>данные!P44</f>
        <v>40827.306819999998</v>
      </c>
      <c r="M39" s="72">
        <f>данные!Q44</f>
        <v>37421.88697</v>
      </c>
      <c r="N39" s="92">
        <f t="shared" si="15"/>
        <v>-3405.4198499999984</v>
      </c>
      <c r="O39" s="91">
        <f>данные!S44</f>
        <v>3338.4331000000002</v>
      </c>
      <c r="P39" s="72">
        <f>данные!T44</f>
        <v>3671.1728399999997</v>
      </c>
      <c r="Q39" s="72">
        <f t="shared" si="16"/>
        <v>332.73973999999953</v>
      </c>
      <c r="R39" s="114">
        <f t="shared" si="10"/>
        <v>1.0996694347417055</v>
      </c>
      <c r="S39" s="110">
        <f t="shared" si="17"/>
        <v>7.4611164721871071E-2</v>
      </c>
      <c r="T39" s="110">
        <f t="shared" si="18"/>
        <v>8.0715156634643209E-2</v>
      </c>
      <c r="U39" s="122">
        <f t="shared" si="19"/>
        <v>6.1039919127721387E-3</v>
      </c>
      <c r="W39" s="49" t="str">
        <f>VLOOKUP(A39,Лист3!$A$3:$E$74,1,0)</f>
        <v>УСС по Республике Крым</v>
      </c>
    </row>
    <row r="40" spans="1:23" x14ac:dyDescent="0.25">
      <c r="A40" s="64" t="s">
        <v>317</v>
      </c>
      <c r="B40" s="93">
        <v>213082.39633000002</v>
      </c>
      <c r="C40" s="59">
        <v>177896.20256000001</v>
      </c>
      <c r="D40" s="59">
        <f t="shared" si="11"/>
        <v>-35186.193770000013</v>
      </c>
      <c r="E40" s="58">
        <f t="shared" si="12"/>
        <v>0.8348704802647926</v>
      </c>
      <c r="F40" s="93">
        <f>данные!B47</f>
        <v>91870.466540000009</v>
      </c>
      <c r="G40" s="59">
        <f>данные!C47</f>
        <v>101158.11500000001</v>
      </c>
      <c r="H40" s="59">
        <f t="shared" si="13"/>
        <v>9287.6484599999967</v>
      </c>
      <c r="I40" s="58">
        <f t="shared" si="14"/>
        <v>1.1010950396769368</v>
      </c>
      <c r="J40" s="93">
        <f>данные!I47</f>
        <v>841.52166</v>
      </c>
      <c r="K40" s="59">
        <f>данные!J47</f>
        <v>-16.563839999999999</v>
      </c>
      <c r="L40" s="93">
        <f>данные!P47</f>
        <v>82267.972970000003</v>
      </c>
      <c r="M40" s="59">
        <f>данные!Q47</f>
        <v>71596.70104</v>
      </c>
      <c r="N40" s="90">
        <f t="shared" si="15"/>
        <v>-10671.271930000003</v>
      </c>
      <c r="O40" s="93">
        <f>данные!S47</f>
        <v>11848.725329999999</v>
      </c>
      <c r="P40" s="59">
        <f>данные!T47</f>
        <v>15785.330910000001</v>
      </c>
      <c r="Q40" s="59">
        <f t="shared" si="16"/>
        <v>3936.6055800000013</v>
      </c>
      <c r="R40" s="112">
        <f t="shared" si="10"/>
        <v>1.3322387404856824</v>
      </c>
      <c r="S40" s="110">
        <f t="shared" si="17"/>
        <v>0.12780143711770814</v>
      </c>
      <c r="T40" s="110">
        <f t="shared" si="18"/>
        <v>0.15607167112780912</v>
      </c>
      <c r="U40" s="120">
        <f t="shared" si="19"/>
        <v>2.8270234010100981E-2</v>
      </c>
      <c r="W40" s="49" t="str">
        <f>VLOOKUP(A40,Лист3!$A$3:$E$74,1,0)</f>
        <v>УСС по Нижегородской области</v>
      </c>
    </row>
    <row r="41" spans="1:23" x14ac:dyDescent="0.25">
      <c r="A41" s="65" t="s">
        <v>320</v>
      </c>
      <c r="B41" s="94">
        <v>21041.00619</v>
      </c>
      <c r="C41" s="23">
        <v>22025.43549</v>
      </c>
      <c r="D41" s="23">
        <f t="shared" si="11"/>
        <v>984.42929999999978</v>
      </c>
      <c r="E41" s="24">
        <f t="shared" si="12"/>
        <v>1.0467862273843094</v>
      </c>
      <c r="F41" s="94">
        <f>данные!B50</f>
        <v>12857.793720000001</v>
      </c>
      <c r="G41" s="23">
        <f>данные!C50</f>
        <v>14498.11</v>
      </c>
      <c r="H41" s="23">
        <f t="shared" si="13"/>
        <v>1640.3162799999991</v>
      </c>
      <c r="I41" s="24">
        <f t="shared" si="14"/>
        <v>1.1275736969903729</v>
      </c>
      <c r="J41" s="94">
        <f>данные!I50</f>
        <v>128.76157000000001</v>
      </c>
      <c r="K41" s="23">
        <f>данные!J50</f>
        <v>-306.22865000000002</v>
      </c>
      <c r="L41" s="94">
        <f>данные!P50</f>
        <v>13535.950359999999</v>
      </c>
      <c r="M41" s="23">
        <f>данные!Q50</f>
        <v>11979.296869999998</v>
      </c>
      <c r="N41" s="82">
        <f t="shared" si="15"/>
        <v>-1556.6534900000006</v>
      </c>
      <c r="O41" s="94">
        <f>данные!S50</f>
        <v>718.01754000000005</v>
      </c>
      <c r="P41" s="23">
        <f>данные!T50</f>
        <v>872.73693999999989</v>
      </c>
      <c r="Q41" s="23">
        <f t="shared" si="16"/>
        <v>154.71939999999984</v>
      </c>
      <c r="R41" s="113">
        <f t="shared" si="10"/>
        <v>1.2154813655387859</v>
      </c>
      <c r="S41" s="110">
        <f t="shared" si="17"/>
        <v>5.5289299122523498E-2</v>
      </c>
      <c r="T41" s="110">
        <f t="shared" si="18"/>
        <v>6.1495507077361518E-2</v>
      </c>
      <c r="U41" s="121">
        <f t="shared" si="19"/>
        <v>6.2062079548380195E-3</v>
      </c>
      <c r="W41" s="49" t="str">
        <f>VLOOKUP(A41,Лист3!$A$3:$E$74,1,0)</f>
        <v>УСС по Республике Марий Эл</v>
      </c>
    </row>
    <row r="42" spans="1:23" x14ac:dyDescent="0.25">
      <c r="A42" s="65" t="s">
        <v>319</v>
      </c>
      <c r="B42" s="94">
        <v>105070.75036000001</v>
      </c>
      <c r="C42" s="23">
        <v>89024.043769999989</v>
      </c>
      <c r="D42" s="23">
        <f t="shared" si="11"/>
        <v>-16046.706590000016</v>
      </c>
      <c r="E42" s="24">
        <f t="shared" si="12"/>
        <v>0.84727712960058077</v>
      </c>
      <c r="F42" s="94">
        <f>данные!B49</f>
        <v>44620.424079999997</v>
      </c>
      <c r="G42" s="23">
        <f>данные!C49</f>
        <v>50487.804889999999</v>
      </c>
      <c r="H42" s="23">
        <f t="shared" si="13"/>
        <v>5867.3808100000024</v>
      </c>
      <c r="I42" s="24">
        <f t="shared" si="14"/>
        <v>1.1314954066657987</v>
      </c>
      <c r="J42" s="94">
        <f>данные!I49</f>
        <v>1040.84176</v>
      </c>
      <c r="K42" s="23">
        <f>данные!J49</f>
        <v>1127.58383</v>
      </c>
      <c r="L42" s="94">
        <f>данные!P49</f>
        <v>45806.592979999994</v>
      </c>
      <c r="M42" s="23">
        <f>данные!Q49</f>
        <v>45294.364369999996</v>
      </c>
      <c r="N42" s="82">
        <f t="shared" si="15"/>
        <v>-512.2286099999983</v>
      </c>
      <c r="O42" s="94">
        <f>данные!S49</f>
        <v>1444.12986</v>
      </c>
      <c r="P42" s="23">
        <f>данные!T49</f>
        <v>4577.64293</v>
      </c>
      <c r="Q42" s="23">
        <f t="shared" si="16"/>
        <v>3133.51307</v>
      </c>
      <c r="R42" s="113">
        <f t="shared" si="10"/>
        <v>3.1698277674280622</v>
      </c>
      <c r="S42" s="110">
        <f t="shared" si="17"/>
        <v>3.1627022015997618E-2</v>
      </c>
      <c r="T42" s="110">
        <f t="shared" si="18"/>
        <v>8.8687560890658337E-2</v>
      </c>
      <c r="U42" s="121">
        <f t="shared" si="19"/>
        <v>5.706053887466072E-2</v>
      </c>
      <c r="W42" s="49" t="str">
        <f>VLOOKUP(A42,Лист3!$A$3:$E$74,1,0)</f>
        <v>УСС по Республике Башкортостан</v>
      </c>
    </row>
    <row r="43" spans="1:23" x14ac:dyDescent="0.25">
      <c r="A43" s="65" t="s">
        <v>325</v>
      </c>
      <c r="B43" s="94">
        <v>95011.122329999998</v>
      </c>
      <c r="C43" s="23">
        <v>102178.06790000001</v>
      </c>
      <c r="D43" s="23">
        <f t="shared" si="11"/>
        <v>7166.9455700000108</v>
      </c>
      <c r="E43" s="24">
        <f t="shared" si="12"/>
        <v>1.0754327008695594</v>
      </c>
      <c r="F43" s="94">
        <f>данные!B55</f>
        <v>58598.233460000003</v>
      </c>
      <c r="G43" s="23">
        <f>данные!C55</f>
        <v>52733</v>
      </c>
      <c r="H43" s="23">
        <f t="shared" si="13"/>
        <v>-5865.2334600000031</v>
      </c>
      <c r="I43" s="24">
        <f t="shared" si="14"/>
        <v>0.89990767445227349</v>
      </c>
      <c r="J43" s="94">
        <f>данные!I55</f>
        <v>546.07854000000009</v>
      </c>
      <c r="K43" s="23">
        <f>данные!J55</f>
        <v>202.02947</v>
      </c>
      <c r="L43" s="94">
        <f>данные!P55</f>
        <v>46585.612299999993</v>
      </c>
      <c r="M43" s="23">
        <f>данные!Q55</f>
        <v>40204.656560000003</v>
      </c>
      <c r="N43" s="82">
        <f t="shared" si="15"/>
        <v>-6380.9557399999903</v>
      </c>
      <c r="O43" s="94">
        <f>данные!S55</f>
        <v>7744.8208199999999</v>
      </c>
      <c r="P43" s="23">
        <f>данные!T55</f>
        <v>5354.7730300000003</v>
      </c>
      <c r="Q43" s="23">
        <f t="shared" si="16"/>
        <v>-2390.0477899999996</v>
      </c>
      <c r="R43" s="113">
        <f t="shared" si="10"/>
        <v>0.69140050550582011</v>
      </c>
      <c r="S43" s="110">
        <f t="shared" si="17"/>
        <v>0.13094785547594162</v>
      </c>
      <c r="T43" s="110">
        <f t="shared" si="18"/>
        <v>0.10115745818248244</v>
      </c>
      <c r="U43" s="121">
        <f t="shared" si="19"/>
        <v>-2.9790397293459184E-2</v>
      </c>
      <c r="W43" s="49" t="str">
        <f>VLOOKUP(A43,Лист3!$A$3:$E$74,1,0)</f>
        <v>УСС по Саратовской области</v>
      </c>
    </row>
    <row r="44" spans="1:23" x14ac:dyDescent="0.25">
      <c r="A44" s="65" t="s">
        <v>321</v>
      </c>
      <c r="B44" s="94">
        <v>21175.1168</v>
      </c>
      <c r="C44" s="23">
        <v>19864.820090000001</v>
      </c>
      <c r="D44" s="23">
        <f t="shared" si="11"/>
        <v>-1310.2967099999987</v>
      </c>
      <c r="E44" s="24">
        <f t="shared" si="12"/>
        <v>0.93812092172261363</v>
      </c>
      <c r="F44" s="94">
        <f>данные!B51</f>
        <v>8611.0416700000005</v>
      </c>
      <c r="G44" s="23">
        <f>данные!C51</f>
        <v>9991.7520000000004</v>
      </c>
      <c r="H44" s="23">
        <f t="shared" si="13"/>
        <v>1380.7103299999999</v>
      </c>
      <c r="I44" s="24">
        <f t="shared" si="14"/>
        <v>1.1603418474689602</v>
      </c>
      <c r="J44" s="94">
        <f>данные!I51</f>
        <v>368.82390999999996</v>
      </c>
      <c r="K44" s="23">
        <f>данные!J51</f>
        <v>1191.4355399999999</v>
      </c>
      <c r="L44" s="94">
        <f>данные!P51</f>
        <v>10661.091390000001</v>
      </c>
      <c r="M44" s="23">
        <f>данные!Q51</f>
        <v>11934.788060000001</v>
      </c>
      <c r="N44" s="82">
        <f t="shared" si="15"/>
        <v>1273.6966699999994</v>
      </c>
      <c r="O44" s="94">
        <f>данные!S51</f>
        <v>-968.85256000000004</v>
      </c>
      <c r="P44" s="23">
        <f>данные!T51</f>
        <v>-240.41230999999999</v>
      </c>
      <c r="Q44" s="23">
        <f t="shared" si="16"/>
        <v>728.44025000000011</v>
      </c>
      <c r="R44" s="113">
        <f t="shared" si="10"/>
        <v>0.24814127548984335</v>
      </c>
      <c r="S44" s="110">
        <f t="shared" si="17"/>
        <v>-0.1078916550998083</v>
      </c>
      <c r="T44" s="110">
        <f t="shared" si="18"/>
        <v>-2.1497655220400601E-2</v>
      </c>
      <c r="U44" s="121">
        <f t="shared" si="19"/>
        <v>8.6393999879407699E-2</v>
      </c>
      <c r="W44" s="49" t="str">
        <f>VLOOKUP(A44,Лист3!$A$3:$E$74,1,0)</f>
        <v>УСС по Республике Мордовия</v>
      </c>
    </row>
    <row r="45" spans="1:23" x14ac:dyDescent="0.25">
      <c r="A45" s="65" t="s">
        <v>322</v>
      </c>
      <c r="B45" s="94">
        <v>164132.00237999999</v>
      </c>
      <c r="C45" s="23">
        <v>116208.73572</v>
      </c>
      <c r="D45" s="23">
        <f t="shared" si="11"/>
        <v>-47923.266659999994</v>
      </c>
      <c r="E45" s="24">
        <f t="shared" si="12"/>
        <v>0.70801997194278066</v>
      </c>
      <c r="F45" s="94">
        <f>данные!B52</f>
        <v>62826.904450000002</v>
      </c>
      <c r="G45" s="23">
        <f>данные!C52</f>
        <v>83471.210000000006</v>
      </c>
      <c r="H45" s="23">
        <f t="shared" si="13"/>
        <v>20644.305550000005</v>
      </c>
      <c r="I45" s="24">
        <f t="shared" si="14"/>
        <v>1.3285902071847184</v>
      </c>
      <c r="J45" s="94">
        <f>данные!I52</f>
        <v>143.00432999999998</v>
      </c>
      <c r="K45" s="23">
        <f>данные!J52</f>
        <v>6238.4336900000008</v>
      </c>
      <c r="L45" s="94">
        <f>данные!P52</f>
        <v>81547.167849999998</v>
      </c>
      <c r="M45" s="23">
        <f>данные!Q52</f>
        <v>86240.528379999989</v>
      </c>
      <c r="N45" s="82">
        <f t="shared" si="15"/>
        <v>4693.3605299999908</v>
      </c>
      <c r="O45" s="94">
        <f>данные!S52</f>
        <v>-12191.985650000001</v>
      </c>
      <c r="P45" s="23">
        <f>данные!T52</f>
        <v>1653.6373799999999</v>
      </c>
      <c r="Q45" s="23">
        <f t="shared" si="16"/>
        <v>13845.623030000001</v>
      </c>
      <c r="R45" s="113">
        <f t="shared" si="10"/>
        <v>-0.13563314684511624</v>
      </c>
      <c r="S45" s="110">
        <f t="shared" si="17"/>
        <v>-0.19361606021370514</v>
      </c>
      <c r="T45" s="110">
        <f t="shared" si="18"/>
        <v>1.8433217567046606E-2</v>
      </c>
      <c r="U45" s="121">
        <f t="shared" si="19"/>
        <v>0.21204927778075175</v>
      </c>
      <c r="W45" s="49" t="str">
        <f>VLOOKUP(A45,Лист3!$A$3:$E$74,1,0)</f>
        <v>УСС по Республике Татарстан</v>
      </c>
    </row>
    <row r="46" spans="1:23" x14ac:dyDescent="0.25">
      <c r="A46" s="65" t="s">
        <v>326</v>
      </c>
      <c r="B46" s="94">
        <v>42313.123590000003</v>
      </c>
      <c r="C46" s="23">
        <v>45999.291270000002</v>
      </c>
      <c r="D46" s="23">
        <f t="shared" si="11"/>
        <v>3686.1676799999987</v>
      </c>
      <c r="E46" s="24">
        <f t="shared" si="12"/>
        <v>1.0871164160726523</v>
      </c>
      <c r="F46" s="94">
        <f>данные!B56</f>
        <v>22136.23992</v>
      </c>
      <c r="G46" s="23">
        <f>данные!C56</f>
        <v>23855.146000000001</v>
      </c>
      <c r="H46" s="23">
        <f t="shared" si="13"/>
        <v>1718.9060800000007</v>
      </c>
      <c r="I46" s="24">
        <f t="shared" si="14"/>
        <v>1.0776512219876591</v>
      </c>
      <c r="J46" s="94">
        <f>данные!I56</f>
        <v>398.48361</v>
      </c>
      <c r="K46" s="23">
        <f>данные!J56</f>
        <v>-401.11781999999999</v>
      </c>
      <c r="L46" s="94">
        <f>данные!P56</f>
        <v>22666.230179999999</v>
      </c>
      <c r="M46" s="23">
        <f>данные!Q56</f>
        <v>19934.747360000001</v>
      </c>
      <c r="N46" s="82">
        <f t="shared" si="15"/>
        <v>-2731.4828199999974</v>
      </c>
      <c r="O46" s="94">
        <f>данные!S56</f>
        <v>-511.70127000000002</v>
      </c>
      <c r="P46" s="23">
        <f>данные!T56</f>
        <v>1269.9195500000001</v>
      </c>
      <c r="Q46" s="23">
        <f t="shared" si="16"/>
        <v>1781.6208200000001</v>
      </c>
      <c r="R46" s="113">
        <f t="shared" si="10"/>
        <v>-2.4817596211946085</v>
      </c>
      <c r="S46" s="110">
        <f t="shared" si="17"/>
        <v>-2.270723531703342E-2</v>
      </c>
      <c r="T46" s="110">
        <f t="shared" si="18"/>
        <v>5.4145050916366726E-2</v>
      </c>
      <c r="U46" s="121">
        <f t="shared" si="19"/>
        <v>7.6852286233400152E-2</v>
      </c>
      <c r="W46" s="49" t="str">
        <f>VLOOKUP(A46,Лист3!$A$3:$E$74,1,0)</f>
        <v>УСС по Ульяновской области</v>
      </c>
    </row>
    <row r="47" spans="1:23" x14ac:dyDescent="0.25">
      <c r="A47" s="65" t="s">
        <v>324</v>
      </c>
      <c r="B47" s="94">
        <v>153406.53168000001</v>
      </c>
      <c r="C47" s="23">
        <v>137453.25097999998</v>
      </c>
      <c r="D47" s="23">
        <f t="shared" si="11"/>
        <v>-15953.280700000032</v>
      </c>
      <c r="E47" s="24">
        <f t="shared" si="12"/>
        <v>0.89600650946676808</v>
      </c>
      <c r="F47" s="94">
        <f>данные!B54</f>
        <v>64147.792350000003</v>
      </c>
      <c r="G47" s="23">
        <f>данные!C54</f>
        <v>74237.522930000006</v>
      </c>
      <c r="H47" s="23">
        <f t="shared" si="13"/>
        <v>10089.730580000003</v>
      </c>
      <c r="I47" s="24">
        <f t="shared" si="14"/>
        <v>1.157288820244178</v>
      </c>
      <c r="J47" s="94">
        <f>данные!I54</f>
        <v>2886.2260699999997</v>
      </c>
      <c r="K47" s="23">
        <f>данные!J54</f>
        <v>3371.93084</v>
      </c>
      <c r="L47" s="94">
        <f>данные!P54</f>
        <v>70383.754499999995</v>
      </c>
      <c r="M47" s="23">
        <f>данные!Q54</f>
        <v>72258.402069999996</v>
      </c>
      <c r="N47" s="82">
        <f t="shared" si="15"/>
        <v>1874.647570000001</v>
      </c>
      <c r="O47" s="94">
        <f>данные!S54</f>
        <v>3586.5223799999999</v>
      </c>
      <c r="P47" s="23">
        <f>данные!T54</f>
        <v>5391.9955399999999</v>
      </c>
      <c r="Q47" s="23">
        <f t="shared" si="16"/>
        <v>1805.47316</v>
      </c>
      <c r="R47" s="113">
        <f t="shared" si="10"/>
        <v>1.5034049613263532</v>
      </c>
      <c r="S47" s="110">
        <f t="shared" si="17"/>
        <v>5.3503019280878125E-2</v>
      </c>
      <c r="T47" s="110">
        <f t="shared" si="18"/>
        <v>6.9476014558477406E-2</v>
      </c>
      <c r="U47" s="121">
        <f t="shared" si="19"/>
        <v>1.5972995277599281E-2</v>
      </c>
      <c r="W47" s="49" t="str">
        <f>VLOOKUP(A47,Лист3!$A$3:$E$74,1,0)</f>
        <v>УСС по Самарской области</v>
      </c>
    </row>
    <row r="48" spans="1:23" x14ac:dyDescent="0.25">
      <c r="A48" s="141" t="s">
        <v>329</v>
      </c>
      <c r="B48" s="94">
        <v>41155.565880000002</v>
      </c>
      <c r="C48" s="23">
        <v>42568.81093</v>
      </c>
      <c r="D48" s="23">
        <f t="shared" si="11"/>
        <v>1413.2450499999977</v>
      </c>
      <c r="E48" s="24">
        <f t="shared" si="12"/>
        <v>1.0343390989719516</v>
      </c>
      <c r="F48" s="94">
        <f>данные!B59</f>
        <v>20504.18519</v>
      </c>
      <c r="G48" s="23">
        <f>данные!C59</f>
        <v>22664.569210000001</v>
      </c>
      <c r="H48" s="23">
        <f t="shared" si="13"/>
        <v>2160.3840200000013</v>
      </c>
      <c r="I48" s="24">
        <f t="shared" si="14"/>
        <v>1.1053630758784618</v>
      </c>
      <c r="J48" s="94">
        <f>данные!I59</f>
        <v>2517.5518199999997</v>
      </c>
      <c r="K48" s="23">
        <f>данные!J59</f>
        <v>1439.3118999999999</v>
      </c>
      <c r="L48" s="94">
        <f>данные!P59</f>
        <v>23974.215329999999</v>
      </c>
      <c r="M48" s="23">
        <f>данные!Q59</f>
        <v>22281.773289999997</v>
      </c>
      <c r="N48" s="82">
        <f t="shared" si="15"/>
        <v>-1692.4420400000017</v>
      </c>
      <c r="O48" s="94">
        <f>данные!S59</f>
        <v>-452.35503000000006</v>
      </c>
      <c r="P48" s="23">
        <f>данные!T59</f>
        <v>966.32456000000002</v>
      </c>
      <c r="Q48" s="23">
        <f t="shared" si="16"/>
        <v>1418.6795900000002</v>
      </c>
      <c r="R48" s="113">
        <f t="shared" si="10"/>
        <v>-2.1362082787053343</v>
      </c>
      <c r="S48" s="110">
        <f t="shared" si="17"/>
        <v>-1.9649039940101375E-2</v>
      </c>
      <c r="T48" s="110">
        <f t="shared" si="18"/>
        <v>4.0089998601889054E-2</v>
      </c>
      <c r="U48" s="121">
        <f t="shared" si="19"/>
        <v>5.9739038541990433E-2</v>
      </c>
      <c r="W48" s="49" t="e">
        <f>VLOOKUP(A48,Лист3!$A$3:$E$74,1,0)</f>
        <v>#N/A</v>
      </c>
    </row>
    <row r="49" spans="1:23" x14ac:dyDescent="0.25">
      <c r="A49" s="66" t="s">
        <v>331</v>
      </c>
      <c r="B49" s="91">
        <v>63872.313849999999</v>
      </c>
      <c r="C49" s="72">
        <v>71240.562260000006</v>
      </c>
      <c r="D49" s="72">
        <f t="shared" si="11"/>
        <v>7368.2484100000074</v>
      </c>
      <c r="E49" s="73">
        <f t="shared" si="12"/>
        <v>1.1153590337638912</v>
      </c>
      <c r="F49" s="91">
        <f>данные!B61</f>
        <v>35849.505799999999</v>
      </c>
      <c r="G49" s="72">
        <f>данные!C61</f>
        <v>35506.672829999996</v>
      </c>
      <c r="H49" s="72">
        <f t="shared" si="13"/>
        <v>-342.83297000000312</v>
      </c>
      <c r="I49" s="73">
        <f t="shared" si="14"/>
        <v>0.99043688434890498</v>
      </c>
      <c r="J49" s="91">
        <f>данные!I61</f>
        <v>692.44938000000002</v>
      </c>
      <c r="K49" s="72">
        <f>данные!J61</f>
        <v>906.65031999999997</v>
      </c>
      <c r="L49" s="91">
        <f>данные!P61</f>
        <v>29380.049070000001</v>
      </c>
      <c r="M49" s="72">
        <f>данные!Q61</f>
        <v>31133.069950000001</v>
      </c>
      <c r="N49" s="92">
        <f t="shared" si="15"/>
        <v>1753.02088</v>
      </c>
      <c r="O49" s="91">
        <f>данные!S61</f>
        <v>6514.8774899999999</v>
      </c>
      <c r="P49" s="72">
        <f>данные!T61</f>
        <v>5455.2585199999994</v>
      </c>
      <c r="Q49" s="72">
        <f t="shared" si="16"/>
        <v>-1059.6189700000004</v>
      </c>
      <c r="R49" s="114">
        <f t="shared" si="10"/>
        <v>0.83735396841667997</v>
      </c>
      <c r="S49" s="110">
        <f t="shared" si="17"/>
        <v>0.17828486346471406</v>
      </c>
      <c r="T49" s="110">
        <f t="shared" si="18"/>
        <v>0.14981490421864999</v>
      </c>
      <c r="U49" s="122">
        <f t="shared" si="19"/>
        <v>-2.8469959246064075E-2</v>
      </c>
      <c r="W49" s="49" t="str">
        <f>VLOOKUP(A49,Лист3!$A$3:$E$74,1,0)</f>
        <v>УСС по Оренбургской области</v>
      </c>
    </row>
    <row r="50" spans="1:23" x14ac:dyDescent="0.25">
      <c r="A50" s="142" t="s">
        <v>332</v>
      </c>
      <c r="B50" s="93">
        <v>360751.49943999999</v>
      </c>
      <c r="C50" s="59">
        <v>375545.26406999998</v>
      </c>
      <c r="D50" s="59">
        <f t="shared" si="11"/>
        <v>14793.764629999991</v>
      </c>
      <c r="E50" s="58">
        <f t="shared" si="12"/>
        <v>1.041008186114166</v>
      </c>
      <c r="F50" s="93">
        <f>данные!B62</f>
        <v>176831.88503</v>
      </c>
      <c r="G50" s="59">
        <f>данные!C62</f>
        <v>192768.704</v>
      </c>
      <c r="H50" s="59">
        <f t="shared" si="13"/>
        <v>15936.818969999993</v>
      </c>
      <c r="I50" s="58">
        <f t="shared" si="14"/>
        <v>1.0901241253368772</v>
      </c>
      <c r="J50" s="93">
        <f>данные!I62</f>
        <v>984.20958999999993</v>
      </c>
      <c r="K50" s="59">
        <f>данные!J62</f>
        <v>-270.01790999999997</v>
      </c>
      <c r="L50" s="93">
        <f>данные!P62</f>
        <v>138213.57431999999</v>
      </c>
      <c r="M50" s="59">
        <f>данные!Q62</f>
        <v>141705.44515000001</v>
      </c>
      <c r="N50" s="90">
        <f t="shared" si="15"/>
        <v>3491.8708300000289</v>
      </c>
      <c r="O50" s="93">
        <f>данные!S62</f>
        <v>49726.848619999997</v>
      </c>
      <c r="P50" s="59">
        <f>данные!T62</f>
        <v>44431.471409999998</v>
      </c>
      <c r="Q50" s="59">
        <f t="shared" si="16"/>
        <v>-5295.3772099999987</v>
      </c>
      <c r="R50" s="112">
        <f t="shared" si="10"/>
        <v>0.89351070182496517</v>
      </c>
      <c r="S50" s="110">
        <f t="shared" si="17"/>
        <v>0.27965324919697637</v>
      </c>
      <c r="T50" s="110">
        <f t="shared" si="18"/>
        <v>0.23081441391878749</v>
      </c>
      <c r="U50" s="120">
        <f t="shared" si="19"/>
        <v>-4.8838835278188886E-2</v>
      </c>
      <c r="W50" s="49" t="e">
        <f>VLOOKUP(A50,Лист3!$A$3:$E$74,1,0)</f>
        <v>#N/A</v>
      </c>
    </row>
    <row r="51" spans="1:23" x14ac:dyDescent="0.25">
      <c r="A51" s="65" t="s">
        <v>340</v>
      </c>
      <c r="B51" s="94">
        <v>106019.8106</v>
      </c>
      <c r="C51" s="23">
        <v>118148.23315</v>
      </c>
      <c r="D51" s="23">
        <f t="shared" si="11"/>
        <v>12128.422550000003</v>
      </c>
      <c r="E51" s="24">
        <f t="shared" si="12"/>
        <v>1.1143977005935153</v>
      </c>
      <c r="F51" s="94">
        <f>данные!B70</f>
        <v>65159.335270000003</v>
      </c>
      <c r="G51" s="23">
        <f>данные!C70</f>
        <v>61670.39</v>
      </c>
      <c r="H51" s="23">
        <f t="shared" si="13"/>
        <v>-3488.9452700000038</v>
      </c>
      <c r="I51" s="24">
        <f t="shared" si="14"/>
        <v>0.94645517398937695</v>
      </c>
      <c r="J51" s="94">
        <f>данные!I70</f>
        <v>-544.06567000000007</v>
      </c>
      <c r="K51" s="23">
        <f>данные!J70</f>
        <v>-424.72904</v>
      </c>
      <c r="L51" s="94">
        <f>данные!P70</f>
        <v>59565.355109999997</v>
      </c>
      <c r="M51" s="23">
        <f>данные!Q70</f>
        <v>56046.378530000002</v>
      </c>
      <c r="N51" s="82">
        <f t="shared" si="15"/>
        <v>-3518.976579999995</v>
      </c>
      <c r="O51" s="94">
        <f>данные!S70</f>
        <v>4092.4029100000002</v>
      </c>
      <c r="P51" s="23">
        <f>данные!T70</f>
        <v>1248.7753400000001</v>
      </c>
      <c r="Q51" s="23">
        <f t="shared" si="16"/>
        <v>-2843.6275700000001</v>
      </c>
      <c r="R51" s="113">
        <f t="shared" si="10"/>
        <v>0.30514476884681918</v>
      </c>
      <c r="S51" s="110">
        <f t="shared" si="17"/>
        <v>6.3334919676633225E-2</v>
      </c>
      <c r="T51" s="110">
        <f t="shared" si="18"/>
        <v>2.0389613246489163E-2</v>
      </c>
      <c r="U51" s="121">
        <f t="shared" si="19"/>
        <v>-4.2945306430144062E-2</v>
      </c>
      <c r="W51" s="49" t="str">
        <f>VLOOKUP(A51,Лист3!$A$3:$E$74,1,0)</f>
        <v>УСС по Забайкальскому краю</v>
      </c>
    </row>
    <row r="52" spans="1:23" x14ac:dyDescent="0.25">
      <c r="A52" s="65" t="s">
        <v>330</v>
      </c>
      <c r="B52" s="94">
        <v>56421.971509999996</v>
      </c>
      <c r="C52" s="23">
        <v>54630.126969999998</v>
      </c>
      <c r="D52" s="23">
        <f t="shared" si="11"/>
        <v>-1791.8445399999982</v>
      </c>
      <c r="E52" s="24">
        <f t="shared" si="12"/>
        <v>0.96824207853703903</v>
      </c>
      <c r="F52" s="94">
        <f>данные!B60</f>
        <v>28853.497420000003</v>
      </c>
      <c r="G52" s="23">
        <f>данные!C60</f>
        <v>30300.585239999997</v>
      </c>
      <c r="H52" s="23">
        <f t="shared" si="13"/>
        <v>1447.0878199999934</v>
      </c>
      <c r="I52" s="24">
        <f t="shared" si="14"/>
        <v>1.0501529432961196</v>
      </c>
      <c r="J52" s="94">
        <f>данные!I60</f>
        <v>74.929539999999989</v>
      </c>
      <c r="K52" s="23">
        <f>данные!J60</f>
        <v>182.25345000000002</v>
      </c>
      <c r="L52" s="94">
        <f>данные!P60</f>
        <v>21238.28369</v>
      </c>
      <c r="M52" s="23">
        <f>данные!Q60</f>
        <v>20575.480600000003</v>
      </c>
      <c r="N52" s="82">
        <f t="shared" si="15"/>
        <v>-662.80308999999761</v>
      </c>
      <c r="O52" s="94">
        <f>данные!S60</f>
        <v>6574.1267500000004</v>
      </c>
      <c r="P52" s="23">
        <f>данные!T60</f>
        <v>7309.7837300000001</v>
      </c>
      <c r="Q52" s="23">
        <f t="shared" si="16"/>
        <v>735.65697999999975</v>
      </c>
      <c r="R52" s="113">
        <f t="shared" si="10"/>
        <v>1.1119018552540076</v>
      </c>
      <c r="S52" s="110">
        <f t="shared" si="17"/>
        <v>0.22725489910288574</v>
      </c>
      <c r="T52" s="110">
        <f t="shared" si="18"/>
        <v>0.23979996759284761</v>
      </c>
      <c r="U52" s="121">
        <f t="shared" si="19"/>
        <v>1.2545068489961869E-2</v>
      </c>
      <c r="W52" s="49" t="str">
        <f>VLOOKUP(A52,Лист3!$A$3:$E$74,1,0)</f>
        <v>УСС по Курганской области</v>
      </c>
    </row>
    <row r="53" spans="1:23" x14ac:dyDescent="0.25">
      <c r="A53" s="65" t="s">
        <v>343</v>
      </c>
      <c r="B53" s="94">
        <v>247743.51800000001</v>
      </c>
      <c r="C53" s="23">
        <v>256766.06816</v>
      </c>
      <c r="D53" s="23">
        <f t="shared" si="11"/>
        <v>9022.5501599999843</v>
      </c>
      <c r="E53" s="24">
        <f t="shared" si="12"/>
        <v>1.0364189151459453</v>
      </c>
      <c r="F53" s="94">
        <f>данные!B73</f>
        <v>136635.48611000003</v>
      </c>
      <c r="G53" s="23">
        <f>данные!C73</f>
        <v>143755.45264999999</v>
      </c>
      <c r="H53" s="23">
        <f t="shared" si="13"/>
        <v>7119.9665399999649</v>
      </c>
      <c r="I53" s="24">
        <f t="shared" si="14"/>
        <v>1.0521092048830416</v>
      </c>
      <c r="J53" s="94">
        <f>данные!I73</f>
        <v>2058.73675</v>
      </c>
      <c r="K53" s="23">
        <f>данные!J73</f>
        <v>-1679.02143</v>
      </c>
      <c r="L53" s="94">
        <f>данные!P73</f>
        <v>122864.14345999999</v>
      </c>
      <c r="M53" s="23">
        <f>данные!Q73</f>
        <v>115485.34142</v>
      </c>
      <c r="N53" s="82">
        <f t="shared" si="15"/>
        <v>-7378.802039999995</v>
      </c>
      <c r="O53" s="94">
        <f>данные!S73</f>
        <v>20218.234420000001</v>
      </c>
      <c r="P53" s="23">
        <f>данные!T73</f>
        <v>17990.315839999999</v>
      </c>
      <c r="Q53" s="23">
        <f t="shared" si="16"/>
        <v>-2227.9185800000014</v>
      </c>
      <c r="R53" s="113">
        <f t="shared" si="10"/>
        <v>0.88980647203317953</v>
      </c>
      <c r="S53" s="110">
        <f t="shared" si="17"/>
        <v>0.14577560624431041</v>
      </c>
      <c r="T53" s="110">
        <f t="shared" si="18"/>
        <v>0.12662420983915815</v>
      </c>
      <c r="U53" s="121">
        <f t="shared" si="19"/>
        <v>-1.915139640515226E-2</v>
      </c>
      <c r="W53" s="49" t="str">
        <f>VLOOKUP(A53,Лист3!$A$3:$E$74,1,0)</f>
        <v>УСС по Красноярскому краю</v>
      </c>
    </row>
    <row r="54" spans="1:23" x14ac:dyDescent="0.25">
      <c r="A54" s="65" t="s">
        <v>344</v>
      </c>
      <c r="B54" s="94">
        <v>72339.44604000001</v>
      </c>
      <c r="C54" s="23">
        <v>83357.350279999999</v>
      </c>
      <c r="D54" s="23">
        <f t="shared" si="11"/>
        <v>11017.904239999989</v>
      </c>
      <c r="E54" s="24">
        <f t="shared" si="12"/>
        <v>1.1523083855785632</v>
      </c>
      <c r="F54" s="94">
        <f>данные!B74</f>
        <v>45481.833630000001</v>
      </c>
      <c r="G54" s="23">
        <f>данные!C74</f>
        <v>44039.036999999997</v>
      </c>
      <c r="H54" s="23">
        <f t="shared" si="13"/>
        <v>-1442.7966300000044</v>
      </c>
      <c r="I54" s="24">
        <f t="shared" si="14"/>
        <v>0.96827751841015641</v>
      </c>
      <c r="J54" s="94">
        <f>данные!I74</f>
        <v>638.32306999999992</v>
      </c>
      <c r="K54" s="23">
        <f>данные!J74</f>
        <v>-569.06931999999995</v>
      </c>
      <c r="L54" s="94">
        <f>данные!P74</f>
        <v>37689.421190000001</v>
      </c>
      <c r="M54" s="23">
        <f>данные!Q74</f>
        <v>36098.174610000002</v>
      </c>
      <c r="N54" s="82">
        <f t="shared" si="15"/>
        <v>-1591.2465799999991</v>
      </c>
      <c r="O54" s="94">
        <f>данные!S74</f>
        <v>8320.7910900000006</v>
      </c>
      <c r="P54" s="23">
        <f>данные!T74</f>
        <v>5590.3510900000001</v>
      </c>
      <c r="Q54" s="23">
        <f t="shared" si="16"/>
        <v>-2730.4400000000005</v>
      </c>
      <c r="R54" s="113">
        <f t="shared" si="10"/>
        <v>0.67185331653363256</v>
      </c>
      <c r="S54" s="110">
        <f t="shared" si="17"/>
        <v>0.18041549910865765</v>
      </c>
      <c r="T54" s="110">
        <f t="shared" si="18"/>
        <v>0.12860260516301356</v>
      </c>
      <c r="U54" s="121">
        <f t="shared" si="19"/>
        <v>-5.181289394564409E-2</v>
      </c>
      <c r="W54" s="49" t="str">
        <f>VLOOKUP(A54,Лист3!$A$3:$E$74,1,0)</f>
        <v>УСС по Омской области</v>
      </c>
    </row>
    <row r="55" spans="1:23" x14ac:dyDescent="0.25">
      <c r="A55" s="65" t="s">
        <v>349</v>
      </c>
      <c r="B55" s="94">
        <v>196598.7586</v>
      </c>
      <c r="C55" s="23">
        <v>204761.26347000001</v>
      </c>
      <c r="D55" s="23">
        <f t="shared" si="11"/>
        <v>8162.5048700000043</v>
      </c>
      <c r="E55" s="24">
        <f t="shared" si="12"/>
        <v>1.0415185982257775</v>
      </c>
      <c r="F55" s="94">
        <f>данные!B79</f>
        <v>115856.06108</v>
      </c>
      <c r="G55" s="23">
        <f>данные!C79</f>
        <v>107372.57784999999</v>
      </c>
      <c r="H55" s="23">
        <f t="shared" si="13"/>
        <v>-8483.4832300000126</v>
      </c>
      <c r="I55" s="24">
        <f t="shared" si="14"/>
        <v>0.92677566325906713</v>
      </c>
      <c r="J55" s="94">
        <f>данные!I79</f>
        <v>748.95450000000005</v>
      </c>
      <c r="K55" s="23">
        <f>данные!J79</f>
        <v>622.39168000000006</v>
      </c>
      <c r="L55" s="94">
        <f>данные!P79</f>
        <v>96801.54002</v>
      </c>
      <c r="M55" s="23">
        <f>данные!Q79</f>
        <v>92316.571110000004</v>
      </c>
      <c r="N55" s="82">
        <f t="shared" si="15"/>
        <v>-4484.968909999996</v>
      </c>
      <c r="O55" s="94">
        <f>данные!S79</f>
        <v>11875.169960000001</v>
      </c>
      <c r="P55" s="23">
        <f>данные!T79</f>
        <v>9055.9939300000005</v>
      </c>
      <c r="Q55" s="23">
        <f t="shared" si="16"/>
        <v>-2819.1760300000005</v>
      </c>
      <c r="R55" s="113">
        <f t="shared" si="10"/>
        <v>0.76259910051847368</v>
      </c>
      <c r="S55" s="110">
        <f t="shared" si="17"/>
        <v>0.10184098772194512</v>
      </c>
      <c r="T55" s="110">
        <f t="shared" si="18"/>
        <v>8.3855701514729639E-2</v>
      </c>
      <c r="U55" s="121">
        <f t="shared" si="19"/>
        <v>-1.7985286207215484E-2</v>
      </c>
      <c r="W55" s="49" t="str">
        <f>VLOOKUP(A55,Лист3!$A$3:$E$74,1,0)</f>
        <v>УСС по Хабаровскому краю</v>
      </c>
    </row>
    <row r="56" spans="1:23" x14ac:dyDescent="0.25">
      <c r="A56" s="65" t="s">
        <v>334</v>
      </c>
      <c r="B56" s="94">
        <v>143547.9443</v>
      </c>
      <c r="C56" s="23">
        <v>132860.11744999999</v>
      </c>
      <c r="D56" s="23">
        <f t="shared" si="11"/>
        <v>-10687.826850000012</v>
      </c>
      <c r="E56" s="24">
        <f t="shared" si="12"/>
        <v>0.92554524620942269</v>
      </c>
      <c r="F56" s="94">
        <f>данные!B64</f>
        <v>71081.333060000004</v>
      </c>
      <c r="G56" s="23">
        <f>данные!C64</f>
        <v>76509.259000000005</v>
      </c>
      <c r="H56" s="23">
        <f t="shared" si="13"/>
        <v>5427.925940000001</v>
      </c>
      <c r="I56" s="24">
        <f t="shared" si="14"/>
        <v>1.076362185489941</v>
      </c>
      <c r="J56" s="94">
        <f>данные!I64</f>
        <v>2118.8222299999998</v>
      </c>
      <c r="K56" s="23">
        <f>данные!J64</f>
        <v>4417.13645</v>
      </c>
      <c r="L56" s="94">
        <f>данные!P64</f>
        <v>72118.77996</v>
      </c>
      <c r="M56" s="23">
        <f>данные!Q64</f>
        <v>69186.891090000005</v>
      </c>
      <c r="N56" s="82">
        <f t="shared" si="15"/>
        <v>-2931.8888699999952</v>
      </c>
      <c r="O56" s="94">
        <f>данные!S64</f>
        <v>2880.1900099999998</v>
      </c>
      <c r="P56" s="23">
        <f>данные!T64</f>
        <v>5222.0682699999998</v>
      </c>
      <c r="Q56" s="23">
        <f t="shared" si="16"/>
        <v>2341.87826</v>
      </c>
      <c r="R56" s="113">
        <f t="shared" si="10"/>
        <v>1.8130985288710171</v>
      </c>
      <c r="S56" s="110">
        <f t="shared" si="17"/>
        <v>3.9346774587969584E-2</v>
      </c>
      <c r="T56" s="110">
        <f t="shared" si="18"/>
        <v>6.4528615675542231E-2</v>
      </c>
      <c r="U56" s="121">
        <f t="shared" si="19"/>
        <v>2.5181841087572647E-2</v>
      </c>
      <c r="W56" s="49" t="str">
        <f>VLOOKUP(A56,Лист3!$A$3:$E$74,1,0)</f>
        <v>УСС по Тюменской области</v>
      </c>
    </row>
    <row r="57" spans="1:23" x14ac:dyDescent="0.25">
      <c r="A57" s="65" t="s">
        <v>351</v>
      </c>
      <c r="B57" s="94">
        <v>63942.2768</v>
      </c>
      <c r="C57" s="23">
        <v>68468.674700000003</v>
      </c>
      <c r="D57" s="23">
        <f t="shared" si="11"/>
        <v>4526.3979000000036</v>
      </c>
      <c r="E57" s="24">
        <f t="shared" si="12"/>
        <v>1.070788813388015</v>
      </c>
      <c r="F57" s="94">
        <f>данные!B81</f>
        <v>38446.237090000002</v>
      </c>
      <c r="G57" s="23">
        <f>данные!C81</f>
        <v>39048.752270000005</v>
      </c>
      <c r="H57" s="23">
        <f t="shared" si="13"/>
        <v>602.51518000000215</v>
      </c>
      <c r="I57" s="24">
        <f t="shared" si="14"/>
        <v>1.0156716294130308</v>
      </c>
      <c r="J57" s="94">
        <f>данные!I81</f>
        <v>316.68048999999996</v>
      </c>
      <c r="K57" s="23">
        <f>данные!J81</f>
        <v>-32.106700000000004</v>
      </c>
      <c r="L57" s="94">
        <f>данные!P81</f>
        <v>41383.877829999998</v>
      </c>
      <c r="M57" s="23">
        <f>данные!Q81</f>
        <v>38857.256399999998</v>
      </c>
      <c r="N57" s="82">
        <f t="shared" si="15"/>
        <v>-2526.6214299999992</v>
      </c>
      <c r="O57" s="94">
        <f>данные!S81</f>
        <v>-925.91958999999997</v>
      </c>
      <c r="P57" s="23">
        <f>данные!T81</f>
        <v>-1613.67569</v>
      </c>
      <c r="Q57" s="23">
        <f t="shared" si="16"/>
        <v>-687.75610000000006</v>
      </c>
      <c r="R57" s="113">
        <f t="shared" ref="R57:R78" si="20">IFERROR(P57/O57,0)</f>
        <v>1.7427816707064163</v>
      </c>
      <c r="S57" s="110">
        <f t="shared" si="17"/>
        <v>-2.388673628833694E-2</v>
      </c>
      <c r="T57" s="110">
        <f t="shared" si="18"/>
        <v>-4.1358647480468164E-2</v>
      </c>
      <c r="U57" s="121">
        <f t="shared" si="19"/>
        <v>-1.7471911192131224E-2</v>
      </c>
      <c r="W57" s="49" t="str">
        <f>VLOOKUP(A57,Лист3!$A$3:$E$74,1,0)</f>
        <v>УСС по Камчатскому краю</v>
      </c>
    </row>
    <row r="58" spans="1:23" x14ac:dyDescent="0.25">
      <c r="A58" s="66" t="s">
        <v>336</v>
      </c>
      <c r="B58" s="91">
        <v>133603.17879999999</v>
      </c>
      <c r="C58" s="72">
        <v>133230.54230999999</v>
      </c>
      <c r="D58" s="72">
        <f t="shared" si="11"/>
        <v>-372.63649000000441</v>
      </c>
      <c r="E58" s="73">
        <f t="shared" si="12"/>
        <v>0.99721087107846562</v>
      </c>
      <c r="F58" s="91">
        <f>данные!B66</f>
        <v>67687.734799999991</v>
      </c>
      <c r="G58" s="72">
        <f>данные!C66</f>
        <v>73845.956340000004</v>
      </c>
      <c r="H58" s="72">
        <f t="shared" si="13"/>
        <v>6158.2215400000132</v>
      </c>
      <c r="I58" s="73">
        <f t="shared" si="14"/>
        <v>1.0909798733580904</v>
      </c>
      <c r="J58" s="91">
        <f>данные!I66</f>
        <v>865.95501999999999</v>
      </c>
      <c r="K58" s="72">
        <f>данные!J66</f>
        <v>694.95368999999994</v>
      </c>
      <c r="L58" s="91">
        <f>данные!P66</f>
        <v>60050.264049999998</v>
      </c>
      <c r="M58" s="72">
        <f>данные!Q66</f>
        <v>60006.4928</v>
      </c>
      <c r="N58" s="92">
        <f t="shared" si="15"/>
        <v>-43.771249999997963</v>
      </c>
      <c r="O58" s="91">
        <f>данные!S66</f>
        <v>15450.629710000001</v>
      </c>
      <c r="P58" s="72">
        <f>данные!T66</f>
        <v>11729.3171</v>
      </c>
      <c r="Q58" s="72">
        <f t="shared" si="16"/>
        <v>-3721.3126100000009</v>
      </c>
      <c r="R58" s="114">
        <f t="shared" si="20"/>
        <v>0.75914815901700872</v>
      </c>
      <c r="S58" s="110">
        <f t="shared" si="17"/>
        <v>0.22537998684780355</v>
      </c>
      <c r="T58" s="110">
        <f t="shared" si="18"/>
        <v>0.15735409046226265</v>
      </c>
      <c r="U58" s="122">
        <f t="shared" si="19"/>
        <v>-6.8025896385540907E-2</v>
      </c>
      <c r="W58" s="49" t="str">
        <f>VLOOKUP(A58,Лист3!$A$3:$E$74,1,0)</f>
        <v>УСС по Челябинской области</v>
      </c>
    </row>
    <row r="59" spans="1:23" x14ac:dyDescent="0.25">
      <c r="A59" s="64" t="s">
        <v>338</v>
      </c>
      <c r="B59" s="93">
        <v>215396.47983000003</v>
      </c>
      <c r="C59" s="59">
        <v>205533.33859</v>
      </c>
      <c r="D59" s="59">
        <f t="shared" si="11"/>
        <v>-9863.1412400000263</v>
      </c>
      <c r="E59" s="58">
        <f t="shared" si="12"/>
        <v>0.95420936661646261</v>
      </c>
      <c r="F59" s="93">
        <f>данные!B68</f>
        <v>112646.27195000001</v>
      </c>
      <c r="G59" s="59">
        <f>данные!C68</f>
        <v>114461.34</v>
      </c>
      <c r="H59" s="59">
        <f t="shared" si="13"/>
        <v>1815.0680499999871</v>
      </c>
      <c r="I59" s="58">
        <f t="shared" si="14"/>
        <v>1.0161129881937472</v>
      </c>
      <c r="J59" s="93">
        <f>данные!I68</f>
        <v>-602.08897000000002</v>
      </c>
      <c r="K59" s="59">
        <f>данные!J68</f>
        <v>4050.7760699999999</v>
      </c>
      <c r="L59" s="93">
        <f>данные!P68</f>
        <v>119719.41876999999</v>
      </c>
      <c r="M59" s="59">
        <f>данные!Q68</f>
        <v>115258.48233</v>
      </c>
      <c r="N59" s="90">
        <f t="shared" si="15"/>
        <v>-4460.9364399999904</v>
      </c>
      <c r="O59" s="93">
        <f>данные!S68</f>
        <v>-2306.6869900000002</v>
      </c>
      <c r="P59" s="59">
        <f>данные!T68</f>
        <v>-4688.1341199999997</v>
      </c>
      <c r="Q59" s="59">
        <f t="shared" si="16"/>
        <v>-2381.4471299999996</v>
      </c>
      <c r="R59" s="112">
        <f t="shared" si="20"/>
        <v>2.032410179761754</v>
      </c>
      <c r="S59" s="110">
        <f t="shared" si="17"/>
        <v>-2.0587298051981385E-2</v>
      </c>
      <c r="T59" s="110">
        <f t="shared" si="18"/>
        <v>-3.9558268601253575E-2</v>
      </c>
      <c r="U59" s="120">
        <f t="shared" si="19"/>
        <v>-1.897097054927219E-2</v>
      </c>
      <c r="W59" s="49" t="str">
        <f>VLOOKUP(A59,Лист3!$A$3:$E$74,1,0)</f>
        <v>УСС по Новосибирской области</v>
      </c>
    </row>
    <row r="60" spans="1:23" x14ac:dyDescent="0.25">
      <c r="A60" s="65" t="s">
        <v>339</v>
      </c>
      <c r="B60" s="94">
        <v>74174.75106000001</v>
      </c>
      <c r="C60" s="23">
        <v>70268.449890000004</v>
      </c>
      <c r="D60" s="23">
        <f t="shared" si="11"/>
        <v>-3906.3011700000061</v>
      </c>
      <c r="E60" s="24">
        <f t="shared" si="12"/>
        <v>0.94733651122279872</v>
      </c>
      <c r="F60" s="94">
        <f>данные!B69</f>
        <v>33906.802200000006</v>
      </c>
      <c r="G60" s="23">
        <f>данные!C69</f>
        <v>39355.309930000003</v>
      </c>
      <c r="H60" s="23">
        <f t="shared" si="13"/>
        <v>5448.5077299999975</v>
      </c>
      <c r="I60" s="24">
        <f t="shared" si="14"/>
        <v>1.1606906985171253</v>
      </c>
      <c r="J60" s="94">
        <f>данные!I69</f>
        <v>503.20256000000001</v>
      </c>
      <c r="K60" s="23">
        <f>данные!J69</f>
        <v>875.4214300000001</v>
      </c>
      <c r="L60" s="94">
        <f>данные!P69</f>
        <v>41226.757359999996</v>
      </c>
      <c r="M60" s="23">
        <f>данные!Q69</f>
        <v>37986.995840000003</v>
      </c>
      <c r="N60" s="82">
        <f t="shared" si="15"/>
        <v>-3239.7615199999927</v>
      </c>
      <c r="O60" s="94">
        <f>данные!S69</f>
        <v>-1555.7171899999998</v>
      </c>
      <c r="P60" s="23">
        <f>данные!T69</f>
        <v>-1094.5959599999999</v>
      </c>
      <c r="Q60" s="23">
        <f t="shared" si="16"/>
        <v>461.12122999999997</v>
      </c>
      <c r="R60" s="113">
        <f t="shared" si="20"/>
        <v>0.70359572230477185</v>
      </c>
      <c r="S60" s="110">
        <f t="shared" si="17"/>
        <v>-4.5211187875464846E-2</v>
      </c>
      <c r="T60" s="110">
        <f t="shared" si="18"/>
        <v>-2.7207955783978562E-2</v>
      </c>
      <c r="U60" s="121">
        <f t="shared" si="19"/>
        <v>1.8003232091486285E-2</v>
      </c>
      <c r="W60" s="49" t="str">
        <f>VLOOKUP(A60,Лист3!$A$3:$E$74,1,0)</f>
        <v>УСС по Алтайскому краю</v>
      </c>
    </row>
    <row r="61" spans="1:23" x14ac:dyDescent="0.25">
      <c r="A61" s="65" t="s">
        <v>355</v>
      </c>
      <c r="B61" s="94">
        <v>41866.677880000003</v>
      </c>
      <c r="C61" s="23">
        <v>45689.871039999998</v>
      </c>
      <c r="D61" s="23">
        <f t="shared" si="11"/>
        <v>3823.1931599999953</v>
      </c>
      <c r="E61" s="24">
        <f t="shared" si="12"/>
        <v>1.0913182835036062</v>
      </c>
      <c r="F61" s="94">
        <f>данные!B85</f>
        <v>21717.205280000002</v>
      </c>
      <c r="G61" s="23">
        <f>данные!C85</f>
        <v>28634.673329999998</v>
      </c>
      <c r="H61" s="23">
        <f t="shared" si="13"/>
        <v>6917.4680499999959</v>
      </c>
      <c r="I61" s="24">
        <f t="shared" si="14"/>
        <v>1.3185247807355069</v>
      </c>
      <c r="J61" s="94">
        <f>данные!I85</f>
        <v>-0.34566000000000002</v>
      </c>
      <c r="K61" s="23">
        <f>данные!J85</f>
        <v>540.00401999999997</v>
      </c>
      <c r="L61" s="94">
        <f>данные!P85</f>
        <v>33924.676500000001</v>
      </c>
      <c r="M61" s="23">
        <f>данные!Q85</f>
        <v>29731.646140000001</v>
      </c>
      <c r="N61" s="82">
        <f t="shared" si="15"/>
        <v>-4193.0303600000007</v>
      </c>
      <c r="O61" s="94">
        <f>данные!S85</f>
        <v>-3631.9519300000002</v>
      </c>
      <c r="P61" s="23">
        <f>данные!T85</f>
        <v>-4232.2790700000005</v>
      </c>
      <c r="Q61" s="23">
        <f t="shared" si="16"/>
        <v>-600.32714000000033</v>
      </c>
      <c r="R61" s="113">
        <f t="shared" si="20"/>
        <v>1.1652904971129396</v>
      </c>
      <c r="S61" s="110">
        <f t="shared" si="17"/>
        <v>-0.16724112019654891</v>
      </c>
      <c r="T61" s="110">
        <f t="shared" si="18"/>
        <v>-0.14506686806598054</v>
      </c>
      <c r="U61" s="121">
        <f t="shared" si="19"/>
        <v>2.2174252130568367E-2</v>
      </c>
      <c r="W61" s="49" t="str">
        <f>VLOOKUP(A61,Лист3!$A$3:$E$74,1,0)</f>
        <v>УСС по Чукотскому автономному округу</v>
      </c>
    </row>
    <row r="62" spans="1:23" x14ac:dyDescent="0.25">
      <c r="A62" s="65" t="s">
        <v>341</v>
      </c>
      <c r="B62" s="94">
        <v>147945.23809999999</v>
      </c>
      <c r="C62" s="23">
        <v>136422.99961000003</v>
      </c>
      <c r="D62" s="23">
        <f t="shared" si="11"/>
        <v>-11522.23848999996</v>
      </c>
      <c r="E62" s="24">
        <f t="shared" si="12"/>
        <v>0.92211821997128574</v>
      </c>
      <c r="F62" s="94">
        <f>данные!B71</f>
        <v>61924.146840000001</v>
      </c>
      <c r="G62" s="23">
        <f>данные!C71</f>
        <v>77486.11</v>
      </c>
      <c r="H62" s="23">
        <f t="shared" si="13"/>
        <v>15561.963159999999</v>
      </c>
      <c r="I62" s="24">
        <f t="shared" si="14"/>
        <v>1.2513068641899758</v>
      </c>
      <c r="J62" s="94">
        <f>данные!I71</f>
        <v>1340.4180100000001</v>
      </c>
      <c r="K62" s="23">
        <f>данные!J71</f>
        <v>78.945179999999993</v>
      </c>
      <c r="L62" s="94">
        <f>данные!P71</f>
        <v>77129.667849999998</v>
      </c>
      <c r="M62" s="23">
        <f>данные!Q71</f>
        <v>78594.8986</v>
      </c>
      <c r="N62" s="82">
        <f t="shared" si="15"/>
        <v>1465.2307500000024</v>
      </c>
      <c r="O62" s="94">
        <f>данные!S71</f>
        <v>-2400.1211600000001</v>
      </c>
      <c r="P62" s="23">
        <f>данные!T71</f>
        <v>1357.48813</v>
      </c>
      <c r="Q62" s="23">
        <f t="shared" si="16"/>
        <v>3757.6092900000003</v>
      </c>
      <c r="R62" s="113">
        <f t="shared" si="20"/>
        <v>-0.56559150122237989</v>
      </c>
      <c r="S62" s="110">
        <f t="shared" si="17"/>
        <v>-3.7937843494074079E-2</v>
      </c>
      <c r="T62" s="110">
        <f t="shared" si="18"/>
        <v>1.7501284913029054E-2</v>
      </c>
      <c r="U62" s="121">
        <f t="shared" si="19"/>
        <v>5.5439128407103133E-2</v>
      </c>
      <c r="W62" s="49" t="str">
        <f>VLOOKUP(A62,Лист3!$A$3:$E$74,1,0)</f>
        <v>УСС по Иркутской области</v>
      </c>
    </row>
    <row r="63" spans="1:23" x14ac:dyDescent="0.25">
      <c r="A63" s="65" t="s">
        <v>342</v>
      </c>
      <c r="B63" s="94">
        <v>75799.757809999996</v>
      </c>
      <c r="C63" s="23">
        <v>71015.493719999999</v>
      </c>
      <c r="D63" s="23">
        <f t="shared" si="11"/>
        <v>-4784.2640899999969</v>
      </c>
      <c r="E63" s="24">
        <f t="shared" si="12"/>
        <v>0.93688285783191738</v>
      </c>
      <c r="F63" s="94">
        <f>данные!B72</f>
        <v>36032.691789999997</v>
      </c>
      <c r="G63" s="23">
        <f>данные!C72</f>
        <v>40380.38697</v>
      </c>
      <c r="H63" s="23">
        <f t="shared" si="13"/>
        <v>4347.6951800000024</v>
      </c>
      <c r="I63" s="24">
        <f t="shared" si="14"/>
        <v>1.1206597388099271</v>
      </c>
      <c r="J63" s="94">
        <f>данные!I72</f>
        <v>955.11632999999995</v>
      </c>
      <c r="K63" s="23">
        <f>данные!J72</f>
        <v>1745.74855</v>
      </c>
      <c r="L63" s="94">
        <f>данные!P72</f>
        <v>43052.855819999997</v>
      </c>
      <c r="M63" s="23">
        <f>данные!Q72</f>
        <v>37976.072340000006</v>
      </c>
      <c r="N63" s="82">
        <f t="shared" si="15"/>
        <v>-5076.783479999991</v>
      </c>
      <c r="O63" s="94">
        <f>данные!S72</f>
        <v>-3694.1983500000001</v>
      </c>
      <c r="P63" s="23">
        <f>данные!T72</f>
        <v>-1373.8820600000001</v>
      </c>
      <c r="Q63" s="23">
        <f t="shared" si="16"/>
        <v>2320.3162899999998</v>
      </c>
      <c r="R63" s="113">
        <f t="shared" si="20"/>
        <v>0.37190262401584367</v>
      </c>
      <c r="S63" s="110">
        <f t="shared" si="17"/>
        <v>-9.9876108852270121E-2</v>
      </c>
      <c r="T63" s="110">
        <f t="shared" si="18"/>
        <v>-3.2613531790679676E-2</v>
      </c>
      <c r="U63" s="121">
        <f t="shared" si="19"/>
        <v>6.7262577061590445E-2</v>
      </c>
      <c r="W63" s="49" t="str">
        <f>VLOOKUP(A63,Лист3!$A$3:$E$74,1,0)</f>
        <v>УСС по Кемеровской области</v>
      </c>
    </row>
    <row r="64" spans="1:23" x14ac:dyDescent="0.25">
      <c r="A64" s="65" t="s">
        <v>307</v>
      </c>
      <c r="B64" s="94">
        <v>161455.92519000001</v>
      </c>
      <c r="C64" s="23">
        <v>162731.09318</v>
      </c>
      <c r="D64" s="23">
        <f t="shared" si="11"/>
        <v>1275.1679899999872</v>
      </c>
      <c r="E64" s="24">
        <f t="shared" si="12"/>
        <v>1.0078979324450272</v>
      </c>
      <c r="F64" s="94">
        <f>данные!B35</f>
        <v>78342.075689999998</v>
      </c>
      <c r="G64" s="23">
        <f>данные!C35</f>
        <v>87435.752999999997</v>
      </c>
      <c r="H64" s="23">
        <f t="shared" si="13"/>
        <v>9093.6773099999991</v>
      </c>
      <c r="I64" s="24">
        <f t="shared" si="14"/>
        <v>1.1160765429037613</v>
      </c>
      <c r="J64" s="94">
        <f>данные!I35</f>
        <v>3708.5867000000003</v>
      </c>
      <c r="K64" s="23">
        <f>данные!J35</f>
        <v>3145.7294900000002</v>
      </c>
      <c r="L64" s="94">
        <f>данные!P35</f>
        <v>97470.709849999999</v>
      </c>
      <c r="M64" s="23">
        <f>данные!Q35</f>
        <v>94442.079599999997</v>
      </c>
      <c r="N64" s="82">
        <f t="shared" si="15"/>
        <v>-3028.630250000002</v>
      </c>
      <c r="O64" s="94">
        <f>данные!S35</f>
        <v>-6307.6640599999992</v>
      </c>
      <c r="P64" s="23">
        <f>данные!T35</f>
        <v>-5061.0961299999999</v>
      </c>
      <c r="Q64" s="23">
        <f t="shared" si="16"/>
        <v>1246.5679299999993</v>
      </c>
      <c r="R64" s="113">
        <f t="shared" si="20"/>
        <v>0.80237249191739624</v>
      </c>
      <c r="S64" s="110">
        <f t="shared" si="17"/>
        <v>-7.6875236302403713E-2</v>
      </c>
      <c r="T64" s="110">
        <f t="shared" si="18"/>
        <v>-5.5873408017568425E-2</v>
      </c>
      <c r="U64" s="121">
        <f t="shared" si="19"/>
        <v>2.1001828284835287E-2</v>
      </c>
      <c r="W64" s="49" t="str">
        <f>VLOOKUP(A64,Лист3!$A$3:$E$74,1,0)</f>
        <v>УСС по Ростовской области</v>
      </c>
    </row>
    <row r="65" spans="1:23" x14ac:dyDescent="0.25">
      <c r="A65" s="65" t="s">
        <v>323</v>
      </c>
      <c r="B65" s="94">
        <v>22219.64993</v>
      </c>
      <c r="C65" s="23">
        <v>22902.390829999997</v>
      </c>
      <c r="D65" s="23">
        <f t="shared" si="11"/>
        <v>682.74089999999705</v>
      </c>
      <c r="E65" s="24">
        <f t="shared" si="12"/>
        <v>1.0307268972351447</v>
      </c>
      <c r="F65" s="94">
        <f>данные!B53</f>
        <v>12401.284109999999</v>
      </c>
      <c r="G65" s="23">
        <f>данные!C53</f>
        <v>14624.21999</v>
      </c>
      <c r="H65" s="23">
        <f t="shared" si="13"/>
        <v>2222.9358800000009</v>
      </c>
      <c r="I65" s="24">
        <f t="shared" si="14"/>
        <v>1.1792504598945117</v>
      </c>
      <c r="J65" s="94">
        <f>данные!I53</f>
        <v>211.96028000000001</v>
      </c>
      <c r="K65" s="23">
        <f>данные!J53</f>
        <v>-153.93643</v>
      </c>
      <c r="L65" s="94">
        <f>данные!P53</f>
        <v>15077.683789999999</v>
      </c>
      <c r="M65" s="23">
        <f>данные!Q53</f>
        <v>13541.181630000001</v>
      </c>
      <c r="N65" s="82">
        <f t="shared" si="15"/>
        <v>-1536.5021599999982</v>
      </c>
      <c r="O65" s="94">
        <f>данные!S53</f>
        <v>99.699889999999996</v>
      </c>
      <c r="P65" s="23">
        <f>данные!T53</f>
        <v>-193.20273999999998</v>
      </c>
      <c r="Q65" s="23">
        <f t="shared" si="16"/>
        <v>-292.90262999999999</v>
      </c>
      <c r="R65" s="113">
        <f t="shared" si="20"/>
        <v>-1.9378430608097961</v>
      </c>
      <c r="S65" s="110">
        <f t="shared" si="17"/>
        <v>7.9043810551267697E-3</v>
      </c>
      <c r="T65" s="110">
        <f t="shared" si="18"/>
        <v>-1.3351689978907365E-2</v>
      </c>
      <c r="U65" s="121">
        <f t="shared" si="19"/>
        <v>-2.1256071034034135E-2</v>
      </c>
      <c r="W65" s="49" t="str">
        <f>VLOOKUP(A65,Лист3!$A$3:$E$74,1,0)</f>
        <v>УСС по Чувашской Республике-Чувашии</v>
      </c>
    </row>
    <row r="66" spans="1:23" x14ac:dyDescent="0.25">
      <c r="A66" s="65" t="s">
        <v>345</v>
      </c>
      <c r="B66" s="94">
        <v>23018.043030000001</v>
      </c>
      <c r="C66" s="23">
        <v>21498.249230000001</v>
      </c>
      <c r="D66" s="23">
        <f t="shared" si="11"/>
        <v>-1519.7937999999995</v>
      </c>
      <c r="E66" s="24">
        <f t="shared" si="12"/>
        <v>0.93397380489647996</v>
      </c>
      <c r="F66" s="94">
        <f>данные!B75</f>
        <v>12693.0679</v>
      </c>
      <c r="G66" s="23">
        <f>данные!C75</f>
        <v>14029.238599999999</v>
      </c>
      <c r="H66" s="23">
        <f t="shared" si="13"/>
        <v>1336.1706999999988</v>
      </c>
      <c r="I66" s="24">
        <f t="shared" si="14"/>
        <v>1.1052677501236718</v>
      </c>
      <c r="J66" s="94">
        <f>данные!I75</f>
        <v>11.06231</v>
      </c>
      <c r="K66" s="23">
        <f>данные!J75</f>
        <v>-2584.2438299999999</v>
      </c>
      <c r="L66" s="94">
        <f>данные!P75</f>
        <v>14430.80234</v>
      </c>
      <c r="M66" s="23">
        <f>данные!Q75</f>
        <v>13846.53736</v>
      </c>
      <c r="N66" s="82">
        <f t="shared" si="15"/>
        <v>-584.26497999999992</v>
      </c>
      <c r="O66" s="94">
        <f>данные!S75</f>
        <v>-100.72599000000001</v>
      </c>
      <c r="P66" s="23">
        <f>данные!T75</f>
        <v>-312.40115999999995</v>
      </c>
      <c r="Q66" s="23">
        <f t="shared" si="16"/>
        <v>-211.67516999999992</v>
      </c>
      <c r="R66" s="113">
        <f t="shared" si="20"/>
        <v>3.1014950560426353</v>
      </c>
      <c r="S66" s="110">
        <f t="shared" si="17"/>
        <v>-7.9286018275154333E-3</v>
      </c>
      <c r="T66" s="110">
        <f t="shared" si="18"/>
        <v>-2.7295876169281984E-2</v>
      </c>
      <c r="U66" s="121">
        <f t="shared" si="19"/>
        <v>-1.9367274341766549E-2</v>
      </c>
      <c r="W66" s="49" t="str">
        <f>VLOOKUP(A66,Лист3!$A$3:$E$74,1,0)</f>
        <v>УСС по Республике Алтай</v>
      </c>
    </row>
    <row r="67" spans="1:23" x14ac:dyDescent="0.25">
      <c r="A67" s="65" t="s">
        <v>346</v>
      </c>
      <c r="B67" s="94">
        <v>73138.084569999992</v>
      </c>
      <c r="C67" s="23">
        <v>72009.635609999998</v>
      </c>
      <c r="D67" s="23">
        <f t="shared" si="11"/>
        <v>-1128.4489599999943</v>
      </c>
      <c r="E67" s="24">
        <f t="shared" si="12"/>
        <v>0.9845709801311523</v>
      </c>
      <c r="F67" s="94">
        <f>данные!B76</f>
        <v>38739.896359999999</v>
      </c>
      <c r="G67" s="23">
        <f>данные!C76</f>
        <v>42688.934999999998</v>
      </c>
      <c r="H67" s="23">
        <f t="shared" si="13"/>
        <v>3949.0386399999988</v>
      </c>
      <c r="I67" s="24">
        <f t="shared" si="14"/>
        <v>1.1019372536080785</v>
      </c>
      <c r="J67" s="94">
        <f>данные!I76</f>
        <v>196.65268</v>
      </c>
      <c r="K67" s="23">
        <f>данные!J76</f>
        <v>-906.75194999999997</v>
      </c>
      <c r="L67" s="94">
        <f>данные!P76</f>
        <v>45558.822209999998</v>
      </c>
      <c r="M67" s="23">
        <f>данные!Q76</f>
        <v>48299.069739999999</v>
      </c>
      <c r="N67" s="82">
        <f t="shared" si="15"/>
        <v>2740.2475300000006</v>
      </c>
      <c r="O67" s="94">
        <f>данные!S76</f>
        <v>-4104.16525</v>
      </c>
      <c r="P67" s="23">
        <f>данные!T76</f>
        <v>-2138.5875799999999</v>
      </c>
      <c r="Q67" s="23">
        <f t="shared" si="16"/>
        <v>1965.5776700000001</v>
      </c>
      <c r="R67" s="113">
        <f t="shared" si="20"/>
        <v>0.52107735671705713</v>
      </c>
      <c r="S67" s="110">
        <f t="shared" si="17"/>
        <v>-0.1054064972677404</v>
      </c>
      <c r="T67" s="110">
        <f t="shared" si="18"/>
        <v>-5.1184199194206532E-2</v>
      </c>
      <c r="U67" s="121">
        <f t="shared" si="19"/>
        <v>5.4222298073533869E-2</v>
      </c>
      <c r="W67" s="49" t="str">
        <f>VLOOKUP(A67,Лист3!$A$3:$E$74,1,0)</f>
        <v>УСС по Республике Бурятия</v>
      </c>
    </row>
    <row r="68" spans="1:23" x14ac:dyDescent="0.25">
      <c r="A68" s="66" t="s">
        <v>347</v>
      </c>
      <c r="B68" s="91">
        <v>48299.500540000001</v>
      </c>
      <c r="C68" s="72">
        <v>42469.111560000005</v>
      </c>
      <c r="D68" s="72">
        <f t="shared" si="11"/>
        <v>-5830.3889799999961</v>
      </c>
      <c r="E68" s="73">
        <f t="shared" si="12"/>
        <v>0.87928676456661359</v>
      </c>
      <c r="F68" s="91">
        <f>данные!B77</f>
        <v>20532.173649999997</v>
      </c>
      <c r="G68" s="72">
        <f>данные!C77</f>
        <v>23753.904999999999</v>
      </c>
      <c r="H68" s="72">
        <f t="shared" si="13"/>
        <v>3221.7313500000018</v>
      </c>
      <c r="I68" s="73">
        <f t="shared" si="14"/>
        <v>1.1569113628648862</v>
      </c>
      <c r="J68" s="91">
        <f>данные!I77</f>
        <v>345.11589000000004</v>
      </c>
      <c r="K68" s="72">
        <f>данные!J77</f>
        <v>446.22737000000001</v>
      </c>
      <c r="L68" s="91">
        <f>данные!P77</f>
        <v>30546.407859999999</v>
      </c>
      <c r="M68" s="72">
        <f>данные!Q77</f>
        <v>33611.489759999997</v>
      </c>
      <c r="N68" s="92">
        <f t="shared" si="15"/>
        <v>3065.0818999999974</v>
      </c>
      <c r="O68" s="91">
        <f>данные!S77</f>
        <v>-6162.9817400000002</v>
      </c>
      <c r="P68" s="72">
        <f>данные!T77</f>
        <v>-5157.9095599999991</v>
      </c>
      <c r="Q68" s="72">
        <f t="shared" si="16"/>
        <v>1005.072180000001</v>
      </c>
      <c r="R68" s="114">
        <f t="shared" si="20"/>
        <v>0.83691787151068198</v>
      </c>
      <c r="S68" s="110">
        <f t="shared" si="17"/>
        <v>-0.29520028106100599</v>
      </c>
      <c r="T68" s="110">
        <f t="shared" si="18"/>
        <v>-0.213135592861222</v>
      </c>
      <c r="U68" s="122">
        <f t="shared" si="19"/>
        <v>8.2064688199783992E-2</v>
      </c>
      <c r="W68" s="49" t="str">
        <f>VLOOKUP(A68,Лист3!$A$3:$E$74,1,0)</f>
        <v>УСС по Томской области</v>
      </c>
    </row>
    <row r="69" spans="1:23" x14ac:dyDescent="0.25">
      <c r="A69" s="64" t="s">
        <v>328</v>
      </c>
      <c r="B69" s="93">
        <v>335471.70024999999</v>
      </c>
      <c r="C69" s="59">
        <v>348117.24416</v>
      </c>
      <c r="D69" s="59">
        <f t="shared" si="11"/>
        <v>12645.543910000008</v>
      </c>
      <c r="E69" s="58">
        <f t="shared" si="12"/>
        <v>1.0376948156895986</v>
      </c>
      <c r="F69" s="93">
        <f>данные!B58</f>
        <v>176776.33405999999</v>
      </c>
      <c r="G69" s="59">
        <f>данные!C58</f>
        <v>199681.98457</v>
      </c>
      <c r="H69" s="59">
        <f t="shared" si="13"/>
        <v>22905.650510000007</v>
      </c>
      <c r="I69" s="58">
        <f t="shared" si="14"/>
        <v>1.1295741912049468</v>
      </c>
      <c r="J69" s="93">
        <f>данные!I58</f>
        <v>8781.9465299999993</v>
      </c>
      <c r="K69" s="59">
        <f>данные!J58</f>
        <v>1012.8465</v>
      </c>
      <c r="L69" s="93">
        <f>данные!P58</f>
        <v>189166.84287999998</v>
      </c>
      <c r="M69" s="59">
        <f>данные!Q58</f>
        <v>183406.99688999998</v>
      </c>
      <c r="N69" s="90">
        <f t="shared" si="15"/>
        <v>-5759.8459900000016</v>
      </c>
      <c r="O69" s="93">
        <f>данные!S58</f>
        <v>16572.687809999999</v>
      </c>
      <c r="P69" s="59">
        <f>данные!T58</f>
        <v>15437.67056</v>
      </c>
      <c r="Q69" s="59">
        <f t="shared" si="16"/>
        <v>-1135.017249999999</v>
      </c>
      <c r="R69" s="112">
        <f t="shared" si="20"/>
        <v>0.93151278398455517</v>
      </c>
      <c r="S69" s="110">
        <f t="shared" si="17"/>
        <v>8.9312574773303469E-2</v>
      </c>
      <c r="T69" s="110">
        <f t="shared" si="18"/>
        <v>7.6921116890227834E-2</v>
      </c>
      <c r="U69" s="120">
        <f t="shared" si="19"/>
        <v>-1.2391457883075635E-2</v>
      </c>
      <c r="W69" s="49" t="str">
        <f>VLOOKUP(A69,Лист3!$A$3:$E$74,1,0)</f>
        <v>УСС по Свердловской области</v>
      </c>
    </row>
    <row r="70" spans="1:23" x14ac:dyDescent="0.25">
      <c r="A70" s="65" t="s">
        <v>350</v>
      </c>
      <c r="B70" s="94">
        <v>85729.979120000004</v>
      </c>
      <c r="C70" s="23">
        <v>76674.670549999995</v>
      </c>
      <c r="D70" s="23">
        <f t="shared" ref="D70:D82" si="21">C70-B70</f>
        <v>-9055.3085700000083</v>
      </c>
      <c r="E70" s="24">
        <f t="shared" ref="E70:E82" si="22">IFERROR(C70/B70,0)</f>
        <v>0.89437407237292221</v>
      </c>
      <c r="F70" s="94">
        <f>данные!B80</f>
        <v>37420.18866</v>
      </c>
      <c r="G70" s="23">
        <f>данные!C80</f>
        <v>46632.598479999993</v>
      </c>
      <c r="H70" s="23">
        <f t="shared" ref="H70:H82" si="23">G70-F70</f>
        <v>9212.4098199999935</v>
      </c>
      <c r="I70" s="24">
        <f t="shared" ref="I70:I82" si="24">IFERROR(G70/F70,0)</f>
        <v>1.2461882248564802</v>
      </c>
      <c r="J70" s="94">
        <f>данные!I80</f>
        <v>298.39340999999996</v>
      </c>
      <c r="K70" s="23">
        <f>данные!J80</f>
        <v>-424.26684</v>
      </c>
      <c r="L70" s="94">
        <f>данные!P80</f>
        <v>36740.586929999998</v>
      </c>
      <c r="M70" s="23">
        <f>данные!Q80</f>
        <v>34527.402009999998</v>
      </c>
      <c r="N70" s="82">
        <f t="shared" ref="N70:N82" si="25">M70-L70</f>
        <v>-2213.1849199999997</v>
      </c>
      <c r="O70" s="94">
        <f>данные!S80</f>
        <v>5411.5414000000001</v>
      </c>
      <c r="P70" s="23">
        <f>данные!T80</f>
        <v>8152.3239899999999</v>
      </c>
      <c r="Q70" s="23">
        <f t="shared" ref="Q70:Q82" si="26">P70-O70</f>
        <v>2740.7825899999998</v>
      </c>
      <c r="R70" s="113">
        <f t="shared" si="20"/>
        <v>1.5064698553354872</v>
      </c>
      <c r="S70" s="110">
        <f t="shared" ref="S70:S78" si="27">O70/(F70+J70)</f>
        <v>0.14347149609062704</v>
      </c>
      <c r="T70" s="110">
        <f t="shared" ref="T70:T78" si="28">P70/(G70+K70)</f>
        <v>0.17642541292148672</v>
      </c>
      <c r="U70" s="121">
        <f t="shared" ref="U70:U82" si="29">T70-S70</f>
        <v>3.2953916830859686E-2</v>
      </c>
      <c r="W70" s="49" t="str">
        <f>VLOOKUP(A70,Лист3!$A$3:$E$74,1,0)</f>
        <v>УСС по Амурской области</v>
      </c>
    </row>
    <row r="71" spans="1:23" x14ac:dyDescent="0.25">
      <c r="A71" s="65" t="s">
        <v>333</v>
      </c>
      <c r="B71" s="94">
        <v>34670.943799999994</v>
      </c>
      <c r="C71" s="23">
        <v>34778.911409999993</v>
      </c>
      <c r="D71" s="23">
        <f t="shared" si="21"/>
        <v>107.96760999999969</v>
      </c>
      <c r="E71" s="24">
        <f t="shared" si="22"/>
        <v>1.003114066078582</v>
      </c>
      <c r="F71" s="94">
        <f>данные!B63</f>
        <v>18378.927889999999</v>
      </c>
      <c r="G71" s="23">
        <f>данные!C63</f>
        <v>19156.293010000001</v>
      </c>
      <c r="H71" s="23">
        <f t="shared" si="23"/>
        <v>777.36512000000221</v>
      </c>
      <c r="I71" s="24">
        <f t="shared" si="24"/>
        <v>1.0422965433377083</v>
      </c>
      <c r="J71" s="94">
        <f>данные!I63</f>
        <v>1500.7211100000002</v>
      </c>
      <c r="K71" s="23">
        <f>данные!J63</f>
        <v>672.48644999999999</v>
      </c>
      <c r="L71" s="94">
        <f>данные!P63</f>
        <v>19387.59635</v>
      </c>
      <c r="M71" s="23">
        <f>данные!Q63</f>
        <v>18630.74613</v>
      </c>
      <c r="N71" s="82">
        <f t="shared" si="25"/>
        <v>-756.85022000000026</v>
      </c>
      <c r="O71" s="94">
        <f>данные!S63</f>
        <v>504.83843999999999</v>
      </c>
      <c r="P71" s="23">
        <f>данные!T63</f>
        <v>1015.5341999999999</v>
      </c>
      <c r="Q71" s="23">
        <f t="shared" si="26"/>
        <v>510.69575999999995</v>
      </c>
      <c r="R71" s="113">
        <f t="shared" si="20"/>
        <v>2.0116023653032444</v>
      </c>
      <c r="S71" s="110">
        <f t="shared" si="27"/>
        <v>2.5394736094183558E-2</v>
      </c>
      <c r="T71" s="110">
        <f t="shared" si="28"/>
        <v>5.1215164405283058E-2</v>
      </c>
      <c r="U71" s="121">
        <f t="shared" si="29"/>
        <v>2.58204283110995E-2</v>
      </c>
      <c r="W71" s="49" t="str">
        <f>VLOOKUP(A71,Лист3!$A$3:$E$74,1,0)</f>
        <v>УСС по Республике Коми</v>
      </c>
    </row>
    <row r="72" spans="1:23" x14ac:dyDescent="0.25">
      <c r="A72" s="65" t="s">
        <v>352</v>
      </c>
      <c r="B72" s="94">
        <v>73275.545190000004</v>
      </c>
      <c r="C72" s="23">
        <v>60263.269189999999</v>
      </c>
      <c r="D72" s="23">
        <f t="shared" si="21"/>
        <v>-13012.276000000005</v>
      </c>
      <c r="E72" s="24">
        <f t="shared" si="22"/>
        <v>0.822419936061072</v>
      </c>
      <c r="F72" s="94">
        <f>данные!B82</f>
        <v>58937.910469999995</v>
      </c>
      <c r="G72" s="23">
        <f>данные!C82</f>
        <v>67042.245810000008</v>
      </c>
      <c r="H72" s="23">
        <f t="shared" si="23"/>
        <v>8104.3353400000124</v>
      </c>
      <c r="I72" s="24">
        <f t="shared" si="24"/>
        <v>1.1375063227619038</v>
      </c>
      <c r="J72" s="94">
        <f>данные!I82</f>
        <v>2071.3973700000001</v>
      </c>
      <c r="K72" s="23">
        <f>данные!J82</f>
        <v>2229.2065600000001</v>
      </c>
      <c r="L72" s="94">
        <f>данные!P82</f>
        <v>58589.746869999995</v>
      </c>
      <c r="M72" s="23">
        <f>данные!Q82</f>
        <v>51551.03183</v>
      </c>
      <c r="N72" s="82">
        <f t="shared" si="25"/>
        <v>-7038.7150399999955</v>
      </c>
      <c r="O72" s="94">
        <f>данные!S82</f>
        <v>6098.6710800000001</v>
      </c>
      <c r="P72" s="23">
        <f>данные!T82</f>
        <v>8419.1170500000007</v>
      </c>
      <c r="Q72" s="23">
        <f t="shared" si="26"/>
        <v>2320.4459700000007</v>
      </c>
      <c r="R72" s="113">
        <f t="shared" si="20"/>
        <v>1.3804838692825521</v>
      </c>
      <c r="S72" s="110">
        <f t="shared" si="27"/>
        <v>9.9962961323771679E-2</v>
      </c>
      <c r="T72" s="110">
        <f t="shared" si="28"/>
        <v>0.12153804723237102</v>
      </c>
      <c r="U72" s="121">
        <f t="shared" si="29"/>
        <v>2.1575085908599342E-2</v>
      </c>
      <c r="W72" s="49" t="str">
        <f>VLOOKUP(A72,Лист3!$A$3:$E$74,1,0)</f>
        <v>УСС по Магаданской области</v>
      </c>
    </row>
    <row r="73" spans="1:23" x14ac:dyDescent="0.25">
      <c r="A73" s="65" t="s">
        <v>353</v>
      </c>
      <c r="B73" s="94">
        <v>131873.93288000001</v>
      </c>
      <c r="C73" s="23">
        <v>109819.75840999999</v>
      </c>
      <c r="D73" s="23">
        <f t="shared" si="21"/>
        <v>-22054.174470000013</v>
      </c>
      <c r="E73" s="24">
        <f t="shared" si="22"/>
        <v>0.83276320051766084</v>
      </c>
      <c r="F73" s="94">
        <f>данные!B83</f>
        <v>28225.750410000001</v>
      </c>
      <c r="G73" s="23">
        <f>данные!C83</f>
        <v>35129.105920000002</v>
      </c>
      <c r="H73" s="23">
        <f t="shared" si="23"/>
        <v>6903.3555100000012</v>
      </c>
      <c r="I73" s="24">
        <f t="shared" si="24"/>
        <v>1.2445765093832275</v>
      </c>
      <c r="J73" s="94">
        <f>данные!I83</f>
        <v>-308.93610999999999</v>
      </c>
      <c r="K73" s="23">
        <f>данные!J83</f>
        <v>-309.97510999999997</v>
      </c>
      <c r="L73" s="94">
        <f>данные!P83</f>
        <v>35361.685400000002</v>
      </c>
      <c r="M73" s="23">
        <f>данные!Q83</f>
        <v>33614.341890000003</v>
      </c>
      <c r="N73" s="82">
        <f t="shared" si="25"/>
        <v>-1747.3435099999988</v>
      </c>
      <c r="O73" s="94">
        <f>данные!S83</f>
        <v>-3051.89977</v>
      </c>
      <c r="P73" s="23">
        <f>данные!T83</f>
        <v>-433.21242999999998</v>
      </c>
      <c r="Q73" s="23">
        <f t="shared" si="26"/>
        <v>2618.6873399999999</v>
      </c>
      <c r="R73" s="113">
        <f t="shared" si="20"/>
        <v>0.14194844609854274</v>
      </c>
      <c r="S73" s="110">
        <f t="shared" si="27"/>
        <v>-0.10932120467627998</v>
      </c>
      <c r="T73" s="110">
        <f t="shared" si="28"/>
        <v>-1.2441793345271618E-2</v>
      </c>
      <c r="U73" s="121">
        <f t="shared" si="29"/>
        <v>9.6879411331008358E-2</v>
      </c>
      <c r="W73" s="49" t="str">
        <f>VLOOKUP(A73,Лист3!$A$3:$E$74,1,0)</f>
        <v>УСС по Приморскому краю</v>
      </c>
    </row>
    <row r="74" spans="1:23" x14ac:dyDescent="0.25">
      <c r="A74" s="65" t="s">
        <v>354</v>
      </c>
      <c r="B74" s="94">
        <v>68047.879950000002</v>
      </c>
      <c r="C74" s="23">
        <v>66905.120269999999</v>
      </c>
      <c r="D74" s="23">
        <f t="shared" si="21"/>
        <v>-1142.7596800000028</v>
      </c>
      <c r="E74" s="24">
        <f t="shared" si="22"/>
        <v>0.98320653515084266</v>
      </c>
      <c r="F74" s="94">
        <f>данные!B84</f>
        <v>38151.994429999999</v>
      </c>
      <c r="G74" s="23">
        <f>данные!C84</f>
        <v>39675.195310000003</v>
      </c>
      <c r="H74" s="23">
        <f t="shared" si="23"/>
        <v>1523.200880000004</v>
      </c>
      <c r="I74" s="24">
        <f t="shared" si="24"/>
        <v>1.0399245413708247</v>
      </c>
      <c r="J74" s="94">
        <f>данные!I84</f>
        <v>141.48904000000002</v>
      </c>
      <c r="K74" s="23">
        <f>данные!J84</f>
        <v>140.29737</v>
      </c>
      <c r="L74" s="94">
        <f>данные!P84</f>
        <v>41886.104789999998</v>
      </c>
      <c r="M74" s="23">
        <f>данные!Q84</f>
        <v>36235.590469999996</v>
      </c>
      <c r="N74" s="82">
        <f t="shared" si="25"/>
        <v>-5650.514320000002</v>
      </c>
      <c r="O74" s="94">
        <f>данные!S84</f>
        <v>-1153.1488300000001</v>
      </c>
      <c r="P74" s="23">
        <f>данные!T84</f>
        <v>-1655.0813000000001</v>
      </c>
      <c r="Q74" s="23">
        <f t="shared" si="26"/>
        <v>-501.93246999999997</v>
      </c>
      <c r="R74" s="113">
        <f t="shared" si="20"/>
        <v>1.4352711956530364</v>
      </c>
      <c r="S74" s="110">
        <f t="shared" si="27"/>
        <v>-3.011344817724414E-2</v>
      </c>
      <c r="T74" s="110">
        <f t="shared" si="28"/>
        <v>-4.1568776086786323E-2</v>
      </c>
      <c r="U74" s="121">
        <f t="shared" si="29"/>
        <v>-1.1455327909542182E-2</v>
      </c>
      <c r="W74" s="49" t="str">
        <f>VLOOKUP(A74,Лист3!$A$3:$E$74,1,0)</f>
        <v>УСС по Сахалинской области</v>
      </c>
    </row>
    <row r="75" spans="1:23" x14ac:dyDescent="0.25">
      <c r="A75" s="65" t="s">
        <v>335</v>
      </c>
      <c r="B75" s="94">
        <v>107269.32812999999</v>
      </c>
      <c r="C75" s="23">
        <v>115347.13787000001</v>
      </c>
      <c r="D75" s="23">
        <f t="shared" si="21"/>
        <v>8077.8097400000115</v>
      </c>
      <c r="E75" s="24">
        <f t="shared" si="22"/>
        <v>1.0753040023725187</v>
      </c>
      <c r="F75" s="94">
        <f>данные!B65</f>
        <v>52559.12444</v>
      </c>
      <c r="G75" s="23">
        <f>данные!C65</f>
        <v>56348.818500000001</v>
      </c>
      <c r="H75" s="23">
        <f t="shared" si="23"/>
        <v>3789.6940600000016</v>
      </c>
      <c r="I75" s="24">
        <f t="shared" si="24"/>
        <v>1.0721034473153412</v>
      </c>
      <c r="J75" s="94">
        <f>данные!I65</f>
        <v>-773.70803999999998</v>
      </c>
      <c r="K75" s="23">
        <f>данные!J65</f>
        <v>38.410330000000002</v>
      </c>
      <c r="L75" s="94">
        <f>данные!P65</f>
        <v>49684.21243</v>
      </c>
      <c r="M75" s="23">
        <f>данные!Q65</f>
        <v>66222.874240000005</v>
      </c>
      <c r="N75" s="82">
        <f t="shared" si="25"/>
        <v>16538.661810000005</v>
      </c>
      <c r="O75" s="94">
        <f>данные!S65</f>
        <v>4991.34861</v>
      </c>
      <c r="P75" s="23">
        <f>данные!T65</f>
        <v>4712.7184699999998</v>
      </c>
      <c r="Q75" s="23">
        <f t="shared" si="26"/>
        <v>-278.63014000000021</v>
      </c>
      <c r="R75" s="113">
        <f t="shared" si="20"/>
        <v>0.94417738335451584</v>
      </c>
      <c r="S75" s="110">
        <f t="shared" si="27"/>
        <v>9.6385217248151731E-2</v>
      </c>
      <c r="T75" s="110">
        <f t="shared" si="28"/>
        <v>8.3577763401145672E-2</v>
      </c>
      <c r="U75" s="121">
        <f t="shared" si="29"/>
        <v>-1.2807453847006059E-2</v>
      </c>
      <c r="W75" s="49" t="str">
        <f>VLOOKUP(A75,Лист3!$A$3:$E$74,1,0)</f>
        <v>УСС по Удмуртской Республике</v>
      </c>
    </row>
    <row r="76" spans="1:23" x14ac:dyDescent="0.25">
      <c r="A76" s="66" t="s">
        <v>356</v>
      </c>
      <c r="B76" s="91">
        <v>181113.66343000002</v>
      </c>
      <c r="C76" s="72">
        <v>144747.6287</v>
      </c>
      <c r="D76" s="72">
        <f t="shared" si="21"/>
        <v>-36366.034730000014</v>
      </c>
      <c r="E76" s="73">
        <f t="shared" si="22"/>
        <v>0.79920877287065972</v>
      </c>
      <c r="F76" s="91">
        <f>данные!B86</f>
        <v>69234.14837000001</v>
      </c>
      <c r="G76" s="72">
        <f>данные!C86</f>
        <v>97614.203349999996</v>
      </c>
      <c r="H76" s="72">
        <f t="shared" si="23"/>
        <v>28380.054979999986</v>
      </c>
      <c r="I76" s="73">
        <f t="shared" si="24"/>
        <v>1.4099141196672451</v>
      </c>
      <c r="J76" s="91">
        <f>данные!I86</f>
        <v>203.26235999999997</v>
      </c>
      <c r="K76" s="72">
        <f>данные!J86</f>
        <v>-20.93374</v>
      </c>
      <c r="L76" s="91">
        <f>данные!P86</f>
        <v>94367.637819999989</v>
      </c>
      <c r="M76" s="72">
        <f>данные!Q86</f>
        <v>92922.228659999993</v>
      </c>
      <c r="N76" s="92">
        <f t="shared" si="25"/>
        <v>-1445.4091599999956</v>
      </c>
      <c r="O76" s="91">
        <f>данные!S86</f>
        <v>-4774.3246399999998</v>
      </c>
      <c r="P76" s="72">
        <f>данные!T86</f>
        <v>2759.8623199999997</v>
      </c>
      <c r="Q76" s="72">
        <f t="shared" si="26"/>
        <v>7534.1869599999991</v>
      </c>
      <c r="R76" s="114">
        <f t="shared" si="20"/>
        <v>-0.57806339704624687</v>
      </c>
      <c r="S76" s="110">
        <f t="shared" si="27"/>
        <v>-6.8757238926498196E-2</v>
      </c>
      <c r="T76" s="110">
        <f t="shared" si="28"/>
        <v>2.8279227973700426E-2</v>
      </c>
      <c r="U76" s="122">
        <f t="shared" si="29"/>
        <v>9.7036466900198626E-2</v>
      </c>
      <c r="W76" s="49" t="str">
        <f>VLOOKUP(A76,Лист3!$A$3:$E$74,1,0)</f>
        <v>УСС по Республике Саха (Якутия)</v>
      </c>
    </row>
    <row r="77" spans="1:23" ht="28.5" x14ac:dyDescent="0.25">
      <c r="A77" s="70" t="s">
        <v>397</v>
      </c>
      <c r="B77" s="96">
        <f>B87+B88</f>
        <v>2870847.0875500003</v>
      </c>
      <c r="C77" s="96">
        <f>C87+C88</f>
        <v>2777540.1732399999</v>
      </c>
      <c r="D77" s="72">
        <f t="shared" si="21"/>
        <v>-93306.914310000371</v>
      </c>
      <c r="E77" s="73">
        <f t="shared" si="22"/>
        <v>0.96749847293690971</v>
      </c>
      <c r="F77" s="96">
        <f>F87+F88</f>
        <v>1460455.9402300001</v>
      </c>
      <c r="G77" s="96">
        <f>G87+G88</f>
        <v>1624282.1954899998</v>
      </c>
      <c r="H77" s="72">
        <f t="shared" si="23"/>
        <v>163826.25525999977</v>
      </c>
      <c r="I77" s="73">
        <f t="shared" si="24"/>
        <v>1.1121747330728784</v>
      </c>
      <c r="J77" s="96">
        <f>J87+J88</f>
        <v>-36494.714619999999</v>
      </c>
      <c r="K77" s="96">
        <f>K87+K88</f>
        <v>-65395.130079999995</v>
      </c>
      <c r="L77" s="96">
        <f>L87+L88</f>
        <v>1545169.8327000001</v>
      </c>
      <c r="M77" s="96">
        <f>M87+M88</f>
        <v>1746598.6298399998</v>
      </c>
      <c r="N77" s="92">
        <f t="shared" si="25"/>
        <v>201428.79713999969</v>
      </c>
      <c r="O77" s="96">
        <f>O87+O88</f>
        <v>35203.842479999999</v>
      </c>
      <c r="P77" s="96">
        <f>P87+P88</f>
        <v>111209.58968999999</v>
      </c>
      <c r="Q77" s="72">
        <f t="shared" si="26"/>
        <v>76005.747210000001</v>
      </c>
      <c r="R77" s="114">
        <f t="shared" si="20"/>
        <v>3.15901850069862</v>
      </c>
      <c r="S77" s="110">
        <f t="shared" si="27"/>
        <v>2.4722472667694506E-2</v>
      </c>
      <c r="T77" s="110">
        <f t="shared" si="28"/>
        <v>7.1339093227225522E-2</v>
      </c>
      <c r="U77" s="122">
        <f t="shared" si="29"/>
        <v>4.6616620559531016E-2</v>
      </c>
      <c r="W77" s="49" t="str">
        <f>VLOOKUP(A77,Лист3!$A$3:$E$74,1,0)</f>
        <v>УСС по г. Москве и Московской области + УПС</v>
      </c>
    </row>
    <row r="78" spans="1:23" x14ac:dyDescent="0.25">
      <c r="A78" s="70" t="s">
        <v>360</v>
      </c>
      <c r="B78" s="96">
        <v>192542.78495</v>
      </c>
      <c r="C78" s="62">
        <v>88111.875590000011</v>
      </c>
      <c r="D78" s="63">
        <f t="shared" si="21"/>
        <v>-104430.90935999999</v>
      </c>
      <c r="E78" s="24">
        <f t="shared" si="22"/>
        <v>0.45762231814025711</v>
      </c>
      <c r="F78" s="96">
        <f>данные!B91</f>
        <v>67260.843500000003</v>
      </c>
      <c r="G78" s="62">
        <f>данные!C91</f>
        <v>90791.989099999992</v>
      </c>
      <c r="H78" s="63">
        <f t="shared" si="23"/>
        <v>23531.145599999989</v>
      </c>
      <c r="I78" s="24">
        <f t="shared" si="24"/>
        <v>1.3498491005394542</v>
      </c>
      <c r="J78" s="96">
        <f>данные!I91</f>
        <v>-4830.1959999999999</v>
      </c>
      <c r="K78" s="62">
        <f>данные!J91</f>
        <v>-5100.8919500000002</v>
      </c>
      <c r="L78" s="96">
        <f>данные!P91</f>
        <v>749108.17911999999</v>
      </c>
      <c r="M78" s="62">
        <f>данные!Q91</f>
        <v>782520.76035999996</v>
      </c>
      <c r="N78" s="102">
        <f t="shared" si="25"/>
        <v>33412.58123999997</v>
      </c>
      <c r="O78" s="96">
        <f>данные!S91</f>
        <v>-494717.56449000002</v>
      </c>
      <c r="P78" s="62">
        <f>данные!T91</f>
        <v>-522448.26733999996</v>
      </c>
      <c r="Q78" s="63">
        <f t="shared" si="26"/>
        <v>-27730.702849999943</v>
      </c>
      <c r="R78" s="113">
        <f t="shared" si="20"/>
        <v>1.0560536048049705</v>
      </c>
      <c r="S78" s="110">
        <f t="shared" si="27"/>
        <v>-7.9242741233782645</v>
      </c>
      <c r="T78" s="110">
        <f t="shared" si="28"/>
        <v>-6.0968791941765916</v>
      </c>
      <c r="U78" s="124">
        <f t="shared" si="29"/>
        <v>1.8273949292016729</v>
      </c>
      <c r="W78" s="49" t="e">
        <f>VLOOKUP(A78,Лист3!$A$3:$E$74,1,0)</f>
        <v>#N/A</v>
      </c>
    </row>
    <row r="79" spans="1:23" x14ac:dyDescent="0.25">
      <c r="A79" s="70" t="s">
        <v>361</v>
      </c>
      <c r="B79" s="96">
        <v>100</v>
      </c>
      <c r="C79" s="62">
        <v>100</v>
      </c>
      <c r="D79" s="63">
        <f t="shared" si="21"/>
        <v>0</v>
      </c>
      <c r="E79" s="24">
        <f t="shared" si="22"/>
        <v>1</v>
      </c>
      <c r="F79" s="96">
        <f>данные!B92</f>
        <v>0</v>
      </c>
      <c r="G79" s="62">
        <f>данные!C92</f>
        <v>0</v>
      </c>
      <c r="H79" s="63">
        <f t="shared" si="23"/>
        <v>0</v>
      </c>
      <c r="I79" s="24">
        <f t="shared" si="24"/>
        <v>0</v>
      </c>
      <c r="J79" s="96">
        <f>данные!I92</f>
        <v>0</v>
      </c>
      <c r="K79" s="62">
        <f>данные!J92</f>
        <v>0</v>
      </c>
      <c r="L79" s="96">
        <f>данные!P92</f>
        <v>9135.9088200000006</v>
      </c>
      <c r="M79" s="62">
        <f>данные!Q92</f>
        <v>8392.2908100000004</v>
      </c>
      <c r="N79" s="102">
        <f t="shared" si="25"/>
        <v>-743.61801000000014</v>
      </c>
      <c r="O79" s="96">
        <f>данные!S92</f>
        <v>-3824.5495899999996</v>
      </c>
      <c r="P79" s="62">
        <f>данные!T92</f>
        <v>-294.72704999999996</v>
      </c>
      <c r="Q79" s="63">
        <f t="shared" si="26"/>
        <v>3529.8225399999997</v>
      </c>
      <c r="R79" s="113">
        <f>IFERROR(P79/O79,0)*-1</f>
        <v>-7.706189789527608E-2</v>
      </c>
      <c r="S79" s="110"/>
      <c r="T79" s="110"/>
      <c r="U79" s="124">
        <f t="shared" si="29"/>
        <v>0</v>
      </c>
      <c r="W79" s="49" t="e">
        <f>VLOOKUP(A79,Лист3!$A$3:$E$74,1,0)</f>
        <v>#N/A</v>
      </c>
    </row>
    <row r="80" spans="1:23" x14ac:dyDescent="0.25">
      <c r="A80" s="70" t="s">
        <v>362</v>
      </c>
      <c r="B80" s="96"/>
      <c r="C80" s="62"/>
      <c r="D80" s="63">
        <f t="shared" si="21"/>
        <v>0</v>
      </c>
      <c r="E80" s="24">
        <f t="shared" si="22"/>
        <v>0</v>
      </c>
      <c r="F80" s="96">
        <f>данные!B93</f>
        <v>0</v>
      </c>
      <c r="G80" s="62">
        <f>данные!C93</f>
        <v>0</v>
      </c>
      <c r="H80" s="63">
        <f t="shared" si="23"/>
        <v>0</v>
      </c>
      <c r="I80" s="24">
        <f t="shared" si="24"/>
        <v>0</v>
      </c>
      <c r="J80" s="96">
        <f>данные!I93</f>
        <v>0</v>
      </c>
      <c r="K80" s="62">
        <f>данные!J93</f>
        <v>0</v>
      </c>
      <c r="L80" s="96">
        <f>данные!P93</f>
        <v>0</v>
      </c>
      <c r="M80" s="62">
        <f>данные!Q93</f>
        <v>0</v>
      </c>
      <c r="N80" s="102">
        <f t="shared" si="25"/>
        <v>0</v>
      </c>
      <c r="O80" s="96">
        <f>данные!S93</f>
        <v>0</v>
      </c>
      <c r="P80" s="62">
        <f>данные!T93</f>
        <v>0</v>
      </c>
      <c r="Q80" s="63">
        <f t="shared" si="26"/>
        <v>0</v>
      </c>
      <c r="R80" s="113">
        <f>IFERROR(P80/O80,0)</f>
        <v>0</v>
      </c>
      <c r="S80" s="110"/>
      <c r="T80" s="110"/>
      <c r="U80" s="124">
        <f t="shared" si="29"/>
        <v>0</v>
      </c>
      <c r="W80" s="49" t="e">
        <f>VLOOKUP(A80,Лист3!$A$3:$E$74,1,0)</f>
        <v>#N/A</v>
      </c>
    </row>
    <row r="81" spans="1:23" ht="28.5" x14ac:dyDescent="0.25">
      <c r="A81" s="70" t="s">
        <v>363</v>
      </c>
      <c r="B81" s="96"/>
      <c r="C81" s="62"/>
      <c r="D81" s="63">
        <f t="shared" si="21"/>
        <v>0</v>
      </c>
      <c r="E81" s="24">
        <f t="shared" si="22"/>
        <v>0</v>
      </c>
      <c r="F81" s="96">
        <f>данные!B94</f>
        <v>0</v>
      </c>
      <c r="G81" s="62">
        <f>данные!C94</f>
        <v>0</v>
      </c>
      <c r="H81" s="63">
        <f t="shared" si="23"/>
        <v>0</v>
      </c>
      <c r="I81" s="24">
        <f t="shared" si="24"/>
        <v>0</v>
      </c>
      <c r="J81" s="96">
        <f>данные!I94</f>
        <v>0</v>
      </c>
      <c r="K81" s="62">
        <f>данные!J94</f>
        <v>0</v>
      </c>
      <c r="L81" s="96">
        <f>данные!P94</f>
        <v>95229.235379999998</v>
      </c>
      <c r="M81" s="62">
        <f>данные!Q94</f>
        <v>93069.064379999996</v>
      </c>
      <c r="N81" s="102">
        <f t="shared" si="25"/>
        <v>-2160.1710000000021</v>
      </c>
      <c r="O81" s="96">
        <f>данные!S94</f>
        <v>-24321.993539999999</v>
      </c>
      <c r="P81" s="62">
        <f>данные!T94</f>
        <v>-76090.727769999998</v>
      </c>
      <c r="Q81" s="63">
        <f t="shared" si="26"/>
        <v>-51768.734230000002</v>
      </c>
      <c r="R81" s="113">
        <f>IFERROR(P81/O81,0)</f>
        <v>3.1284741378152674</v>
      </c>
      <c r="S81" s="110"/>
      <c r="T81" s="110"/>
      <c r="U81" s="124">
        <f t="shared" si="29"/>
        <v>0</v>
      </c>
      <c r="W81" s="49" t="e">
        <f>VLOOKUP(A81,Лист3!$A$3:$E$74,1,0)</f>
        <v>#N/A</v>
      </c>
    </row>
    <row r="82" spans="1:23" ht="15.75" thickBot="1" x14ac:dyDescent="0.3">
      <c r="A82" s="71" t="s">
        <v>364</v>
      </c>
      <c r="B82" s="97"/>
      <c r="C82" s="83"/>
      <c r="D82" s="63">
        <f t="shared" si="21"/>
        <v>0</v>
      </c>
      <c r="E82" s="85">
        <f t="shared" si="22"/>
        <v>0</v>
      </c>
      <c r="F82" s="97">
        <f>данные!B95</f>
        <v>0</v>
      </c>
      <c r="G82" s="83">
        <f>данные!C95</f>
        <v>0</v>
      </c>
      <c r="H82" s="84">
        <f t="shared" si="23"/>
        <v>0</v>
      </c>
      <c r="I82" s="85">
        <f t="shared" si="24"/>
        <v>0</v>
      </c>
      <c r="J82" s="97">
        <f>данные!I95</f>
        <v>0</v>
      </c>
      <c r="K82" s="83">
        <f>данные!J95</f>
        <v>0</v>
      </c>
      <c r="L82" s="97">
        <f>данные!P95</f>
        <v>0</v>
      </c>
      <c r="M82" s="83">
        <f>данные!Q95</f>
        <v>0</v>
      </c>
      <c r="N82" s="103">
        <f t="shared" si="25"/>
        <v>0</v>
      </c>
      <c r="O82" s="97">
        <f>данные!S95</f>
        <v>0</v>
      </c>
      <c r="P82" s="83">
        <f>данные!T95</f>
        <v>0</v>
      </c>
      <c r="Q82" s="84">
        <f t="shared" si="26"/>
        <v>0</v>
      </c>
      <c r="R82" s="116">
        <f>IFERROR(P82/O82,0)</f>
        <v>0</v>
      </c>
      <c r="S82" s="125"/>
      <c r="T82" s="125"/>
      <c r="U82" s="126">
        <f t="shared" si="29"/>
        <v>0</v>
      </c>
      <c r="W82" s="49" t="e">
        <f>VLOOKUP(A82,Лист3!$A$3:$E$74,1,0)</f>
        <v>#N/A</v>
      </c>
    </row>
    <row r="83" spans="1:23" x14ac:dyDescent="0.25">
      <c r="D83" s="63"/>
    </row>
    <row r="84" spans="1:23" x14ac:dyDescent="0.25">
      <c r="B84" s="107">
        <f t="shared" ref="B84:U84" si="30">SUM(B7:B82)-B6</f>
        <v>0</v>
      </c>
      <c r="C84" s="107">
        <f t="shared" si="30"/>
        <v>-2.430790001526475</v>
      </c>
      <c r="D84" s="107">
        <f t="shared" si="30"/>
        <v>-2.4307900005951524</v>
      </c>
      <c r="E84" s="107">
        <f t="shared" si="30"/>
        <v>70.545400576448884</v>
      </c>
      <c r="F84" s="107">
        <f t="shared" si="30"/>
        <v>0</v>
      </c>
      <c r="G84" s="107">
        <f t="shared" si="30"/>
        <v>0</v>
      </c>
      <c r="H84" s="107">
        <f t="shared" si="30"/>
        <v>0</v>
      </c>
      <c r="I84" s="107">
        <f t="shared" si="30"/>
        <v>79.355986858388547</v>
      </c>
      <c r="J84" s="107">
        <f t="shared" si="30"/>
        <v>-1.0913936421275139E-11</v>
      </c>
      <c r="K84" s="107">
        <f t="shared" si="30"/>
        <v>-2.7284841053187847E-12</v>
      </c>
      <c r="L84" s="107">
        <f t="shared" si="30"/>
        <v>-2090.3963799998164</v>
      </c>
      <c r="M84" s="107">
        <f t="shared" si="30"/>
        <v>-1864.0827400004491</v>
      </c>
      <c r="N84" s="107">
        <f t="shared" si="30"/>
        <v>226.31363999983296</v>
      </c>
      <c r="O84" s="107">
        <f t="shared" si="30"/>
        <v>20632.950119999936</v>
      </c>
      <c r="P84" s="107">
        <f t="shared" si="30"/>
        <v>-370.56092000004719</v>
      </c>
      <c r="Q84" s="107">
        <f t="shared" si="30"/>
        <v>-21003.511039999968</v>
      </c>
      <c r="R84" s="107">
        <f t="shared" si="30"/>
        <v>63.500467421914749</v>
      </c>
      <c r="S84" s="107">
        <f t="shared" si="30"/>
        <v>-4.1207421713881809</v>
      </c>
      <c r="T84" s="107">
        <f t="shared" si="30"/>
        <v>-1.3173691480336338</v>
      </c>
      <c r="U84" s="107">
        <f t="shared" si="30"/>
        <v>2.8835537124224815</v>
      </c>
    </row>
    <row r="86" spans="1:23" ht="15.75" thickBot="1" x14ac:dyDescent="0.3"/>
    <row r="87" spans="1:23" ht="28.5" x14ac:dyDescent="0.25">
      <c r="A87" s="67" t="s">
        <v>357</v>
      </c>
      <c r="B87" s="95">
        <v>2614174.2798200003</v>
      </c>
      <c r="C87" s="78">
        <v>2514645.8725299998</v>
      </c>
      <c r="D87" s="79">
        <f>C87-B87</f>
        <v>-99528.407290000468</v>
      </c>
      <c r="E87" s="80">
        <f>IFERROR(C87/B87,0)</f>
        <v>0.96192740168155366</v>
      </c>
      <c r="F87" s="95">
        <f>данные!B87</f>
        <v>1154371.5107400001</v>
      </c>
      <c r="G87" s="78">
        <f>данные!C87</f>
        <v>1624282.1954899998</v>
      </c>
      <c r="H87" s="79">
        <f>G87-F87</f>
        <v>469910.68474999978</v>
      </c>
      <c r="I87" s="80">
        <f>IFERROR(G87/F87,0)</f>
        <v>1.4070705837575352</v>
      </c>
      <c r="J87" s="95">
        <f>данные!I87</f>
        <v>-36494.714619999999</v>
      </c>
      <c r="K87" s="78">
        <f>данные!J87</f>
        <v>-65395.130079999995</v>
      </c>
      <c r="L87" s="95">
        <f>данные!P87</f>
        <v>1545169.8327000001</v>
      </c>
      <c r="M87" s="78">
        <f>данные!Q87</f>
        <v>1746542.3968399998</v>
      </c>
      <c r="N87" s="101">
        <f>M87-L87</f>
        <v>201372.56413999968</v>
      </c>
      <c r="O87" s="95">
        <f>данные!S87</f>
        <v>17370.32502</v>
      </c>
      <c r="P87" s="78">
        <f>данные!T87</f>
        <v>111209.58968999999</v>
      </c>
      <c r="Q87" s="79">
        <f>P87-O87</f>
        <v>93839.26466999999</v>
      </c>
      <c r="R87" s="115">
        <f>IFERROR(P87/O87,0)</f>
        <v>6.4022745436227879</v>
      </c>
      <c r="S87" s="110">
        <f>O87/(F87+J87)</f>
        <v>1.5538675711214384E-2</v>
      </c>
      <c r="T87" s="110">
        <f>P87/(G87+K87)</f>
        <v>7.1339093227225522E-2</v>
      </c>
      <c r="U87" s="123">
        <f>T87-S87</f>
        <v>5.5800417516011142E-2</v>
      </c>
    </row>
    <row r="88" spans="1:23" x14ac:dyDescent="0.25">
      <c r="A88" s="68" t="s">
        <v>359</v>
      </c>
      <c r="B88" s="94">
        <v>256672.80773</v>
      </c>
      <c r="C88" s="23">
        <v>262894.30070999998</v>
      </c>
      <c r="D88" s="23">
        <f>C88-B88</f>
        <v>6221.4929799999809</v>
      </c>
      <c r="E88" s="24">
        <f>IFERROR(C88/B88,0)</f>
        <v>1.0242390030912216</v>
      </c>
      <c r="F88" s="94">
        <f>данные!B89</f>
        <v>306084.42949000001</v>
      </c>
      <c r="G88" s="23">
        <f>данные!C89</f>
        <v>0</v>
      </c>
      <c r="H88" s="23">
        <f>G88-F88</f>
        <v>-306084.42949000001</v>
      </c>
      <c r="I88" s="24">
        <f>IFERROR(G88/F88,0)</f>
        <v>0</v>
      </c>
      <c r="J88" s="94">
        <f>данные!I89</f>
        <v>0</v>
      </c>
      <c r="K88" s="23">
        <f>данные!J89</f>
        <v>0</v>
      </c>
      <c r="L88" s="94">
        <f>данные!P89</f>
        <v>0</v>
      </c>
      <c r="M88" s="23">
        <f>данные!Q89</f>
        <v>56.232999999999997</v>
      </c>
      <c r="N88" s="82">
        <f>M88-L88</f>
        <v>56.232999999999997</v>
      </c>
      <c r="O88" s="94">
        <f>данные!S89</f>
        <v>17833.517459999999</v>
      </c>
      <c r="P88" s="23">
        <f>данные!T89</f>
        <v>0</v>
      </c>
      <c r="Q88" s="23">
        <f>P88-O88</f>
        <v>-17833.517459999999</v>
      </c>
      <c r="R88" s="113">
        <f>IFERROR(P88/O88,0)</f>
        <v>0</v>
      </c>
      <c r="S88" s="110">
        <f>O88/(F88+J88)</f>
        <v>5.8263393174603259E-2</v>
      </c>
      <c r="T88" s="110" t="e">
        <f>P88/(G88+K88)</f>
        <v>#DIV/0!</v>
      </c>
      <c r="U88" s="121" t="e">
        <f>T88-S88</f>
        <v>#DIV/0!</v>
      </c>
    </row>
    <row r="89" spans="1:23" x14ac:dyDescent="0.25">
      <c r="A89" s="68" t="s">
        <v>358</v>
      </c>
      <c r="B89" s="94">
        <v>0</v>
      </c>
      <c r="C89" s="23">
        <v>2.43079</v>
      </c>
      <c r="D89" s="23">
        <f>C89-B89</f>
        <v>2.43079</v>
      </c>
      <c r="E89" s="24">
        <f>IFERROR(C89/B89,0)</f>
        <v>0</v>
      </c>
      <c r="F89" s="94">
        <f>данные!B90</f>
        <v>0</v>
      </c>
      <c r="G89" s="23">
        <f>данные!C90</f>
        <v>0</v>
      </c>
      <c r="H89" s="23">
        <f>G89-F89</f>
        <v>0</v>
      </c>
      <c r="I89" s="24">
        <f>IFERROR(G89/F89,0)</f>
        <v>0</v>
      </c>
      <c r="J89" s="94">
        <f>данные!I90</f>
        <v>0</v>
      </c>
      <c r="K89" s="23">
        <f>данные!J90</f>
        <v>0</v>
      </c>
      <c r="L89" s="94">
        <f>данные!P90</f>
        <v>0</v>
      </c>
      <c r="M89" s="23">
        <f>данные!Q90</f>
        <v>4.0579999999999998</v>
      </c>
      <c r="N89" s="82">
        <f>M89-L89</f>
        <v>4.0579999999999998</v>
      </c>
      <c r="O89" s="94">
        <f>данные!S90</f>
        <v>-20632.950120000001</v>
      </c>
      <c r="P89" s="23">
        <f>данные!T90</f>
        <v>0</v>
      </c>
      <c r="Q89" s="23">
        <f>P89-O89</f>
        <v>20632.950120000001</v>
      </c>
      <c r="R89" s="113">
        <f>IFERROR(P89/O89,0)*-1</f>
        <v>0</v>
      </c>
      <c r="S89" s="110"/>
      <c r="T89" s="110"/>
      <c r="U89" s="121">
        <f>T89-S89</f>
        <v>0</v>
      </c>
    </row>
  </sheetData>
  <autoFilter ref="A5:U82"/>
  <customSheetViews>
    <customSheetView guid="{38D37C3F-FD9B-4DF6-A86F-8343B05C36EA}" scale="115" showPageBreaks="1" printArea="1" showAutoFilter="1" state="hidden" view="pageBreakPreview" topLeftCell="A7">
      <selection activeCell="U7" sqref="U7:U50"/>
      <colBreaks count="1" manualBreakCount="1">
        <brk id="21" max="83" man="1"/>
      </colBreaks>
      <pageMargins left="0" right="0" top="0" bottom="0" header="0" footer="0.31496062992125984"/>
      <printOptions horizontalCentered="1"/>
      <pageSetup paperSize="9" scale="50" orientation="landscape" r:id="rId1"/>
      <autoFilter ref="A5:U82"/>
    </customSheetView>
  </customSheetViews>
  <mergeCells count="7">
    <mergeCell ref="S4:U4"/>
    <mergeCell ref="A4:A5"/>
    <mergeCell ref="F4:I4"/>
    <mergeCell ref="J4:K4"/>
    <mergeCell ref="L4:N4"/>
    <mergeCell ref="O4:R4"/>
    <mergeCell ref="B4:E4"/>
  </mergeCells>
  <conditionalFormatting sqref="E79:E82 H87:I89 Q87:R89 D87:E89 U87:U89 D6:E78 H6:I82 Q6:R82 U6:U82">
    <cfRule type="cellIs" dxfId="43" priority="23" operator="greaterThan">
      <formula>0</formula>
    </cfRule>
    <cfRule type="cellIs" dxfId="42" priority="24" operator="lessThan">
      <formula>0</formula>
    </cfRule>
  </conditionalFormatting>
  <conditionalFormatting sqref="N87:N89 N6:N82">
    <cfRule type="cellIs" dxfId="41" priority="19" operator="lessThan">
      <formula>0</formula>
    </cfRule>
    <cfRule type="cellIs" dxfId="40" priority="20" operator="greaterThan">
      <formula>0</formula>
    </cfRule>
    <cfRule type="cellIs" dxfId="39" priority="21" operator="greaterThan">
      <formula>0</formula>
    </cfRule>
    <cfRule type="cellIs" dxfId="38" priority="22" operator="lessThan">
      <formula>0</formula>
    </cfRule>
  </conditionalFormatting>
  <conditionalFormatting sqref="I87:I89 R87:R89 E87:E89 E6:E82 I6:I82 R6:R82">
    <cfRule type="cellIs" dxfId="37" priority="17" operator="lessThan">
      <formula>1</formula>
    </cfRule>
    <cfRule type="cellIs" dxfId="36" priority="18" operator="greaterThan">
      <formula>1</formula>
    </cfRule>
  </conditionalFormatting>
  <conditionalFormatting sqref="D79:D83">
    <cfRule type="cellIs" dxfId="35" priority="11" operator="greaterThan">
      <formula>0</formula>
    </cfRule>
    <cfRule type="cellIs" dxfId="34" priority="12" operator="lessThan">
      <formula>0</formula>
    </cfRule>
  </conditionalFormatting>
  <printOptions horizontalCentered="1"/>
  <pageMargins left="0" right="0" top="0" bottom="0" header="0" footer="0.31496062992125984"/>
  <pageSetup paperSize="9" scale="50" orientation="landscape" r:id="rId2"/>
  <colBreaks count="1" manualBreakCount="1">
    <brk id="21" max="83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82"/>
  <sheetViews>
    <sheetView topLeftCell="A85" workbookViewId="0">
      <selection activeCell="H26" sqref="H26"/>
    </sheetView>
  </sheetViews>
  <sheetFormatPr defaultRowHeight="15" x14ac:dyDescent="0.25"/>
  <cols>
    <col min="1" max="1" width="40.7109375" style="137" customWidth="1"/>
    <col min="2" max="4" width="13.85546875" style="49" customWidth="1"/>
    <col min="5" max="5" width="15.7109375" style="49" customWidth="1"/>
    <col min="6" max="16384" width="9.140625" style="49"/>
  </cols>
  <sheetData>
    <row r="3" spans="1:5" ht="60" x14ac:dyDescent="0.25">
      <c r="A3" s="132" t="s">
        <v>395</v>
      </c>
      <c r="B3" s="132" t="s">
        <v>398</v>
      </c>
      <c r="C3" s="132" t="s">
        <v>402</v>
      </c>
      <c r="D3" s="132" t="s">
        <v>401</v>
      </c>
      <c r="E3" s="132" t="s">
        <v>405</v>
      </c>
    </row>
    <row r="4" spans="1:5" x14ac:dyDescent="0.25">
      <c r="A4" s="486" t="s">
        <v>396</v>
      </c>
      <c r="B4" s="486"/>
      <c r="C4" s="486"/>
      <c r="D4" s="486"/>
      <c r="E4" s="487"/>
    </row>
    <row r="5" spans="1:5" x14ac:dyDescent="0.25">
      <c r="A5" s="134" t="s">
        <v>307</v>
      </c>
      <c r="B5" s="131">
        <v>1275.1679899999872</v>
      </c>
      <c r="C5" s="131">
        <v>-4970.6878799999831</v>
      </c>
      <c r="D5" s="131">
        <v>-7216.9201899999998</v>
      </c>
      <c r="E5" s="133">
        <v>-4.4757938873277753E-2</v>
      </c>
    </row>
    <row r="6" spans="1:5" x14ac:dyDescent="0.25">
      <c r="A6" s="134" t="s">
        <v>323</v>
      </c>
      <c r="B6" s="131">
        <v>682.74089999999705</v>
      </c>
      <c r="C6" s="131">
        <v>1136.3081199999979</v>
      </c>
      <c r="D6" s="131">
        <v>-133.21676000000002</v>
      </c>
      <c r="E6" s="133">
        <v>-6.3994029303854946E-3</v>
      </c>
    </row>
    <row r="7" spans="1:5" x14ac:dyDescent="0.25">
      <c r="A7" s="135" t="s">
        <v>328</v>
      </c>
      <c r="B7" s="131">
        <v>12645.543910000008</v>
      </c>
      <c r="C7" s="131">
        <v>-10119.710060000012</v>
      </c>
      <c r="D7" s="131">
        <v>-37076.81882</v>
      </c>
      <c r="E7" s="133">
        <v>-0.11040414361227165</v>
      </c>
    </row>
    <row r="8" spans="1:5" x14ac:dyDescent="0.25">
      <c r="A8" s="134" t="s">
        <v>333</v>
      </c>
      <c r="B8" s="131">
        <v>107.96760999999969</v>
      </c>
      <c r="C8" s="131">
        <v>-56.951529999998456</v>
      </c>
      <c r="D8" s="131">
        <v>-983.31125999999995</v>
      </c>
      <c r="E8" s="133">
        <v>-2.8398312642083572E-2</v>
      </c>
    </row>
    <row r="9" spans="1:5" x14ac:dyDescent="0.25">
      <c r="A9" s="134" t="s">
        <v>335</v>
      </c>
      <c r="B9" s="131">
        <v>8077.8097400000115</v>
      </c>
      <c r="C9" s="131">
        <v>13646.514310000013</v>
      </c>
      <c r="D9" s="131">
        <v>-239.54908000000069</v>
      </c>
      <c r="E9" s="133">
        <v>-1.1606465749008227E-2</v>
      </c>
    </row>
    <row r="10" spans="1:5" x14ac:dyDescent="0.25">
      <c r="A10" s="486" t="s">
        <v>399</v>
      </c>
      <c r="B10" s="486"/>
      <c r="C10" s="486"/>
      <c r="D10" s="486"/>
      <c r="E10" s="487"/>
    </row>
    <row r="11" spans="1:5" x14ac:dyDescent="0.25">
      <c r="A11" s="138" t="s">
        <v>282</v>
      </c>
      <c r="B11" s="131">
        <v>-8746.6066500000015</v>
      </c>
      <c r="C11" s="131">
        <v>-8876.7366800000018</v>
      </c>
      <c r="D11" s="131">
        <v>-3327.3974600000001</v>
      </c>
      <c r="E11" s="133">
        <v>-2.835309630783972E-2</v>
      </c>
    </row>
    <row r="12" spans="1:5" x14ac:dyDescent="0.25">
      <c r="A12" s="138" t="s">
        <v>288</v>
      </c>
      <c r="B12" s="131">
        <v>-7994.8005100000082</v>
      </c>
      <c r="C12" s="131">
        <v>-8257.0522799999962</v>
      </c>
      <c r="D12" s="131">
        <v>-1726.5843100000002</v>
      </c>
      <c r="E12" s="133">
        <v>-6.8022141843824824E-3</v>
      </c>
    </row>
    <row r="13" spans="1:5" x14ac:dyDescent="0.25">
      <c r="A13" s="138" t="s">
        <v>289</v>
      </c>
      <c r="B13" s="131">
        <v>-3735.4564500000051</v>
      </c>
      <c r="C13" s="131">
        <v>-4002.4185499999949</v>
      </c>
      <c r="D13" s="131">
        <v>-808.51127999999994</v>
      </c>
      <c r="E13" s="133">
        <v>-1.9385994278851619E-2</v>
      </c>
    </row>
    <row r="14" spans="1:5" x14ac:dyDescent="0.25">
      <c r="A14" s="145" t="s">
        <v>290</v>
      </c>
      <c r="B14" s="131">
        <v>-4729.6774199999963</v>
      </c>
      <c r="C14" s="131">
        <v>-5705.2679400000015</v>
      </c>
      <c r="D14" s="131">
        <v>-680.51180999999997</v>
      </c>
      <c r="E14" s="133">
        <v>-2.7735686030101177E-2</v>
      </c>
    </row>
    <row r="15" spans="1:5" ht="30" x14ac:dyDescent="0.25">
      <c r="A15" s="139" t="s">
        <v>298</v>
      </c>
      <c r="B15" s="131">
        <v>-167592.85952000006</v>
      </c>
      <c r="C15" s="131">
        <v>-164529.89633999998</v>
      </c>
      <c r="D15" s="131">
        <v>-20684.738330000022</v>
      </c>
      <c r="E15" s="133">
        <v>1.7247477021430757E-2</v>
      </c>
    </row>
    <row r="16" spans="1:5" x14ac:dyDescent="0.25">
      <c r="A16" s="145" t="s">
        <v>299</v>
      </c>
      <c r="B16" s="131">
        <v>-19127.660030000014</v>
      </c>
      <c r="C16" s="131">
        <v>-19970.839460000003</v>
      </c>
      <c r="D16" s="131">
        <v>-9411.2286499999991</v>
      </c>
      <c r="E16" s="133">
        <v>-0.14458869619724726</v>
      </c>
    </row>
    <row r="17" spans="1:5" x14ac:dyDescent="0.25">
      <c r="A17" s="138" t="s">
        <v>300</v>
      </c>
      <c r="B17" s="131">
        <v>-2828.3962199999951</v>
      </c>
      <c r="C17" s="131">
        <v>-3043.5602999999974</v>
      </c>
      <c r="D17" s="131">
        <v>-743.3453099999997</v>
      </c>
      <c r="E17" s="133">
        <v>-8.9717085736538554E-3</v>
      </c>
    </row>
    <row r="18" spans="1:5" x14ac:dyDescent="0.25">
      <c r="A18" s="145" t="s">
        <v>301</v>
      </c>
      <c r="B18" s="131">
        <v>-17191.532420000003</v>
      </c>
      <c r="C18" s="131">
        <v>-26049.953750000001</v>
      </c>
      <c r="D18" s="131">
        <v>-7239.5956900000001</v>
      </c>
      <c r="E18" s="133">
        <v>-6.9444961983707088E-2</v>
      </c>
    </row>
    <row r="19" spans="1:5" x14ac:dyDescent="0.25">
      <c r="A19" s="138" t="s">
        <v>302</v>
      </c>
      <c r="B19" s="131">
        <v>-56781.923190000001</v>
      </c>
      <c r="C19" s="131">
        <v>-65825.704450000019</v>
      </c>
      <c r="D19" s="131">
        <v>-28329.931639999995</v>
      </c>
      <c r="E19" s="133">
        <v>-4.5061987319779867E-2</v>
      </c>
    </row>
    <row r="20" spans="1:5" x14ac:dyDescent="0.25">
      <c r="A20" s="138" t="s">
        <v>303</v>
      </c>
      <c r="B20" s="131">
        <v>-8345.4116500000018</v>
      </c>
      <c r="C20" s="131">
        <v>-9935.1005900000018</v>
      </c>
      <c r="D20" s="131">
        <v>-1059.4299800000008</v>
      </c>
      <c r="E20" s="133">
        <v>-8.3478248370318781E-3</v>
      </c>
    </row>
    <row r="21" spans="1:5" x14ac:dyDescent="0.25">
      <c r="A21" s="138" t="s">
        <v>304</v>
      </c>
      <c r="B21" s="131">
        <v>-6107.4690300000002</v>
      </c>
      <c r="C21" s="131">
        <v>-6210.182590000004</v>
      </c>
      <c r="D21" s="131">
        <v>-1073.0648199999996</v>
      </c>
      <c r="E21" s="133">
        <v>-7.3584724309211369E-3</v>
      </c>
    </row>
    <row r="22" spans="1:5" x14ac:dyDescent="0.25">
      <c r="A22" s="138" t="s">
        <v>311</v>
      </c>
      <c r="B22" s="131">
        <v>-42753.296179999976</v>
      </c>
      <c r="C22" s="131">
        <v>-44772.057620000007</v>
      </c>
      <c r="D22" s="131">
        <v>-17997.695150000003</v>
      </c>
      <c r="E22" s="133">
        <v>-5.88421769407593E-2</v>
      </c>
    </row>
    <row r="23" spans="1:5" ht="30" x14ac:dyDescent="0.25">
      <c r="A23" s="138" t="s">
        <v>313</v>
      </c>
      <c r="B23" s="131">
        <v>-1773.4064699999944</v>
      </c>
      <c r="C23" s="131">
        <v>-4785.4818800000066</v>
      </c>
      <c r="D23" s="131">
        <v>-1733.74946</v>
      </c>
      <c r="E23" s="133">
        <v>-3.1556635131114022E-2</v>
      </c>
    </row>
    <row r="24" spans="1:5" x14ac:dyDescent="0.25">
      <c r="A24" s="140" t="s">
        <v>315</v>
      </c>
      <c r="B24" s="131">
        <v>-757.74743999999191</v>
      </c>
      <c r="C24" s="131">
        <v>-734.48503000000346</v>
      </c>
      <c r="D24" s="131">
        <v>-718.20882000000074</v>
      </c>
      <c r="E24" s="133">
        <v>-1.1103932567635116E-2</v>
      </c>
    </row>
    <row r="25" spans="1:5" x14ac:dyDescent="0.25">
      <c r="A25" s="138" t="s">
        <v>319</v>
      </c>
      <c r="B25" s="131">
        <v>-16046.706590000016</v>
      </c>
      <c r="C25" s="131">
        <v>-16206.36278000001</v>
      </c>
      <c r="D25" s="131">
        <v>-7800.6140000000014</v>
      </c>
      <c r="E25" s="133">
        <v>-5.9528500922489874E-2</v>
      </c>
    </row>
    <row r="26" spans="1:5" x14ac:dyDescent="0.25">
      <c r="A26" s="145" t="s">
        <v>321</v>
      </c>
      <c r="B26" s="131">
        <v>-1310.2967099999987</v>
      </c>
      <c r="C26" s="131">
        <v>-5523.1483300000036</v>
      </c>
      <c r="D26" s="131">
        <v>-391.64609000000002</v>
      </c>
      <c r="E26" s="133">
        <v>-1.8497362226955149E-2</v>
      </c>
    </row>
    <row r="27" spans="1:5" x14ac:dyDescent="0.25">
      <c r="A27" s="145" t="s">
        <v>322</v>
      </c>
      <c r="B27" s="131">
        <v>-47923.266659999994</v>
      </c>
      <c r="C27" s="131">
        <v>-43139.331900000019</v>
      </c>
      <c r="D27" s="131">
        <v>-22447.033380000001</v>
      </c>
      <c r="E27" s="133">
        <v>-0.17049184117820204</v>
      </c>
    </row>
    <row r="28" spans="1:5" x14ac:dyDescent="0.25">
      <c r="A28" s="138" t="s">
        <v>324</v>
      </c>
      <c r="B28" s="131">
        <v>-15953.280700000032</v>
      </c>
      <c r="C28" s="131">
        <v>-22526.780709999992</v>
      </c>
      <c r="D28" s="131">
        <v>-736.985880000002</v>
      </c>
      <c r="E28" s="133">
        <v>7.4263553892918582E-3</v>
      </c>
    </row>
    <row r="29" spans="1:5" x14ac:dyDescent="0.25">
      <c r="A29" s="139" t="s">
        <v>338</v>
      </c>
      <c r="B29" s="131">
        <v>-9863.1412400000263</v>
      </c>
      <c r="C29" s="131">
        <v>-9389.6728100000182</v>
      </c>
      <c r="D29" s="131">
        <v>-1371.05744</v>
      </c>
      <c r="E29" s="133">
        <v>-6.3388623393549788E-3</v>
      </c>
    </row>
    <row r="30" spans="1:5" x14ac:dyDescent="0.25">
      <c r="A30" s="138" t="s">
        <v>339</v>
      </c>
      <c r="B30" s="131">
        <v>-3906.3011700000061</v>
      </c>
      <c r="C30" s="131">
        <v>-6082.7729899999977</v>
      </c>
      <c r="D30" s="131">
        <v>-909.36257999999998</v>
      </c>
      <c r="E30" s="133">
        <v>-9.7704187717265814E-3</v>
      </c>
    </row>
    <row r="31" spans="1:5" x14ac:dyDescent="0.25">
      <c r="A31" s="138" t="s">
        <v>341</v>
      </c>
      <c r="B31" s="131">
        <v>-11522.23848999996</v>
      </c>
      <c r="C31" s="131">
        <v>-10215.55958999999</v>
      </c>
      <c r="D31" s="131">
        <v>-6260.23963</v>
      </c>
      <c r="E31" s="133">
        <v>-3.9750375327683038E-2</v>
      </c>
    </row>
    <row r="32" spans="1:5" x14ac:dyDescent="0.25">
      <c r="A32" s="145" t="s">
        <v>342</v>
      </c>
      <c r="B32" s="131">
        <v>-4784.2640899999969</v>
      </c>
      <c r="C32" s="131">
        <v>-6530.1533599999966</v>
      </c>
      <c r="D32" s="131">
        <v>-2788.5673099999999</v>
      </c>
      <c r="E32" s="133">
        <v>-3.7780111197340718E-2</v>
      </c>
    </row>
    <row r="33" spans="1:5" x14ac:dyDescent="0.25">
      <c r="A33" s="145" t="s">
        <v>345</v>
      </c>
      <c r="B33" s="131">
        <v>-1519.7937999999995</v>
      </c>
      <c r="C33" s="131">
        <v>334.20921000000089</v>
      </c>
      <c r="D33" s="131">
        <v>-669.51902000000007</v>
      </c>
      <c r="E33" s="133">
        <v>-2.934403589171778E-2</v>
      </c>
    </row>
    <row r="34" spans="1:5" x14ac:dyDescent="0.25">
      <c r="A34" s="145" t="s">
        <v>346</v>
      </c>
      <c r="B34" s="131">
        <v>-1128.4489599999943</v>
      </c>
      <c r="C34" s="131">
        <v>-3054.7081500000058</v>
      </c>
      <c r="D34" s="131">
        <v>-7430.0197900000003</v>
      </c>
      <c r="E34" s="133">
        <v>-0.10329785727009948</v>
      </c>
    </row>
    <row r="35" spans="1:5" x14ac:dyDescent="0.25">
      <c r="A35" s="146" t="s">
        <v>347</v>
      </c>
      <c r="B35" s="131">
        <v>-5830.3889799999961</v>
      </c>
      <c r="C35" s="131">
        <v>-2831.986579999997</v>
      </c>
      <c r="D35" s="131">
        <v>-7911.9177200000004</v>
      </c>
      <c r="E35" s="133">
        <v>-0.18686807841663319</v>
      </c>
    </row>
    <row r="36" spans="1:5" x14ac:dyDescent="0.25">
      <c r="A36" s="138" t="s">
        <v>350</v>
      </c>
      <c r="B36" s="131">
        <v>-9055.3085700000083</v>
      </c>
      <c r="C36" s="131">
        <v>-10238.208199999994</v>
      </c>
      <c r="D36" s="131">
        <v>-1873.6119400000025</v>
      </c>
      <c r="E36" s="133">
        <v>-1.2017278495080053E-4</v>
      </c>
    </row>
    <row r="37" spans="1:5" x14ac:dyDescent="0.25">
      <c r="A37" s="138" t="s">
        <v>352</v>
      </c>
      <c r="B37" s="131">
        <v>-13012.276000000005</v>
      </c>
      <c r="C37" s="131">
        <v>-15314.618490000001</v>
      </c>
      <c r="D37" s="131">
        <v>-6575.9289499999986</v>
      </c>
      <c r="E37" s="133">
        <v>-8.2781481158982179E-2</v>
      </c>
    </row>
    <row r="38" spans="1:5" x14ac:dyDescent="0.25">
      <c r="A38" s="138" t="s">
        <v>353</v>
      </c>
      <c r="B38" s="131">
        <v>-22054.174470000013</v>
      </c>
      <c r="C38" s="131">
        <v>-26599.400320000015</v>
      </c>
      <c r="D38" s="131">
        <v>-3607.7868799999978</v>
      </c>
      <c r="E38" s="133">
        <v>2.1175030256284644E-4</v>
      </c>
    </row>
    <row r="39" spans="1:5" x14ac:dyDescent="0.25">
      <c r="A39" s="140" t="s">
        <v>356</v>
      </c>
      <c r="B39" s="131">
        <v>-36366.034730000014</v>
      </c>
      <c r="C39" s="131">
        <v>-38474.470689999987</v>
      </c>
      <c r="D39" s="131">
        <v>-7100.7874899999997</v>
      </c>
      <c r="E39" s="133">
        <v>-3.6063098108857335E-2</v>
      </c>
    </row>
    <row r="40" spans="1:5" x14ac:dyDescent="0.25">
      <c r="A40" s="486" t="s">
        <v>400</v>
      </c>
      <c r="B40" s="486"/>
      <c r="C40" s="486"/>
      <c r="D40" s="486"/>
      <c r="E40" s="487"/>
    </row>
    <row r="41" spans="1:5" x14ac:dyDescent="0.25">
      <c r="A41" s="134" t="s">
        <v>318</v>
      </c>
      <c r="B41" s="131">
        <v>16527.751340000003</v>
      </c>
      <c r="C41" s="131">
        <v>17429.713150000011</v>
      </c>
      <c r="D41" s="131">
        <v>2508.5766899999981</v>
      </c>
      <c r="E41" s="133">
        <v>-1.9144229938541812E-2</v>
      </c>
    </row>
    <row r="42" spans="1:5" x14ac:dyDescent="0.25">
      <c r="A42" s="134" t="s">
        <v>325</v>
      </c>
      <c r="B42" s="131">
        <v>7166.9455700000108</v>
      </c>
      <c r="C42" s="131">
        <v>8798.5070100000012</v>
      </c>
      <c r="D42" s="131">
        <v>5.1541399999987334</v>
      </c>
      <c r="E42" s="133">
        <v>-1.2184754315817226E-2</v>
      </c>
    </row>
    <row r="43" spans="1:5" x14ac:dyDescent="0.25">
      <c r="A43" s="486" t="s">
        <v>403</v>
      </c>
      <c r="B43" s="486"/>
      <c r="C43" s="486"/>
      <c r="D43" s="486"/>
      <c r="E43" s="487"/>
    </row>
    <row r="44" spans="1:5" x14ac:dyDescent="0.25">
      <c r="A44" s="134" t="s">
        <v>285</v>
      </c>
      <c r="B44" s="131">
        <v>13380.340159999992</v>
      </c>
      <c r="C44" s="131">
        <v>14331.177349999998</v>
      </c>
      <c r="D44" s="131">
        <v>11578.286919999999</v>
      </c>
      <c r="E44" s="133">
        <v>6.7254728730982288E-2</v>
      </c>
    </row>
    <row r="45" spans="1:5" x14ac:dyDescent="0.25">
      <c r="A45" s="134" t="s">
        <v>287</v>
      </c>
      <c r="B45" s="131">
        <v>11164.478830000007</v>
      </c>
      <c r="C45" s="131">
        <v>10908.467479999992</v>
      </c>
      <c r="D45" s="131">
        <v>10762.402990000017</v>
      </c>
      <c r="E45" s="133">
        <v>3.2829051544483734E-2</v>
      </c>
    </row>
    <row r="46" spans="1:5" x14ac:dyDescent="0.25">
      <c r="A46" s="134" t="s">
        <v>292</v>
      </c>
      <c r="B46" s="131">
        <v>10771.319320000002</v>
      </c>
      <c r="C46" s="131">
        <v>11853.576589999997</v>
      </c>
      <c r="D46" s="131">
        <v>5739.8104600000006</v>
      </c>
      <c r="E46" s="133">
        <v>6.3903504120148502E-2</v>
      </c>
    </row>
    <row r="47" spans="1:5" x14ac:dyDescent="0.25">
      <c r="A47" s="134" t="s">
        <v>295</v>
      </c>
      <c r="B47" s="131">
        <v>1589.4296899999972</v>
      </c>
      <c r="C47" s="131">
        <v>1433.4482799999969</v>
      </c>
      <c r="D47" s="131">
        <v>631.1303599999992</v>
      </c>
      <c r="E47" s="133">
        <v>6.0721707159064608E-3</v>
      </c>
    </row>
    <row r="48" spans="1:5" x14ac:dyDescent="0.25">
      <c r="A48" s="134" t="s">
        <v>296</v>
      </c>
      <c r="B48" s="131">
        <v>14334.645929999991</v>
      </c>
      <c r="C48" s="131">
        <v>12530.630530000002</v>
      </c>
      <c r="D48" s="131">
        <v>8232.8389900000002</v>
      </c>
      <c r="E48" s="133">
        <v>8.5240215566495914E-2</v>
      </c>
    </row>
    <row r="49" spans="1:5" x14ac:dyDescent="0.25">
      <c r="A49" s="135" t="s">
        <v>308</v>
      </c>
      <c r="B49" s="131">
        <v>5204.913279999997</v>
      </c>
      <c r="C49" s="131">
        <v>2475.7834800000019</v>
      </c>
      <c r="D49" s="131">
        <v>5234.56646</v>
      </c>
      <c r="E49" s="133">
        <v>0.1795217588293288</v>
      </c>
    </row>
    <row r="50" spans="1:5" x14ac:dyDescent="0.25">
      <c r="A50" s="134" t="s">
        <v>309</v>
      </c>
      <c r="B50" s="131">
        <v>11971.808099999995</v>
      </c>
      <c r="C50" s="131">
        <v>3775.8914999999979</v>
      </c>
      <c r="D50" s="131">
        <v>3787.8977699999996</v>
      </c>
      <c r="E50" s="133">
        <v>4.5219301173528147E-2</v>
      </c>
    </row>
    <row r="51" spans="1:5" ht="30" x14ac:dyDescent="0.25">
      <c r="A51" s="134" t="s">
        <v>310</v>
      </c>
      <c r="B51" s="131">
        <v>9318.8099399999992</v>
      </c>
      <c r="C51" s="131">
        <v>3246.1099200000026</v>
      </c>
      <c r="D51" s="131">
        <v>1638.8928300000007</v>
      </c>
      <c r="E51" s="133">
        <v>1.6905736744000484E-2</v>
      </c>
    </row>
    <row r="52" spans="1:5" x14ac:dyDescent="0.25">
      <c r="A52" s="134" t="s">
        <v>312</v>
      </c>
      <c r="B52" s="131">
        <v>18126.084619999994</v>
      </c>
      <c r="C52" s="131">
        <v>26039.45848999999</v>
      </c>
      <c r="D52" s="131">
        <v>14322.142499999998</v>
      </c>
      <c r="E52" s="133">
        <v>0.13050860473509901</v>
      </c>
    </row>
    <row r="53" spans="1:5" x14ac:dyDescent="0.25">
      <c r="A53" s="134" t="s">
        <v>320</v>
      </c>
      <c r="B53" s="131">
        <v>984.42929999999978</v>
      </c>
      <c r="C53" s="131">
        <v>4308.6344700000009</v>
      </c>
      <c r="D53" s="131">
        <v>1315.3888000000002</v>
      </c>
      <c r="E53" s="133">
        <v>5.8417390292392471E-2</v>
      </c>
    </row>
    <row r="54" spans="1:5" x14ac:dyDescent="0.25">
      <c r="A54" s="134" t="s">
        <v>326</v>
      </c>
      <c r="B54" s="131">
        <v>3686.1676799999987</v>
      </c>
      <c r="C54" s="131">
        <v>2740.5868400000036</v>
      </c>
      <c r="D54" s="131">
        <v>537.45575999999983</v>
      </c>
      <c r="E54" s="133">
        <v>7.3281953887006368E-3</v>
      </c>
    </row>
    <row r="55" spans="1:5" x14ac:dyDescent="0.25">
      <c r="A55" s="134" t="s">
        <v>331</v>
      </c>
      <c r="B55" s="131">
        <v>7368.2484100000074</v>
      </c>
      <c r="C55" s="131">
        <v>6069.4099199999982</v>
      </c>
      <c r="D55" s="131">
        <v>3120.3892399999986</v>
      </c>
      <c r="E55" s="133">
        <v>2.5652775881385981E-2</v>
      </c>
    </row>
    <row r="56" spans="1:5" x14ac:dyDescent="0.25">
      <c r="A56" s="134" t="s">
        <v>340</v>
      </c>
      <c r="B56" s="131">
        <v>12128.422550000003</v>
      </c>
      <c r="C56" s="131">
        <v>12777.874980000008</v>
      </c>
      <c r="D56" s="131">
        <v>2481.9263299999993</v>
      </c>
      <c r="E56" s="133">
        <v>1.4619842204948511E-2</v>
      </c>
    </row>
    <row r="57" spans="1:5" x14ac:dyDescent="0.25">
      <c r="A57" s="134" t="s">
        <v>343</v>
      </c>
      <c r="B57" s="131">
        <v>9022.5501599999843</v>
      </c>
      <c r="C57" s="131">
        <v>8269.8387899999798</v>
      </c>
      <c r="D57" s="131">
        <v>8645.5916499999985</v>
      </c>
      <c r="E57" s="133">
        <v>3.0684384760433739E-2</v>
      </c>
    </row>
    <row r="58" spans="1:5" x14ac:dyDescent="0.25">
      <c r="A58" s="134" t="s">
        <v>344</v>
      </c>
      <c r="B58" s="131">
        <v>11017.904239999989</v>
      </c>
      <c r="C58" s="131">
        <v>12089.045540000006</v>
      </c>
      <c r="D58" s="131">
        <v>6304.947070000002</v>
      </c>
      <c r="E58" s="133">
        <v>5.6541392188863948E-2</v>
      </c>
    </row>
    <row r="59" spans="1:5" x14ac:dyDescent="0.25">
      <c r="A59" s="134" t="s">
        <v>349</v>
      </c>
      <c r="B59" s="131">
        <v>8162.5048700000043</v>
      </c>
      <c r="C59" s="131">
        <v>10170.474079999985</v>
      </c>
      <c r="D59" s="131">
        <v>4793.6354300000021</v>
      </c>
      <c r="E59" s="133">
        <v>1.8579395605283058E-2</v>
      </c>
    </row>
    <row r="60" spans="1:5" x14ac:dyDescent="0.25">
      <c r="A60" s="135" t="s">
        <v>351</v>
      </c>
      <c r="B60" s="131">
        <v>4526.3979000000036</v>
      </c>
      <c r="C60" s="131">
        <v>4058.2612799999988</v>
      </c>
      <c r="D60" s="131">
        <v>8247.6031000000003</v>
      </c>
      <c r="E60" s="133">
        <v>0.13054655116990338</v>
      </c>
    </row>
    <row r="61" spans="1:5" x14ac:dyDescent="0.25">
      <c r="A61" s="135" t="s">
        <v>355</v>
      </c>
      <c r="B61" s="131">
        <v>3823.1931599999953</v>
      </c>
      <c r="C61" s="131">
        <v>2829.8313899999994</v>
      </c>
      <c r="D61" s="131">
        <v>5727.5378399999991</v>
      </c>
      <c r="E61" s="133">
        <v>0.14066572837072461</v>
      </c>
    </row>
    <row r="62" spans="1:5" x14ac:dyDescent="0.25">
      <c r="A62" s="144" t="s">
        <v>284</v>
      </c>
      <c r="B62" s="23">
        <v>7067.9134400000039</v>
      </c>
      <c r="C62" s="131">
        <v>14132.747330000013</v>
      </c>
      <c r="D62" s="131">
        <v>3.8400000001274748E-2</v>
      </c>
      <c r="E62" s="133">
        <v>9.9999999999999995E-7</v>
      </c>
    </row>
    <row r="63" spans="1:5" x14ac:dyDescent="0.25">
      <c r="A63" s="144" t="s">
        <v>294</v>
      </c>
      <c r="B63" s="131">
        <v>1714.7845299999972</v>
      </c>
      <c r="C63" s="131">
        <v>1578.3370900000009</v>
      </c>
      <c r="D63" s="131">
        <v>241.97511000000031</v>
      </c>
      <c r="E63" s="133">
        <v>9.9999999999999995E-7</v>
      </c>
    </row>
    <row r="64" spans="1:5" x14ac:dyDescent="0.25">
      <c r="A64" s="486" t="s">
        <v>407</v>
      </c>
      <c r="B64" s="486"/>
      <c r="C64" s="486"/>
      <c r="D64" s="486"/>
      <c r="E64" s="487"/>
    </row>
    <row r="65" spans="1:5" x14ac:dyDescent="0.25">
      <c r="A65" s="134" t="s">
        <v>283</v>
      </c>
      <c r="B65" s="131">
        <v>-1733.2712700000047</v>
      </c>
      <c r="C65" s="131">
        <v>-1772.1400900000081</v>
      </c>
      <c r="D65" s="131">
        <v>185.75460999999996</v>
      </c>
      <c r="E65" s="133">
        <v>7.0987503538816055E-3</v>
      </c>
    </row>
    <row r="66" spans="1:5" x14ac:dyDescent="0.25">
      <c r="A66" s="134" t="s">
        <v>291</v>
      </c>
      <c r="B66" s="131">
        <v>-1856.0304299999989</v>
      </c>
      <c r="C66" s="131">
        <v>312.34068999999727</v>
      </c>
      <c r="D66" s="131">
        <v>579.46592000000055</v>
      </c>
      <c r="E66" s="133">
        <v>2.2587109288895305E-2</v>
      </c>
    </row>
    <row r="67" spans="1:5" x14ac:dyDescent="0.25">
      <c r="A67" s="134" t="s">
        <v>293</v>
      </c>
      <c r="B67" s="131">
        <v>-1456.6837099999975</v>
      </c>
      <c r="C67" s="131">
        <v>-3187.7795799999985</v>
      </c>
      <c r="D67" s="131">
        <v>6.2886399999999867</v>
      </c>
      <c r="E67" s="133">
        <v>1.8227439101860393E-3</v>
      </c>
    </row>
    <row r="68" spans="1:5" x14ac:dyDescent="0.25">
      <c r="A68" s="134" t="s">
        <v>314</v>
      </c>
      <c r="B68" s="131">
        <v>-2126.5447399999975</v>
      </c>
      <c r="C68" s="131">
        <v>-2683.0378999999957</v>
      </c>
      <c r="D68" s="131">
        <v>1575.5624200000002</v>
      </c>
      <c r="E68" s="133">
        <v>2.2437745087592303E-2</v>
      </c>
    </row>
    <row r="69" spans="1:5" x14ac:dyDescent="0.25">
      <c r="A69" s="134" t="s">
        <v>317</v>
      </c>
      <c r="B69" s="131">
        <v>-35186.193770000013</v>
      </c>
      <c r="C69" s="131">
        <v>-34086.923030000005</v>
      </c>
      <c r="D69" s="131">
        <v>115.14100999999937</v>
      </c>
      <c r="E69" s="133">
        <v>3.3823836452860828E-2</v>
      </c>
    </row>
    <row r="70" spans="1:5" x14ac:dyDescent="0.25">
      <c r="A70" s="134" t="s">
        <v>330</v>
      </c>
      <c r="B70" s="131">
        <v>-1791.8445399999982</v>
      </c>
      <c r="C70" s="131">
        <v>-1451.4877800000031</v>
      </c>
      <c r="D70" s="131">
        <v>440.30183000000034</v>
      </c>
      <c r="E70" s="133">
        <v>1.6911794207912334E-2</v>
      </c>
    </row>
    <row r="71" spans="1:5" x14ac:dyDescent="0.25">
      <c r="A71" s="134" t="s">
        <v>334</v>
      </c>
      <c r="B71" s="131">
        <v>-10687.826850000012</v>
      </c>
      <c r="C71" s="131">
        <v>-12560.118499999997</v>
      </c>
      <c r="D71" s="131">
        <v>1761.9340100000018</v>
      </c>
      <c r="E71" s="133">
        <v>1.762951247009055E-2</v>
      </c>
    </row>
    <row r="72" spans="1:5" x14ac:dyDescent="0.25">
      <c r="A72" s="134" t="s">
        <v>336</v>
      </c>
      <c r="B72" s="131">
        <v>-372.63649000000441</v>
      </c>
      <c r="C72" s="131">
        <v>-1532.4000600000145</v>
      </c>
      <c r="D72" s="131">
        <v>8607.6282800000008</v>
      </c>
      <c r="E72" s="133">
        <v>6.5298761464675587E-2</v>
      </c>
    </row>
    <row r="73" spans="1:5" x14ac:dyDescent="0.25">
      <c r="A73" s="135" t="s">
        <v>354</v>
      </c>
      <c r="B73" s="131">
        <v>-1142.7596800000028</v>
      </c>
      <c r="C73" s="131">
        <v>-1385.4020100000052</v>
      </c>
      <c r="D73" s="131">
        <v>1013.9581500000004</v>
      </c>
      <c r="E73" s="133">
        <v>1.4289225240946953E-2</v>
      </c>
    </row>
    <row r="74" spans="1:5" ht="30" x14ac:dyDescent="0.25">
      <c r="A74" s="134" t="s">
        <v>397</v>
      </c>
      <c r="B74" s="131">
        <v>-93306.914310000371</v>
      </c>
      <c r="C74" s="131">
        <v>-68648.260890000034</v>
      </c>
      <c r="D74" s="131">
        <v>3247.9186999999511</v>
      </c>
      <c r="E74" s="133">
        <v>3.6986633044636674E-3</v>
      </c>
    </row>
    <row r="75" spans="1:5" x14ac:dyDescent="0.25">
      <c r="A75" s="486" t="s">
        <v>406</v>
      </c>
      <c r="B75" s="486"/>
      <c r="C75" s="486"/>
      <c r="D75" s="486"/>
      <c r="E75" s="487"/>
    </row>
    <row r="76" spans="1:5" x14ac:dyDescent="0.25">
      <c r="A76" s="134" t="s">
        <v>281</v>
      </c>
      <c r="B76" s="131">
        <v>10864.610440000004</v>
      </c>
      <c r="C76" s="131">
        <v>-10648.614469999986</v>
      </c>
      <c r="D76" s="131">
        <v>4493.5749300000007</v>
      </c>
      <c r="E76" s="133">
        <v>2.9182480338681177E-2</v>
      </c>
    </row>
    <row r="77" spans="1:5" x14ac:dyDescent="0.25">
      <c r="A77" s="134" t="s">
        <v>286</v>
      </c>
      <c r="B77" s="131">
        <v>11041.750240000001</v>
      </c>
      <c r="C77" s="131">
        <v>-1797.0175900000104</v>
      </c>
      <c r="D77" s="131">
        <v>5188.182679999999</v>
      </c>
      <c r="E77" s="133">
        <v>9.3069089328561241E-2</v>
      </c>
    </row>
    <row r="78" spans="1:5" x14ac:dyDescent="0.25">
      <c r="A78" s="134" t="s">
        <v>305</v>
      </c>
      <c r="B78" s="131">
        <v>349.27134999999544</v>
      </c>
      <c r="C78" s="131">
        <v>-267.15178000000742</v>
      </c>
      <c r="D78" s="131">
        <v>15.812839999999596</v>
      </c>
      <c r="E78" s="133">
        <v>9.9999999999999995E-7</v>
      </c>
    </row>
    <row r="79" spans="1:5" x14ac:dyDescent="0.25">
      <c r="A79" s="134" t="s">
        <v>329</v>
      </c>
      <c r="B79" s="131">
        <v>1413.2450499999977</v>
      </c>
      <c r="C79" s="131">
        <v>-2639.053270000004</v>
      </c>
      <c r="D79" s="131">
        <v>466.12571000000025</v>
      </c>
      <c r="E79" s="133">
        <v>9.7405548310717516E-3</v>
      </c>
    </row>
    <row r="80" spans="1:5" x14ac:dyDescent="0.25">
      <c r="A80" s="134" t="s">
        <v>332</v>
      </c>
      <c r="B80" s="131">
        <v>14793.764629999991</v>
      </c>
      <c r="C80" s="131">
        <v>-1159.1202400000184</v>
      </c>
      <c r="D80" s="131">
        <v>13500.049469999998</v>
      </c>
      <c r="E80" s="133">
        <v>3.622672054536874E-2</v>
      </c>
    </row>
    <row r="82" spans="1:2" x14ac:dyDescent="0.25">
      <c r="A82" s="136"/>
      <c r="B82" s="49" t="s">
        <v>404</v>
      </c>
    </row>
  </sheetData>
  <autoFilter ref="A3:E80"/>
  <customSheetViews>
    <customSheetView guid="{38D37C3F-FD9B-4DF6-A86F-8343B05C36EA}" fitToPage="1" showAutoFilter="1" state="hidden" topLeftCell="A85">
      <selection activeCell="H26" sqref="H26"/>
      <pageMargins left="0.23622047244094491" right="0.23622047244094491" top="0.23622047244094491" bottom="0.23622047244094491" header="0.31496062992125984" footer="0.31496062992125984"/>
      <pageSetup paperSize="9" fitToHeight="0" orientation="portrait" r:id="rId1"/>
      <autoFilter ref="A3:E80"/>
    </customSheetView>
  </customSheetViews>
  <mergeCells count="6">
    <mergeCell ref="A64:E64"/>
    <mergeCell ref="A75:E75"/>
    <mergeCell ref="A4:E4"/>
    <mergeCell ref="A10:E10"/>
    <mergeCell ref="A40:E40"/>
    <mergeCell ref="A43:E43"/>
  </mergeCells>
  <conditionalFormatting sqref="B5:D9">
    <cfRule type="cellIs" dxfId="33" priority="35" operator="lessThan">
      <formula>0</formula>
    </cfRule>
    <cfRule type="cellIs" dxfId="32" priority="36" operator="greaterThan">
      <formula>0</formula>
    </cfRule>
  </conditionalFormatting>
  <conditionalFormatting sqref="B11:D11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B12:D39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E5:E9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E11"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E12:E39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B41:D42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E41:E42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E44:E61">
    <cfRule type="cellIs" dxfId="17" priority="15" operator="lessThan">
      <formula>0</formula>
    </cfRule>
    <cfRule type="cellIs" dxfId="16" priority="16" operator="greaterThan">
      <formula>0</formula>
    </cfRule>
  </conditionalFormatting>
  <conditionalFormatting sqref="B44:D61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E65:E74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E76:E8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B65:D74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E62:E6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63:D63 C62:D62">
    <cfRule type="cellIs" dxfId="5" priority="9" operator="lessThan">
      <formula>0</formula>
    </cfRule>
    <cfRule type="cellIs" dxfId="4" priority="10" operator="greaterThan">
      <formula>0</formula>
    </cfRule>
  </conditionalFormatting>
  <conditionalFormatting sqref="B62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B76:D80">
    <cfRule type="cellIs" dxfId="1" priority="3" operator="lessThan">
      <formula>0</formula>
    </cfRule>
    <cfRule type="cellIs" dxfId="0" priority="4" operator="greaterThan">
      <formula>0</formula>
    </cfRule>
  </conditionalFormatting>
  <pageMargins left="0.23622047244094491" right="0.23622047244094491" top="0.23622047244094491" bottom="0.23622047244094491" header="0.31496062992125984" footer="0.31496062992125984"/>
  <pageSetup paperSize="9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A13" zoomScale="140" zoomScaleNormal="140" workbookViewId="0">
      <selection activeCell="F5" sqref="F5:H5"/>
    </sheetView>
  </sheetViews>
  <sheetFormatPr defaultRowHeight="15" x14ac:dyDescent="0.25"/>
  <cols>
    <col min="1" max="1" width="34.140625" customWidth="1"/>
    <col min="2" max="10" width="12.7109375" customWidth="1"/>
    <col min="12" max="12" width="44.5703125" customWidth="1"/>
    <col min="13" max="13" width="38.5703125" customWidth="1"/>
    <col min="14" max="14" width="29.85546875" customWidth="1"/>
    <col min="15" max="15" width="34.28515625" customWidth="1"/>
    <col min="16" max="16" width="19.140625" customWidth="1"/>
  </cols>
  <sheetData>
    <row r="1" spans="1:16" x14ac:dyDescent="0.25">
      <c r="F1">
        <v>1000</v>
      </c>
    </row>
    <row r="2" spans="1:16" ht="34.5" customHeight="1" x14ac:dyDescent="0.25">
      <c r="A2" s="211"/>
      <c r="B2" s="210" t="s">
        <v>5</v>
      </c>
      <c r="C2" s="210" t="s">
        <v>5</v>
      </c>
      <c r="D2" s="210" t="s">
        <v>5</v>
      </c>
      <c r="E2" s="210" t="s">
        <v>5</v>
      </c>
      <c r="F2" s="210" t="s">
        <v>5</v>
      </c>
      <c r="G2" s="210" t="s">
        <v>5</v>
      </c>
      <c r="H2" s="210" t="s">
        <v>5</v>
      </c>
      <c r="I2" s="210" t="s">
        <v>5</v>
      </c>
      <c r="J2" s="210" t="s">
        <v>5</v>
      </c>
      <c r="L2" s="291" t="s">
        <v>836</v>
      </c>
      <c r="M2" s="291" t="s">
        <v>918</v>
      </c>
      <c r="N2" s="292" t="s">
        <v>919</v>
      </c>
      <c r="O2" s="292" t="s">
        <v>780</v>
      </c>
      <c r="P2" s="292" t="s">
        <v>917</v>
      </c>
    </row>
    <row r="3" spans="1:16" ht="28.5" customHeight="1" x14ac:dyDescent="0.25">
      <c r="A3" s="211" t="s">
        <v>3</v>
      </c>
      <c r="B3" s="210" t="s">
        <v>885</v>
      </c>
      <c r="C3" s="210" t="s">
        <v>886</v>
      </c>
      <c r="D3" s="210" t="s">
        <v>887</v>
      </c>
      <c r="E3" s="210" t="s">
        <v>888</v>
      </c>
      <c r="F3" s="210" t="s">
        <v>889</v>
      </c>
      <c r="G3" s="210" t="s">
        <v>890</v>
      </c>
      <c r="H3" s="210" t="s">
        <v>891</v>
      </c>
      <c r="I3" s="210" t="s">
        <v>892</v>
      </c>
      <c r="J3" s="210" t="s">
        <v>893</v>
      </c>
      <c r="L3" s="293" t="s">
        <v>782</v>
      </c>
      <c r="M3" s="294">
        <f>'[8]январь-июль с учетом СЗР'!$I$101</f>
        <v>6040335.1883599991</v>
      </c>
      <c r="N3" s="294">
        <f>'[8]январь-июль с учетом СЗР'!$V$106</f>
        <v>6097400.3772999989</v>
      </c>
      <c r="O3" s="295">
        <f>N3/M3</f>
        <v>1.0094473546848803</v>
      </c>
      <c r="P3" s="296">
        <f>N3-M3</f>
        <v>57065.188939999789</v>
      </c>
    </row>
    <row r="4" spans="1:16" ht="23.25" customHeight="1" x14ac:dyDescent="0.25">
      <c r="A4" s="212" t="s">
        <v>365</v>
      </c>
      <c r="B4" s="265"/>
      <c r="C4" s="265"/>
      <c r="D4" s="265"/>
      <c r="E4" s="265"/>
      <c r="F4" s="402">
        <v>5356894.96141</v>
      </c>
      <c r="G4" s="402">
        <v>5528000.6254500002</v>
      </c>
      <c r="H4" s="331">
        <v>5420778.6653300002</v>
      </c>
      <c r="I4" s="331">
        <v>5575160.08813</v>
      </c>
      <c r="J4" s="331">
        <f>'[8]январь-июль с учетом СЗР'!$O$101</f>
        <v>6097400.3772999989</v>
      </c>
      <c r="L4" s="293" t="s">
        <v>7</v>
      </c>
      <c r="M4" s="294">
        <f>'[8]январь-июль с учетом СЗР'!$S$101</f>
        <v>-54801.18879</v>
      </c>
      <c r="N4" s="294">
        <f>'[8]январь-июль с учетом СЗР'!$Z$106</f>
        <v>44671.652440000064</v>
      </c>
      <c r="O4" s="295">
        <f>(N4/M4-1)*-1</f>
        <v>1.8151584559813718</v>
      </c>
      <c r="P4" s="296">
        <f>N4-M4</f>
        <v>99472.841230000064</v>
      </c>
    </row>
    <row r="5" spans="1:16" x14ac:dyDescent="0.25">
      <c r="A5" s="212" t="s">
        <v>7</v>
      </c>
      <c r="B5" s="265"/>
      <c r="C5" s="265"/>
      <c r="D5" s="265"/>
      <c r="E5" s="265"/>
      <c r="F5" s="402">
        <v>-48166.775540000002</v>
      </c>
      <c r="G5" s="402">
        <v>-106295.73803000001</v>
      </c>
      <c r="H5" s="402">
        <v>-180363.33500999998</v>
      </c>
      <c r="I5" s="331">
        <f>'[7]7 мес.'!$U$99</f>
        <v>-178554.59000000003</v>
      </c>
      <c r="J5" s="331">
        <f>'[8]январь-июль с учетом СЗР'!$Y$101</f>
        <v>44671.652440000064</v>
      </c>
    </row>
    <row r="6" spans="1:16" x14ac:dyDescent="0.25">
      <c r="A6" s="212" t="s">
        <v>880</v>
      </c>
      <c r="H6" s="176">
        <f>'[6]7 мес.'!$P$107</f>
        <v>7090348</v>
      </c>
      <c r="I6" s="176">
        <f>'[7]7 мес.'!$Q$103</f>
        <v>7878314</v>
      </c>
      <c r="J6" s="176">
        <f>'[8]январь-июль с учетом СЗР'!$U$106</f>
        <v>7486731</v>
      </c>
    </row>
    <row r="7" spans="1:16" x14ac:dyDescent="0.25">
      <c r="A7" s="212" t="s">
        <v>881</v>
      </c>
      <c r="H7" s="176">
        <f>'[6]7 мес.'!$P$111</f>
        <v>-149504</v>
      </c>
      <c r="I7" s="176">
        <f>'[7]7 мес.'!$U$103</f>
        <v>-4655</v>
      </c>
      <c r="J7" s="176">
        <f>'[8]январь-июль с учетом СЗР'!$Y$106</f>
        <v>1967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"/>
  <sheetViews>
    <sheetView view="pageBreakPreview" zoomScale="80" zoomScaleNormal="100" zoomScaleSheetLayoutView="80" workbookViewId="0">
      <pane xSplit="1" ySplit="5" topLeftCell="I54" activePane="bottomRight" state="frozen"/>
      <selection pane="topRight" activeCell="B1" sqref="B1"/>
      <selection pane="bottomLeft" activeCell="A6" sqref="A6"/>
      <selection pane="bottomRight" activeCell="U85" sqref="U85"/>
    </sheetView>
  </sheetViews>
  <sheetFormatPr defaultRowHeight="15" outlineLevelRow="1" x14ac:dyDescent="0.25"/>
  <cols>
    <col min="1" max="1" width="48.28515625" style="49" customWidth="1"/>
    <col min="2" max="2" width="16" style="49" customWidth="1"/>
    <col min="3" max="4" width="15.42578125" style="49" customWidth="1"/>
    <col min="5" max="8" width="12.140625" style="49" customWidth="1"/>
    <col min="9" max="9" width="14.7109375" style="49" customWidth="1"/>
    <col min="10" max="14" width="12.140625" style="49" customWidth="1"/>
    <col min="15" max="17" width="17.140625" style="49" customWidth="1"/>
    <col min="18" max="18" width="12.140625" style="49" customWidth="1"/>
    <col min="19" max="19" width="15.5703125" style="49" customWidth="1"/>
    <col min="20" max="21" width="17" style="49" customWidth="1"/>
    <col min="22" max="24" width="12.140625" style="49" customWidth="1"/>
    <col min="25" max="26" width="16.140625" style="49" hidden="1" customWidth="1"/>
    <col min="27" max="28" width="16.7109375" style="49" hidden="1" customWidth="1"/>
    <col min="29" max="30" width="16.140625" style="49" hidden="1" customWidth="1"/>
    <col min="31" max="32" width="16.7109375" style="49" hidden="1" customWidth="1"/>
    <col min="33" max="34" width="16.140625" style="49" hidden="1" customWidth="1"/>
    <col min="35" max="36" width="16.7109375" style="49" hidden="1" customWidth="1"/>
    <col min="37" max="16384" width="9.140625" style="49"/>
  </cols>
  <sheetData>
    <row r="1" spans="1:36" x14ac:dyDescent="0.25">
      <c r="A1" s="50"/>
      <c r="B1" s="50"/>
      <c r="C1" s="50">
        <v>1000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49">
        <v>1000</v>
      </c>
      <c r="AC1" s="49">
        <v>1000</v>
      </c>
      <c r="AG1" s="49">
        <v>1000</v>
      </c>
    </row>
    <row r="2" spans="1:36" x14ac:dyDescent="0.25">
      <c r="A2" s="51" t="s">
        <v>894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>
        <v>1000</v>
      </c>
      <c r="T2" s="51"/>
      <c r="U2" s="51">
        <v>71400</v>
      </c>
      <c r="V2" s="51"/>
      <c r="W2" s="51"/>
      <c r="X2" s="51"/>
    </row>
    <row r="3" spans="1:36" ht="15.75" thickBo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>
        <v>-1</v>
      </c>
      <c r="P3" s="50"/>
      <c r="Q3" s="50"/>
      <c r="R3" s="50"/>
      <c r="S3" s="50"/>
      <c r="T3" s="50"/>
      <c r="U3" s="50"/>
      <c r="V3" s="50"/>
      <c r="W3" s="50"/>
      <c r="X3" s="50"/>
    </row>
    <row r="4" spans="1:36" ht="15" customHeight="1" x14ac:dyDescent="0.25">
      <c r="A4" s="413" t="s">
        <v>277</v>
      </c>
      <c r="B4" s="411" t="s">
        <v>365</v>
      </c>
      <c r="C4" s="415"/>
      <c r="D4" s="415"/>
      <c r="E4" s="415"/>
      <c r="F4" s="415"/>
      <c r="G4" s="417"/>
      <c r="H4" s="418" t="s">
        <v>59</v>
      </c>
      <c r="I4" s="419"/>
      <c r="J4" s="420"/>
      <c r="K4" s="418" t="s">
        <v>882</v>
      </c>
      <c r="L4" s="419"/>
      <c r="M4" s="419"/>
      <c r="N4" s="420"/>
      <c r="O4" s="421" t="s">
        <v>366</v>
      </c>
      <c r="P4" s="422"/>
      <c r="Q4" s="422"/>
      <c r="R4" s="423"/>
      <c r="S4" s="413" t="s">
        <v>7</v>
      </c>
      <c r="T4" s="414"/>
      <c r="U4" s="414"/>
      <c r="V4" s="414"/>
      <c r="W4" s="414"/>
      <c r="X4" s="424"/>
      <c r="Y4" s="411" t="s">
        <v>774</v>
      </c>
      <c r="Z4" s="415"/>
      <c r="AA4" s="413" t="s">
        <v>775</v>
      </c>
      <c r="AB4" s="414"/>
      <c r="AC4" s="411" t="s">
        <v>776</v>
      </c>
      <c r="AD4" s="412"/>
      <c r="AE4" s="413" t="s">
        <v>777</v>
      </c>
      <c r="AF4" s="414"/>
      <c r="AG4" s="411" t="s">
        <v>771</v>
      </c>
      <c r="AH4" s="415"/>
      <c r="AI4" s="413" t="s">
        <v>772</v>
      </c>
      <c r="AJ4" s="414"/>
    </row>
    <row r="5" spans="1:36" ht="45.75" thickBot="1" x14ac:dyDescent="0.3">
      <c r="A5" s="416"/>
      <c r="B5" s="52" t="s">
        <v>389</v>
      </c>
      <c r="C5" s="52" t="s">
        <v>414</v>
      </c>
      <c r="D5" s="52" t="s">
        <v>754</v>
      </c>
      <c r="E5" s="52" t="s">
        <v>759</v>
      </c>
      <c r="F5" s="52" t="s">
        <v>760</v>
      </c>
      <c r="G5" s="88" t="s">
        <v>761</v>
      </c>
      <c r="H5" s="104" t="s">
        <v>389</v>
      </c>
      <c r="I5" s="105" t="s">
        <v>414</v>
      </c>
      <c r="J5" s="105" t="s">
        <v>754</v>
      </c>
      <c r="K5" s="104" t="s">
        <v>389</v>
      </c>
      <c r="L5" s="105" t="s">
        <v>414</v>
      </c>
      <c r="M5" s="105" t="s">
        <v>754</v>
      </c>
      <c r="N5" s="105"/>
      <c r="O5" s="53" t="s">
        <v>389</v>
      </c>
      <c r="P5" s="53" t="s">
        <v>414</v>
      </c>
      <c r="Q5" s="53" t="s">
        <v>754</v>
      </c>
      <c r="R5" s="98" t="s">
        <v>759</v>
      </c>
      <c r="S5" s="54" t="s">
        <v>389</v>
      </c>
      <c r="T5" s="54" t="s">
        <v>414</v>
      </c>
      <c r="U5" s="54" t="s">
        <v>754</v>
      </c>
      <c r="V5" s="54" t="s">
        <v>759</v>
      </c>
      <c r="W5" s="54" t="s">
        <v>368</v>
      </c>
      <c r="X5" s="55" t="s">
        <v>761</v>
      </c>
      <c r="Y5" s="52" t="s">
        <v>408</v>
      </c>
      <c r="Z5" s="52" t="s">
        <v>770</v>
      </c>
      <c r="AA5" s="54" t="s">
        <v>408</v>
      </c>
      <c r="AB5" s="54" t="s">
        <v>770</v>
      </c>
      <c r="AC5" s="52" t="s">
        <v>408</v>
      </c>
      <c r="AD5" s="52" t="s">
        <v>770</v>
      </c>
      <c r="AE5" s="54" t="s">
        <v>408</v>
      </c>
      <c r="AF5" s="54" t="s">
        <v>770</v>
      </c>
      <c r="AG5" s="52" t="s">
        <v>408</v>
      </c>
      <c r="AH5" s="52" t="s">
        <v>770</v>
      </c>
      <c r="AI5" s="54" t="s">
        <v>408</v>
      </c>
      <c r="AJ5" s="54" t="s">
        <v>770</v>
      </c>
    </row>
    <row r="6" spans="1:36" x14ac:dyDescent="0.25">
      <c r="A6" s="56" t="s">
        <v>278</v>
      </c>
      <c r="B6" s="57">
        <v>5451533.7048800001</v>
      </c>
      <c r="C6" s="57">
        <v>6040335.18836</v>
      </c>
      <c r="D6" s="57">
        <v>6263515.1303000003</v>
      </c>
      <c r="E6" s="57">
        <f>(D6-C6)</f>
        <v>223179.94194000028</v>
      </c>
      <c r="F6" s="58">
        <f>(IFERROR(D6/C6,0))</f>
        <v>1.0369482710777504</v>
      </c>
      <c r="G6" s="189">
        <f>(D6/B6*100-100)</f>
        <v>14.894550219750926</v>
      </c>
      <c r="H6" s="57">
        <v>0</v>
      </c>
      <c r="I6" s="57">
        <v>0</v>
      </c>
      <c r="J6" s="57">
        <v>0</v>
      </c>
      <c r="K6" s="57">
        <v>74365.005510000003</v>
      </c>
      <c r="L6" s="57">
        <v>84741.787299999996</v>
      </c>
      <c r="M6" s="57">
        <v>89003.629260000002</v>
      </c>
      <c r="N6" s="57"/>
      <c r="O6" s="57">
        <v>5668167.5944999997</v>
      </c>
      <c r="P6" s="57">
        <v>6245857.5046799993</v>
      </c>
      <c r="Q6" s="57">
        <v>6329377.8057999993</v>
      </c>
      <c r="R6" s="99">
        <f t="shared" ref="R6:R37" si="0">(Q6-P6)/1000</f>
        <v>83.520301119999957</v>
      </c>
      <c r="S6" s="332">
        <v>-100076.09262000001</v>
      </c>
      <c r="T6" s="332">
        <v>-54430.628320000003</v>
      </c>
      <c r="U6" s="332">
        <v>62354.939729999998</v>
      </c>
      <c r="V6" s="57">
        <f>U6-T6</f>
        <v>116785.56805</v>
      </c>
      <c r="W6" s="58">
        <f>IFERROR(U6/T6,0)</f>
        <v>-1.1455855215084534</v>
      </c>
      <c r="X6" s="90">
        <f>(U6/T6*100-100)*-1</f>
        <v>214.55855215084534</v>
      </c>
      <c r="Y6" s="57">
        <v>774520.59282000002</v>
      </c>
      <c r="Z6" s="57">
        <v>807508.25579999993</v>
      </c>
      <c r="AA6" s="57">
        <v>-55567.155960000004</v>
      </c>
      <c r="AB6" s="57">
        <v>-55852.625479999995</v>
      </c>
      <c r="AC6" s="57">
        <v>945250.82559000002</v>
      </c>
      <c r="AD6" s="57">
        <v>893550.8070700001</v>
      </c>
      <c r="AE6" s="57">
        <v>-10169.783529999999</v>
      </c>
      <c r="AF6" s="57">
        <v>-8719.2666199999985</v>
      </c>
      <c r="AG6" s="57">
        <f>C6+Y6+AC6</f>
        <v>7760106.6067699995</v>
      </c>
      <c r="AH6" s="57">
        <f>D6+Z6+AD6</f>
        <v>7964574.1931699999</v>
      </c>
      <c r="AI6" s="57">
        <f>T6+AA6+AE6</f>
        <v>-120167.56781000001</v>
      </c>
      <c r="AJ6" s="57">
        <f>U6+AB6+AF6</f>
        <v>-2216.9523699999954</v>
      </c>
    </row>
    <row r="7" spans="1:36" ht="15.75" thickBot="1" x14ac:dyDescent="0.3">
      <c r="A7" s="60" t="s">
        <v>279</v>
      </c>
      <c r="B7" s="72">
        <v>3923816.9211500003</v>
      </c>
      <c r="C7" s="72">
        <v>4325261.0037699994</v>
      </c>
      <c r="D7" s="72">
        <v>4195072.4367300002</v>
      </c>
      <c r="E7" s="72">
        <f t="shared" ref="E7:E70" si="1">(D7-C7)</f>
        <v>-130188.56703999918</v>
      </c>
      <c r="F7" s="73">
        <f t="shared" ref="F7:F70" si="2">(IFERROR(D7/C7,0))</f>
        <v>0.96990041365676571</v>
      </c>
      <c r="G7" s="92">
        <f t="shared" ref="G7:G70" si="3">(D7/B7*100-100)</f>
        <v>6.9130522914534964</v>
      </c>
      <c r="H7" s="72">
        <v>54430.64688</v>
      </c>
      <c r="I7" s="72">
        <v>41324.910619999995</v>
      </c>
      <c r="J7" s="72">
        <v>70496.022030000007</v>
      </c>
      <c r="K7" s="72">
        <v>216174.42785000001</v>
      </c>
      <c r="L7" s="72">
        <v>152205.35899000001</v>
      </c>
      <c r="M7" s="72">
        <v>154164.01063</v>
      </c>
      <c r="N7" s="72"/>
      <c r="O7" s="72">
        <v>3496709.3611299996</v>
      </c>
      <c r="P7" s="72">
        <v>3847214.3486599997</v>
      </c>
      <c r="Q7" s="72">
        <v>3698793.0024099997</v>
      </c>
      <c r="R7" s="92">
        <f t="shared" si="0"/>
        <v>-148.42134624999994</v>
      </c>
      <c r="S7" s="333">
        <v>408217.12263999996</v>
      </c>
      <c r="T7" s="333">
        <v>433193.50414999999</v>
      </c>
      <c r="U7" s="333">
        <v>475750.33467000001</v>
      </c>
      <c r="V7" s="72">
        <f t="shared" ref="V7:V72" si="4">U7-T7</f>
        <v>42556.830520000018</v>
      </c>
      <c r="W7" s="73">
        <f t="shared" ref="W7:W72" si="5">IFERROR(U7/T7,0)</f>
        <v>1.0982397707082516</v>
      </c>
      <c r="X7" s="92">
        <f t="shared" ref="X7:X66" si="6">U7/T7*100-100</f>
        <v>9.8239770708251655</v>
      </c>
      <c r="Y7" s="72">
        <v>571390.43335000006</v>
      </c>
      <c r="Z7" s="72">
        <v>559255.41680000001</v>
      </c>
      <c r="AA7" s="72">
        <v>36289.441869999995</v>
      </c>
      <c r="AB7" s="72">
        <v>26535.820179999999</v>
      </c>
      <c r="AC7" s="72">
        <v>689697.92374</v>
      </c>
      <c r="AD7" s="72">
        <v>637997.90557000006</v>
      </c>
      <c r="AE7" s="72">
        <v>105315.53805</v>
      </c>
      <c r="AF7" s="72">
        <v>82640.480030000006</v>
      </c>
      <c r="AG7" s="72">
        <f t="shared" ref="AG7:AG72" si="7">C7+Y7+AC7</f>
        <v>5586349.3608599994</v>
      </c>
      <c r="AH7" s="72">
        <f t="shared" ref="AH7:AH72" si="8">D7+Z7+AD7</f>
        <v>5392325.7591000004</v>
      </c>
      <c r="AI7" s="72">
        <f t="shared" ref="AI7:AI72" si="9">T7+AA7+AE7</f>
        <v>574798.48407000001</v>
      </c>
      <c r="AJ7" s="72">
        <f t="shared" ref="AJ7:AJ72" si="10">U7+AB7+AF7</f>
        <v>584926.63488000003</v>
      </c>
    </row>
    <row r="8" spans="1:36" ht="22.5" customHeight="1" thickBot="1" x14ac:dyDescent="0.3">
      <c r="A8" s="61" t="s">
        <v>280</v>
      </c>
      <c r="B8" s="74">
        <v>595444.43117</v>
      </c>
      <c r="C8" s="74">
        <v>644121.31589999993</v>
      </c>
      <c r="D8" s="74">
        <v>646412.64230999991</v>
      </c>
      <c r="E8" s="75">
        <f t="shared" si="1"/>
        <v>2291.3264099999797</v>
      </c>
      <c r="F8" s="76">
        <f t="shared" si="2"/>
        <v>1.0035572901461869</v>
      </c>
      <c r="G8" s="77">
        <f t="shared" si="3"/>
        <v>8.5596923024120883</v>
      </c>
      <c r="H8" s="74">
        <v>9464.7756300000001</v>
      </c>
      <c r="I8" s="74">
        <v>2975.3619900000003</v>
      </c>
      <c r="J8" s="74">
        <v>17359.89875</v>
      </c>
      <c r="K8" s="74">
        <v>29432.442629999998</v>
      </c>
      <c r="L8" s="74">
        <v>24872.46817</v>
      </c>
      <c r="M8" s="74">
        <v>25436.93003</v>
      </c>
      <c r="N8" s="74"/>
      <c r="O8" s="74">
        <v>472696.84729000001</v>
      </c>
      <c r="P8" s="74">
        <v>523817.15717999998</v>
      </c>
      <c r="Q8" s="74">
        <v>534843.54539999994</v>
      </c>
      <c r="R8" s="100">
        <f t="shared" si="0"/>
        <v>11.026388219999964</v>
      </c>
      <c r="S8" s="334">
        <v>106534.62324</v>
      </c>
      <c r="T8" s="334">
        <v>98623.616620000001</v>
      </c>
      <c r="U8" s="334">
        <v>104687.27681</v>
      </c>
      <c r="V8" s="75">
        <f t="shared" si="4"/>
        <v>6063.6601899999951</v>
      </c>
      <c r="W8" s="76">
        <f t="shared" si="5"/>
        <v>1.0614828415121245</v>
      </c>
      <c r="X8" s="77">
        <f t="shared" si="6"/>
        <v>6.1482841512124509</v>
      </c>
      <c r="Y8" s="74">
        <v>83486.629199999996</v>
      </c>
      <c r="Z8" s="74">
        <v>84925.138599999991</v>
      </c>
      <c r="AA8" s="74">
        <v>9250.1641400000008</v>
      </c>
      <c r="AB8" s="74">
        <v>8920.3717899999992</v>
      </c>
      <c r="AC8" s="74">
        <v>99649.851689999996</v>
      </c>
      <c r="AD8" s="74">
        <v>87791.050930000012</v>
      </c>
      <c r="AE8" s="74">
        <v>20646.128430000001</v>
      </c>
      <c r="AF8" s="74">
        <v>12206.893380000001</v>
      </c>
      <c r="AG8" s="74">
        <f t="shared" si="7"/>
        <v>827257.79678999993</v>
      </c>
      <c r="AH8" s="74">
        <f t="shared" si="8"/>
        <v>819128.83183999988</v>
      </c>
      <c r="AI8" s="74">
        <f t="shared" si="9"/>
        <v>128519.90918999999</v>
      </c>
      <c r="AJ8" s="74">
        <f t="shared" si="10"/>
        <v>125814.54198000001</v>
      </c>
    </row>
    <row r="9" spans="1:36" outlineLevel="1" x14ac:dyDescent="0.25">
      <c r="A9" s="64" t="s">
        <v>281</v>
      </c>
      <c r="B9" s="59">
        <v>47312.657090000001</v>
      </c>
      <c r="C9" s="59">
        <v>64320.528590000002</v>
      </c>
      <c r="D9" s="59">
        <v>68121.289909999992</v>
      </c>
      <c r="E9" s="59">
        <f t="shared" si="1"/>
        <v>3800.7613199999905</v>
      </c>
      <c r="F9" s="58">
        <f t="shared" si="2"/>
        <v>1.0590909528158152</v>
      </c>
      <c r="G9" s="90">
        <f t="shared" si="3"/>
        <v>43.981112243214312</v>
      </c>
      <c r="H9" s="59">
        <v>11668.34987</v>
      </c>
      <c r="I9" s="59">
        <v>1634.7853700000001</v>
      </c>
      <c r="J9" s="59">
        <v>15383.939259999999</v>
      </c>
      <c r="K9" s="59">
        <v>2137.0931</v>
      </c>
      <c r="L9" s="59">
        <v>1200.1289999999999</v>
      </c>
      <c r="M9" s="59">
        <v>1330.99146</v>
      </c>
      <c r="N9" s="59"/>
      <c r="O9" s="59">
        <v>50979.756020000001</v>
      </c>
      <c r="P9" s="59">
        <v>64452.135190000001</v>
      </c>
      <c r="Q9" s="59">
        <v>78934.30863</v>
      </c>
      <c r="R9" s="90">
        <f t="shared" si="0"/>
        <v>14.482173439999999</v>
      </c>
      <c r="S9" s="335">
        <v>6424.0164699999996</v>
      </c>
      <c r="T9" s="335">
        <v>1202.5429999999999</v>
      </c>
      <c r="U9" s="335">
        <v>4332.6990700000006</v>
      </c>
      <c r="V9" s="59">
        <f t="shared" si="4"/>
        <v>3130.1560700000009</v>
      </c>
      <c r="W9" s="58">
        <f t="shared" si="5"/>
        <v>3.6029473124869553</v>
      </c>
      <c r="X9" s="90">
        <f>(U9/T9*100-100)*-1</f>
        <v>-260.29473124869554</v>
      </c>
      <c r="Y9" s="59">
        <v>8091.7774800000007</v>
      </c>
      <c r="Z9" s="59">
        <v>10508.009470000001</v>
      </c>
      <c r="AA9" s="59">
        <v>-182.33058</v>
      </c>
      <c r="AB9" s="59">
        <v>598.77706999999998</v>
      </c>
      <c r="AC9" s="59">
        <v>9624.5649000000012</v>
      </c>
      <c r="AD9" s="59">
        <v>7224.3239999999996</v>
      </c>
      <c r="AE9" s="59">
        <v>1551.3683500000002</v>
      </c>
      <c r="AF9" s="59">
        <v>579.41428000000008</v>
      </c>
      <c r="AG9" s="59">
        <f t="shared" si="7"/>
        <v>82036.870970000004</v>
      </c>
      <c r="AH9" s="59">
        <f t="shared" si="8"/>
        <v>85853.62337999999</v>
      </c>
      <c r="AI9" s="59">
        <f t="shared" si="9"/>
        <v>2571.58077</v>
      </c>
      <c r="AJ9" s="59">
        <f t="shared" si="10"/>
        <v>5510.8904200000006</v>
      </c>
    </row>
    <row r="10" spans="1:36" outlineLevel="1" x14ac:dyDescent="0.25">
      <c r="A10" s="65" t="s">
        <v>282</v>
      </c>
      <c r="B10" s="23">
        <v>32518.054660000002</v>
      </c>
      <c r="C10" s="23">
        <v>36495</v>
      </c>
      <c r="D10" s="23">
        <v>34023.51382</v>
      </c>
      <c r="E10" s="23">
        <f t="shared" si="1"/>
        <v>-2471.4861799999999</v>
      </c>
      <c r="F10" s="24">
        <f t="shared" si="2"/>
        <v>0.93227877298260031</v>
      </c>
      <c r="G10" s="82">
        <f t="shared" si="3"/>
        <v>4.6296101527003088</v>
      </c>
      <c r="H10" s="23">
        <v>554.47460999999998</v>
      </c>
      <c r="I10" s="23">
        <v>247.78838000000002</v>
      </c>
      <c r="J10" s="23">
        <v>362.86138</v>
      </c>
      <c r="K10" s="23">
        <v>2336.02837</v>
      </c>
      <c r="L10" s="23">
        <v>1910.36277</v>
      </c>
      <c r="M10" s="23">
        <v>1911.5243600000001</v>
      </c>
      <c r="N10" s="23"/>
      <c r="O10" s="23">
        <v>27802.67755</v>
      </c>
      <c r="P10" s="23">
        <v>30908.79279</v>
      </c>
      <c r="Q10" s="23">
        <v>28567.207579999998</v>
      </c>
      <c r="R10" s="82">
        <f t="shared" si="0"/>
        <v>-2.3415852100000012</v>
      </c>
      <c r="S10" s="336">
        <v>4204.6457900000005</v>
      </c>
      <c r="T10" s="336">
        <v>4667.1964600000001</v>
      </c>
      <c r="U10" s="336">
        <v>4625.1783599999999</v>
      </c>
      <c r="V10" s="23">
        <f t="shared" si="4"/>
        <v>-42.018100000000231</v>
      </c>
      <c r="W10" s="24">
        <f t="shared" si="5"/>
        <v>0.99099714349714774</v>
      </c>
      <c r="X10" s="82">
        <f t="shared" si="6"/>
        <v>-0.90028565028522678</v>
      </c>
      <c r="Y10" s="23">
        <v>4761</v>
      </c>
      <c r="Z10" s="23">
        <v>4594.9507899999999</v>
      </c>
      <c r="AA10" s="23">
        <v>336.01526000000001</v>
      </c>
      <c r="AB10" s="23">
        <v>130.68218999999999</v>
      </c>
      <c r="AC10" s="23">
        <v>5532</v>
      </c>
      <c r="AD10" s="23">
        <v>4832</v>
      </c>
      <c r="AE10" s="23">
        <v>907.51169999999991</v>
      </c>
      <c r="AF10" s="23">
        <v>485.97890999999998</v>
      </c>
      <c r="AG10" s="23">
        <f t="shared" si="7"/>
        <v>46788</v>
      </c>
      <c r="AH10" s="23">
        <f t="shared" si="8"/>
        <v>43450.464610000003</v>
      </c>
      <c r="AI10" s="23">
        <f t="shared" si="9"/>
        <v>5910.7234200000003</v>
      </c>
      <c r="AJ10" s="23">
        <f t="shared" si="10"/>
        <v>5241.8394599999992</v>
      </c>
    </row>
    <row r="11" spans="1:36" outlineLevel="1" x14ac:dyDescent="0.25">
      <c r="A11" s="65" t="s">
        <v>283</v>
      </c>
      <c r="B11" s="23">
        <v>35242.850299999998</v>
      </c>
      <c r="C11" s="23">
        <v>36305.842700000001</v>
      </c>
      <c r="D11" s="23">
        <v>38868.949850000005</v>
      </c>
      <c r="E11" s="23">
        <f t="shared" si="1"/>
        <v>2563.1071500000035</v>
      </c>
      <c r="F11" s="24">
        <f t="shared" si="2"/>
        <v>1.0705976492869012</v>
      </c>
      <c r="G11" s="82">
        <f t="shared" si="3"/>
        <v>10.288894113652347</v>
      </c>
      <c r="H11" s="23">
        <v>-2595.2509300000002</v>
      </c>
      <c r="I11" s="23">
        <v>-3147.8824100000002</v>
      </c>
      <c r="J11" s="23">
        <v>-4228.0653200000006</v>
      </c>
      <c r="K11" s="23">
        <v>582.43518999999992</v>
      </c>
      <c r="L11" s="23">
        <v>69.651359999999997</v>
      </c>
      <c r="M11" s="23">
        <v>69.651330000000002</v>
      </c>
      <c r="N11" s="23"/>
      <c r="O11" s="23">
        <v>28722.24583</v>
      </c>
      <c r="P11" s="23">
        <v>29037.1649</v>
      </c>
      <c r="Q11" s="23">
        <v>29180.340929999998</v>
      </c>
      <c r="R11" s="82">
        <f t="shared" si="0"/>
        <v>0.14317602999999871</v>
      </c>
      <c r="S11" s="336">
        <v>3561.6390200000001</v>
      </c>
      <c r="T11" s="336">
        <v>3296.6362899999999</v>
      </c>
      <c r="U11" s="336">
        <v>4367.7698700000001</v>
      </c>
      <c r="V11" s="23">
        <f t="shared" si="4"/>
        <v>1071.1335800000002</v>
      </c>
      <c r="W11" s="24">
        <f t="shared" si="5"/>
        <v>1.3249171233263346</v>
      </c>
      <c r="X11" s="82">
        <f t="shared" si="6"/>
        <v>32.491712332633455</v>
      </c>
      <c r="Y11" s="23">
        <v>4649.0485799999997</v>
      </c>
      <c r="Z11" s="23">
        <v>5238.1704300000001</v>
      </c>
      <c r="AA11" s="23">
        <v>160.26285999999999</v>
      </c>
      <c r="AB11" s="23">
        <v>317.51387</v>
      </c>
      <c r="AC11" s="23">
        <v>5025.2181799999998</v>
      </c>
      <c r="AD11" s="23">
        <v>5025.2181799999998</v>
      </c>
      <c r="AE11" s="23">
        <v>520.31780000000003</v>
      </c>
      <c r="AF11" s="23">
        <v>312.31465000000003</v>
      </c>
      <c r="AG11" s="23">
        <f t="shared" si="7"/>
        <v>45980.109460000007</v>
      </c>
      <c r="AH11" s="23">
        <f t="shared" si="8"/>
        <v>49132.338459999999</v>
      </c>
      <c r="AI11" s="23">
        <f t="shared" si="9"/>
        <v>3977.21695</v>
      </c>
      <c r="AJ11" s="23">
        <f t="shared" si="10"/>
        <v>4997.5983900000001</v>
      </c>
    </row>
    <row r="12" spans="1:36" outlineLevel="1" x14ac:dyDescent="0.25">
      <c r="A12" s="65" t="s">
        <v>284</v>
      </c>
      <c r="B12" s="23">
        <v>98602.304749999996</v>
      </c>
      <c r="C12" s="23">
        <v>98217.99</v>
      </c>
      <c r="D12" s="23">
        <v>110020.46978</v>
      </c>
      <c r="E12" s="23">
        <f t="shared" si="1"/>
        <v>11802.479779999994</v>
      </c>
      <c r="F12" s="24">
        <f t="shared" si="2"/>
        <v>1.1201661709835438</v>
      </c>
      <c r="G12" s="82">
        <f t="shared" si="3"/>
        <v>11.580018397085198</v>
      </c>
      <c r="H12" s="23">
        <v>-4904.3812600000001</v>
      </c>
      <c r="I12" s="23">
        <v>1514.2425499999999</v>
      </c>
      <c r="J12" s="23">
        <v>-2669.2033500000002</v>
      </c>
      <c r="K12" s="23">
        <v>10476.436730000001</v>
      </c>
      <c r="L12" s="23">
        <v>11347.559039999998</v>
      </c>
      <c r="M12" s="23">
        <v>11507.99857</v>
      </c>
      <c r="N12" s="23"/>
      <c r="O12" s="23">
        <v>79670.796290000013</v>
      </c>
      <c r="P12" s="23">
        <v>87478.167829999991</v>
      </c>
      <c r="Q12" s="23">
        <v>93466.347569999998</v>
      </c>
      <c r="R12" s="82">
        <f t="shared" si="0"/>
        <v>5.9881797400000067</v>
      </c>
      <c r="S12" s="336">
        <v>11345.42483</v>
      </c>
      <c r="T12" s="336">
        <v>9803.2518199999995</v>
      </c>
      <c r="U12" s="336">
        <v>11175.293230000001</v>
      </c>
      <c r="V12" s="23">
        <f t="shared" si="4"/>
        <v>1372.0414100000016</v>
      </c>
      <c r="W12" s="24">
        <f t="shared" si="5"/>
        <v>1.1399577849465059</v>
      </c>
      <c r="X12" s="82">
        <f t="shared" si="6"/>
        <v>13.995778494650594</v>
      </c>
      <c r="Y12" s="23">
        <v>13955.212</v>
      </c>
      <c r="Z12" s="23">
        <v>14661.601259999999</v>
      </c>
      <c r="AA12" s="23">
        <v>1570.0283300000001</v>
      </c>
      <c r="AB12" s="23">
        <v>1731.2375</v>
      </c>
      <c r="AC12" s="23">
        <v>15293.474</v>
      </c>
      <c r="AD12" s="23">
        <v>15293.474</v>
      </c>
      <c r="AE12" s="23">
        <v>1581.83698</v>
      </c>
      <c r="AF12" s="23">
        <v>1723.5916000000002</v>
      </c>
      <c r="AG12" s="23">
        <f t="shared" si="7"/>
        <v>127466.67600000001</v>
      </c>
      <c r="AH12" s="23">
        <f t="shared" si="8"/>
        <v>139975.54504</v>
      </c>
      <c r="AI12" s="23">
        <f t="shared" si="9"/>
        <v>12955.117129999999</v>
      </c>
      <c r="AJ12" s="23">
        <f t="shared" si="10"/>
        <v>14630.12233</v>
      </c>
    </row>
    <row r="13" spans="1:36" outlineLevel="1" x14ac:dyDescent="0.25">
      <c r="A13" s="65" t="s">
        <v>285</v>
      </c>
      <c r="B13" s="23">
        <v>71653.707269999999</v>
      </c>
      <c r="C13" s="23">
        <v>62400</v>
      </c>
      <c r="D13" s="23">
        <v>70312.334230000008</v>
      </c>
      <c r="E13" s="23">
        <f t="shared" si="1"/>
        <v>7912.3342300000077</v>
      </c>
      <c r="F13" s="24">
        <f t="shared" si="2"/>
        <v>1.1268002280448719</v>
      </c>
      <c r="G13" s="82">
        <f t="shared" si="3"/>
        <v>-1.8720218270710518</v>
      </c>
      <c r="H13" s="23">
        <v>-1131.18497</v>
      </c>
      <c r="I13" s="23">
        <v>-419.1019</v>
      </c>
      <c r="J13" s="23">
        <v>-854.11428000000001</v>
      </c>
      <c r="K13" s="23">
        <v>190.50118000000001</v>
      </c>
      <c r="L13" s="23">
        <v>0.57358000000000009</v>
      </c>
      <c r="M13" s="23">
        <v>155.80082000000002</v>
      </c>
      <c r="N13" s="23"/>
      <c r="O13" s="23">
        <v>49826.179689999997</v>
      </c>
      <c r="P13" s="23">
        <v>51983.434209999999</v>
      </c>
      <c r="Q13" s="23">
        <v>53912.986779999999</v>
      </c>
      <c r="R13" s="82">
        <f t="shared" si="0"/>
        <v>1.9295525699999998</v>
      </c>
      <c r="S13" s="336">
        <v>16579.40609</v>
      </c>
      <c r="T13" s="336">
        <v>7997.9711299999999</v>
      </c>
      <c r="U13" s="336">
        <v>12726.016250000001</v>
      </c>
      <c r="V13" s="23">
        <f t="shared" si="4"/>
        <v>4728.0451200000007</v>
      </c>
      <c r="W13" s="24">
        <f t="shared" si="5"/>
        <v>1.591155562223191</v>
      </c>
      <c r="X13" s="82">
        <f t="shared" si="6"/>
        <v>59.1155562223191</v>
      </c>
      <c r="Y13" s="23">
        <v>7500</v>
      </c>
      <c r="Z13" s="23">
        <v>9814.5669999999991</v>
      </c>
      <c r="AA13" s="23">
        <v>233.11765</v>
      </c>
      <c r="AB13" s="23">
        <v>1317.61886</v>
      </c>
      <c r="AC13" s="23">
        <v>10000</v>
      </c>
      <c r="AD13" s="23">
        <v>9200</v>
      </c>
      <c r="AE13" s="23">
        <v>1572.2008999999998</v>
      </c>
      <c r="AF13" s="23">
        <v>512.73410000000001</v>
      </c>
      <c r="AG13" s="23">
        <f t="shared" si="7"/>
        <v>79900</v>
      </c>
      <c r="AH13" s="23">
        <f t="shared" si="8"/>
        <v>89326.901230000003</v>
      </c>
      <c r="AI13" s="23">
        <f t="shared" si="9"/>
        <v>9803.2896799999999</v>
      </c>
      <c r="AJ13" s="23">
        <f t="shared" si="10"/>
        <v>14556.369210000001</v>
      </c>
    </row>
    <row r="14" spans="1:36" outlineLevel="1" x14ac:dyDescent="0.25">
      <c r="A14" s="65" t="s">
        <v>286</v>
      </c>
      <c r="B14" s="23">
        <v>17735.625230000001</v>
      </c>
      <c r="C14" s="23">
        <v>19217.164339999999</v>
      </c>
      <c r="D14" s="23">
        <v>18072.340629999999</v>
      </c>
      <c r="E14" s="23">
        <f t="shared" si="1"/>
        <v>-1144.8237100000006</v>
      </c>
      <c r="F14" s="24">
        <f t="shared" si="2"/>
        <v>0.9404270219193015</v>
      </c>
      <c r="G14" s="82">
        <f t="shared" si="3"/>
        <v>1.8985256828185584</v>
      </c>
      <c r="H14" s="23">
        <v>6544.0399699999998</v>
      </c>
      <c r="I14" s="23">
        <v>5386.0223900000001</v>
      </c>
      <c r="J14" s="23">
        <v>10099.26548</v>
      </c>
      <c r="K14" s="23">
        <v>1672.5904800000001</v>
      </c>
      <c r="L14" s="23">
        <v>1257.86716</v>
      </c>
      <c r="M14" s="23">
        <v>1257.68173</v>
      </c>
      <c r="N14" s="23"/>
      <c r="O14" s="23">
        <v>21859.303079999998</v>
      </c>
      <c r="P14" s="23">
        <v>23754.977210000001</v>
      </c>
      <c r="Q14" s="23">
        <v>25450.01597</v>
      </c>
      <c r="R14" s="82">
        <f t="shared" si="0"/>
        <v>1.6950387599999994</v>
      </c>
      <c r="S14" s="336">
        <v>2082.7582600000001</v>
      </c>
      <c r="T14" s="336">
        <v>678.56760999999995</v>
      </c>
      <c r="U14" s="336">
        <v>2252.9149700000003</v>
      </c>
      <c r="V14" s="23">
        <f t="shared" si="4"/>
        <v>1574.3473600000002</v>
      </c>
      <c r="W14" s="24">
        <f t="shared" si="5"/>
        <v>3.3201039023952239</v>
      </c>
      <c r="X14" s="90">
        <f>(U14/T14*100-100)*-1</f>
        <v>-232.01039023952239</v>
      </c>
      <c r="Y14" s="23">
        <v>1833.8783500000002</v>
      </c>
      <c r="Z14" s="23">
        <v>2032.1347000000001</v>
      </c>
      <c r="AA14" s="23">
        <v>-609.11743999999999</v>
      </c>
      <c r="AB14" s="23">
        <v>-443.81801000000002</v>
      </c>
      <c r="AC14" s="23">
        <v>3472.2861499999999</v>
      </c>
      <c r="AD14" s="23">
        <v>3472.2861499999999</v>
      </c>
      <c r="AE14" s="23">
        <v>748.03926999999999</v>
      </c>
      <c r="AF14" s="23">
        <v>750.61855000000003</v>
      </c>
      <c r="AG14" s="23">
        <f t="shared" si="7"/>
        <v>24523.328839999998</v>
      </c>
      <c r="AH14" s="23">
        <f t="shared" si="8"/>
        <v>23576.761479999997</v>
      </c>
      <c r="AI14" s="23">
        <f t="shared" si="9"/>
        <v>817.48943999999995</v>
      </c>
      <c r="AJ14" s="23">
        <f t="shared" si="10"/>
        <v>2559.7155100000004</v>
      </c>
    </row>
    <row r="15" spans="1:36" outlineLevel="1" x14ac:dyDescent="0.25">
      <c r="A15" s="65" t="s">
        <v>287</v>
      </c>
      <c r="B15" s="23">
        <v>101899.82214</v>
      </c>
      <c r="C15" s="23">
        <v>107830.41499999999</v>
      </c>
      <c r="D15" s="23">
        <v>97462.005010000008</v>
      </c>
      <c r="E15" s="23">
        <f t="shared" si="1"/>
        <v>-10368.409989999986</v>
      </c>
      <c r="F15" s="24">
        <f t="shared" si="2"/>
        <v>0.90384521853133937</v>
      </c>
      <c r="G15" s="82">
        <f t="shared" si="3"/>
        <v>-4.3550783865970715</v>
      </c>
      <c r="H15" s="23">
        <v>-3677.64489</v>
      </c>
      <c r="I15" s="23">
        <v>-3553.5108500000001</v>
      </c>
      <c r="J15" s="23">
        <v>-2895.6600899999999</v>
      </c>
      <c r="K15" s="23">
        <v>3482.4615699999999</v>
      </c>
      <c r="L15" s="23">
        <v>2809.3703300000002</v>
      </c>
      <c r="M15" s="23">
        <v>2812.2319700000003</v>
      </c>
      <c r="N15" s="23"/>
      <c r="O15" s="23">
        <v>45261.320729999999</v>
      </c>
      <c r="P15" s="23">
        <v>45821.24843</v>
      </c>
      <c r="Q15" s="23">
        <v>42568.55876</v>
      </c>
      <c r="R15" s="82">
        <f t="shared" si="0"/>
        <v>-3.2526896699999996</v>
      </c>
      <c r="S15" s="336">
        <v>42251.419200000004</v>
      </c>
      <c r="T15" s="336">
        <v>46764.52461</v>
      </c>
      <c r="U15" s="336">
        <v>41580.02016</v>
      </c>
      <c r="V15" s="23">
        <f t="shared" si="4"/>
        <v>-5184.5044500000004</v>
      </c>
      <c r="W15" s="24">
        <f t="shared" si="5"/>
        <v>0.889135953091858</v>
      </c>
      <c r="X15" s="82">
        <f t="shared" si="6"/>
        <v>-11.086404690814206</v>
      </c>
      <c r="Y15" s="23">
        <v>14068.127</v>
      </c>
      <c r="Z15" s="23">
        <v>12336.2</v>
      </c>
      <c r="AA15" s="23">
        <v>5492.6051600000001</v>
      </c>
      <c r="AB15" s="23">
        <v>4723.4030199999997</v>
      </c>
      <c r="AC15" s="23">
        <v>14933.382</v>
      </c>
      <c r="AD15" s="23">
        <v>11946.705</v>
      </c>
      <c r="AE15" s="23">
        <v>6801.3906100000004</v>
      </c>
      <c r="AF15" s="23">
        <v>4233.1896100000004</v>
      </c>
      <c r="AG15" s="23">
        <f t="shared" si="7"/>
        <v>136831.924</v>
      </c>
      <c r="AH15" s="23">
        <f t="shared" si="8"/>
        <v>121744.91001000001</v>
      </c>
      <c r="AI15" s="23">
        <f t="shared" si="9"/>
        <v>59058.520380000002</v>
      </c>
      <c r="AJ15" s="23">
        <f t="shared" si="10"/>
        <v>50536.612789999999</v>
      </c>
    </row>
    <row r="16" spans="1:36" outlineLevel="1" x14ac:dyDescent="0.25">
      <c r="A16" s="65" t="s">
        <v>288</v>
      </c>
      <c r="B16" s="23">
        <v>19621.01656</v>
      </c>
      <c r="C16" s="23">
        <v>24018.249319999999</v>
      </c>
      <c r="D16" s="23">
        <v>21089.83194</v>
      </c>
      <c r="E16" s="23">
        <f t="shared" si="1"/>
        <v>-2928.417379999999</v>
      </c>
      <c r="F16" s="24">
        <f t="shared" si="2"/>
        <v>0.87807531927143812</v>
      </c>
      <c r="G16" s="82">
        <f t="shared" si="3"/>
        <v>7.4859290572863131</v>
      </c>
      <c r="H16" s="23">
        <v>-338.20261999999997</v>
      </c>
      <c r="I16" s="23">
        <v>-305.10775000000001</v>
      </c>
      <c r="J16" s="23">
        <v>-616.43606000000011</v>
      </c>
      <c r="K16" s="23">
        <v>1685.63248</v>
      </c>
      <c r="L16" s="23">
        <v>1323.499</v>
      </c>
      <c r="M16" s="23">
        <v>1405.4155900000001</v>
      </c>
      <c r="N16" s="23"/>
      <c r="O16" s="23">
        <v>16456.251630000002</v>
      </c>
      <c r="P16" s="23">
        <v>19397.36002</v>
      </c>
      <c r="Q16" s="23">
        <v>18628.319829999997</v>
      </c>
      <c r="R16" s="82">
        <f t="shared" si="0"/>
        <v>-0.76904019000000334</v>
      </c>
      <c r="S16" s="336">
        <v>2259.3483300000003</v>
      </c>
      <c r="T16" s="336">
        <v>3452.6252200000004</v>
      </c>
      <c r="U16" s="336">
        <v>1491.0208500000001</v>
      </c>
      <c r="V16" s="23">
        <f t="shared" si="4"/>
        <v>-1961.6043700000002</v>
      </c>
      <c r="W16" s="24">
        <f t="shared" si="5"/>
        <v>0.4318513464371902</v>
      </c>
      <c r="X16" s="82">
        <f t="shared" si="6"/>
        <v>-56.814865356280983</v>
      </c>
      <c r="Y16" s="23">
        <v>3802.9008900000003</v>
      </c>
      <c r="Z16" s="23">
        <v>2499.2677999999996</v>
      </c>
      <c r="AA16" s="23">
        <v>897.05295999999998</v>
      </c>
      <c r="AB16" s="23">
        <v>-139.8621</v>
      </c>
      <c r="AC16" s="23">
        <v>4033.6318500000002</v>
      </c>
      <c r="AD16" s="23">
        <v>3038.1188999999999</v>
      </c>
      <c r="AE16" s="23">
        <v>1015.81766</v>
      </c>
      <c r="AF16" s="23">
        <v>491.42015000000004</v>
      </c>
      <c r="AG16" s="23">
        <f t="shared" si="7"/>
        <v>31854.782060000001</v>
      </c>
      <c r="AH16" s="23">
        <f t="shared" si="8"/>
        <v>26627.218639999999</v>
      </c>
      <c r="AI16" s="23">
        <f t="shared" si="9"/>
        <v>5365.4958400000005</v>
      </c>
      <c r="AJ16" s="23">
        <f t="shared" si="10"/>
        <v>1842.5789</v>
      </c>
    </row>
    <row r="17" spans="1:36" outlineLevel="1" x14ac:dyDescent="0.25">
      <c r="A17" s="65" t="s">
        <v>289</v>
      </c>
      <c r="B17" s="23">
        <v>19716.27896</v>
      </c>
      <c r="C17" s="23">
        <v>21446.741000000002</v>
      </c>
      <c r="D17" s="23">
        <v>14713.750029999999</v>
      </c>
      <c r="E17" s="23">
        <f t="shared" si="1"/>
        <v>-6732.9909700000026</v>
      </c>
      <c r="F17" s="24">
        <f t="shared" si="2"/>
        <v>0.68605994868870745</v>
      </c>
      <c r="G17" s="82">
        <f t="shared" si="3"/>
        <v>-25.372581409245797</v>
      </c>
      <c r="H17" s="23">
        <v>643.69268999999997</v>
      </c>
      <c r="I17" s="23">
        <v>352.82673999999997</v>
      </c>
      <c r="J17" s="23">
        <v>267.79894000000002</v>
      </c>
      <c r="K17" s="23">
        <v>1539.00227</v>
      </c>
      <c r="L17" s="23">
        <v>988.01930000000004</v>
      </c>
      <c r="M17" s="23">
        <v>856.82384999999999</v>
      </c>
      <c r="N17" s="23"/>
      <c r="O17" s="23">
        <v>19875.712500000001</v>
      </c>
      <c r="P17" s="23">
        <v>21233.051489999998</v>
      </c>
      <c r="Q17" s="23">
        <v>16005.842259999999</v>
      </c>
      <c r="R17" s="82">
        <f t="shared" si="0"/>
        <v>-5.2272092299999988</v>
      </c>
      <c r="S17" s="336">
        <v>386.43240999999995</v>
      </c>
      <c r="T17" s="336">
        <v>453.21300000000002</v>
      </c>
      <c r="U17" s="336">
        <v>-825.26738</v>
      </c>
      <c r="V17" s="23">
        <f t="shared" si="4"/>
        <v>-1278.48038</v>
      </c>
      <c r="W17" s="24">
        <f t="shared" si="5"/>
        <v>-1.8209260987659224</v>
      </c>
      <c r="X17" s="82">
        <f t="shared" si="6"/>
        <v>-282.09260987659223</v>
      </c>
      <c r="Y17" s="23">
        <v>2827.7950000000001</v>
      </c>
      <c r="Z17" s="23">
        <v>2100</v>
      </c>
      <c r="AA17" s="23">
        <v>-117.83027</v>
      </c>
      <c r="AB17" s="23">
        <v>54.201190000000004</v>
      </c>
      <c r="AC17" s="23">
        <v>3256.2579999999998</v>
      </c>
      <c r="AD17" s="23">
        <v>2450</v>
      </c>
      <c r="AE17" s="23">
        <v>203.22742000000002</v>
      </c>
      <c r="AF17" s="23">
        <v>31.502080000000003</v>
      </c>
      <c r="AG17" s="23">
        <f t="shared" si="7"/>
        <v>27530.794000000002</v>
      </c>
      <c r="AH17" s="23">
        <f t="shared" si="8"/>
        <v>19263.750029999999</v>
      </c>
      <c r="AI17" s="23">
        <f t="shared" si="9"/>
        <v>538.61015000000009</v>
      </c>
      <c r="AJ17" s="23">
        <f t="shared" si="10"/>
        <v>-739.56411000000003</v>
      </c>
    </row>
    <row r="18" spans="1:36" outlineLevel="1" x14ac:dyDescent="0.25">
      <c r="A18" s="65" t="s">
        <v>290</v>
      </c>
      <c r="B18" s="23">
        <v>11598.39609</v>
      </c>
      <c r="C18" s="23">
        <v>16154.121999999999</v>
      </c>
      <c r="D18" s="23">
        <v>11677.764210000001</v>
      </c>
      <c r="E18" s="23">
        <f t="shared" si="1"/>
        <v>-4476.3577899999982</v>
      </c>
      <c r="F18" s="24">
        <f t="shared" si="2"/>
        <v>0.72289686867537595</v>
      </c>
      <c r="G18" s="82">
        <f t="shared" si="3"/>
        <v>0.6843025482500309</v>
      </c>
      <c r="H18" s="23">
        <v>116.75235000000001</v>
      </c>
      <c r="I18" s="23">
        <v>-134.06854999999999</v>
      </c>
      <c r="J18" s="23">
        <v>349.10765000000004</v>
      </c>
      <c r="K18" s="23">
        <v>139.85251</v>
      </c>
      <c r="L18" s="23">
        <v>79.915669999999992</v>
      </c>
      <c r="M18" s="23">
        <v>109.48178</v>
      </c>
      <c r="N18" s="23"/>
      <c r="O18" s="23">
        <v>12918.59857</v>
      </c>
      <c r="P18" s="23">
        <v>15601.44584</v>
      </c>
      <c r="Q18" s="23">
        <v>13392.596160000001</v>
      </c>
      <c r="R18" s="82">
        <f t="shared" si="0"/>
        <v>-2.2088496799999993</v>
      </c>
      <c r="S18" s="336">
        <v>-944.62085999999999</v>
      </c>
      <c r="T18" s="336">
        <v>334.88607999999999</v>
      </c>
      <c r="U18" s="336">
        <v>-1041.88023</v>
      </c>
      <c r="V18" s="23">
        <f t="shared" si="4"/>
        <v>-1376.76631</v>
      </c>
      <c r="W18" s="24">
        <f t="shared" si="5"/>
        <v>-3.1111482149392415</v>
      </c>
      <c r="X18" s="90">
        <f>(U18/T18*100-100)*-1</f>
        <v>411.11482149392418</v>
      </c>
      <c r="Y18" s="23">
        <v>1822.096</v>
      </c>
      <c r="Z18" s="23">
        <v>1502.06431</v>
      </c>
      <c r="AA18" s="23">
        <v>-281.80354</v>
      </c>
      <c r="AB18" s="23">
        <v>-365.13137</v>
      </c>
      <c r="AC18" s="23">
        <v>2665.7449999999999</v>
      </c>
      <c r="AD18" s="23">
        <v>1785.3080299999999</v>
      </c>
      <c r="AE18" s="23">
        <v>335.47843999999998</v>
      </c>
      <c r="AF18" s="23">
        <v>-121.64227000000001</v>
      </c>
      <c r="AG18" s="23">
        <f t="shared" si="7"/>
        <v>20641.963</v>
      </c>
      <c r="AH18" s="23">
        <f t="shared" si="8"/>
        <v>14965.136550000001</v>
      </c>
      <c r="AI18" s="23">
        <f t="shared" si="9"/>
        <v>388.56097999999997</v>
      </c>
      <c r="AJ18" s="23">
        <f t="shared" si="10"/>
        <v>-1528.6538700000001</v>
      </c>
    </row>
    <row r="19" spans="1:36" outlineLevel="1" x14ac:dyDescent="0.25">
      <c r="A19" s="65" t="s">
        <v>291</v>
      </c>
      <c r="B19" s="23">
        <v>16574.964840000001</v>
      </c>
      <c r="C19" s="23">
        <v>19880.161929999998</v>
      </c>
      <c r="D19" s="23">
        <v>32089.04019</v>
      </c>
      <c r="E19" s="23">
        <f t="shared" si="1"/>
        <v>12208.878260000001</v>
      </c>
      <c r="F19" s="24">
        <f t="shared" si="2"/>
        <v>1.6141236828446699</v>
      </c>
      <c r="G19" s="82">
        <f t="shared" si="3"/>
        <v>93.599446513215042</v>
      </c>
      <c r="H19" s="23">
        <v>443.80874</v>
      </c>
      <c r="I19" s="23">
        <v>432.76337999999998</v>
      </c>
      <c r="J19" s="23">
        <v>-1842.6186200000002</v>
      </c>
      <c r="K19" s="23">
        <v>1405.9274599999999</v>
      </c>
      <c r="L19" s="23">
        <v>1127.3219299999998</v>
      </c>
      <c r="M19" s="23">
        <v>996.12651000000005</v>
      </c>
      <c r="N19" s="23"/>
      <c r="O19" s="23">
        <v>16258.13031</v>
      </c>
      <c r="P19" s="23">
        <v>18612.262460000002</v>
      </c>
      <c r="Q19" s="23">
        <v>22100.337190000002</v>
      </c>
      <c r="R19" s="82">
        <f t="shared" si="0"/>
        <v>3.4880747300000001</v>
      </c>
      <c r="S19" s="336">
        <v>608.96086000000003</v>
      </c>
      <c r="T19" s="336">
        <v>1360.5302300000001</v>
      </c>
      <c r="U19" s="336">
        <v>6527.0954800000009</v>
      </c>
      <c r="V19" s="23">
        <f t="shared" si="4"/>
        <v>5166.5652500000006</v>
      </c>
      <c r="W19" s="24">
        <f t="shared" si="5"/>
        <v>4.797464500292655</v>
      </c>
      <c r="X19" s="82">
        <f t="shared" si="6"/>
        <v>379.74645002926547</v>
      </c>
      <c r="Y19" s="23">
        <v>2703.5895699999996</v>
      </c>
      <c r="Z19" s="23">
        <v>3510</v>
      </c>
      <c r="AA19" s="23">
        <v>160.88324</v>
      </c>
      <c r="AB19" s="23">
        <v>386.94117999999997</v>
      </c>
      <c r="AC19" s="23">
        <v>3361.1246599999999</v>
      </c>
      <c r="AD19" s="23">
        <v>3361.1246599999999</v>
      </c>
      <c r="AE19" s="23">
        <v>675.39679000000001</v>
      </c>
      <c r="AF19" s="23">
        <v>284.94094000000001</v>
      </c>
      <c r="AG19" s="23">
        <f t="shared" si="7"/>
        <v>25944.87616</v>
      </c>
      <c r="AH19" s="23">
        <f t="shared" si="8"/>
        <v>38960.164850000001</v>
      </c>
      <c r="AI19" s="23">
        <f t="shared" si="9"/>
        <v>2196.8102600000002</v>
      </c>
      <c r="AJ19" s="23">
        <f t="shared" si="10"/>
        <v>7198.9776000000011</v>
      </c>
    </row>
    <row r="20" spans="1:36" outlineLevel="1" x14ac:dyDescent="0.25">
      <c r="A20" s="65" t="s">
        <v>292</v>
      </c>
      <c r="B20" s="23">
        <v>34596.645859999997</v>
      </c>
      <c r="C20" s="23">
        <v>36552.902430000002</v>
      </c>
      <c r="D20" s="23">
        <v>35324.189479999994</v>
      </c>
      <c r="E20" s="23">
        <f t="shared" si="1"/>
        <v>-1228.7129500000083</v>
      </c>
      <c r="F20" s="24">
        <f t="shared" si="2"/>
        <v>0.96638535196068132</v>
      </c>
      <c r="G20" s="82">
        <f t="shared" si="3"/>
        <v>2.1029310845453182</v>
      </c>
      <c r="H20" s="23">
        <v>-138.62698999999998</v>
      </c>
      <c r="I20" s="23">
        <v>-42.314300000000003</v>
      </c>
      <c r="J20" s="23">
        <v>-127.33158</v>
      </c>
      <c r="K20" s="23">
        <v>1417.53332</v>
      </c>
      <c r="L20" s="23">
        <v>1338.45138</v>
      </c>
      <c r="M20" s="23">
        <v>1337.62778</v>
      </c>
      <c r="N20" s="23"/>
      <c r="O20" s="23">
        <v>26774.22984</v>
      </c>
      <c r="P20" s="23">
        <v>29407.361840000001</v>
      </c>
      <c r="Q20" s="23">
        <v>28844.112980000002</v>
      </c>
      <c r="R20" s="82">
        <f t="shared" si="0"/>
        <v>-0.56324885999999974</v>
      </c>
      <c r="S20" s="336">
        <v>6157.2907100000002</v>
      </c>
      <c r="T20" s="336">
        <v>5682.5810300000003</v>
      </c>
      <c r="U20" s="336">
        <v>5098.2128300000004</v>
      </c>
      <c r="V20" s="23">
        <f t="shared" si="4"/>
        <v>-584.36819999999989</v>
      </c>
      <c r="W20" s="24">
        <f t="shared" si="5"/>
        <v>0.89716500355825113</v>
      </c>
      <c r="X20" s="82">
        <f t="shared" si="6"/>
        <v>-10.283499644174881</v>
      </c>
      <c r="Y20" s="23">
        <v>4829.6673300000002</v>
      </c>
      <c r="Z20" s="23">
        <v>4442.9016900000006</v>
      </c>
      <c r="AA20" s="23">
        <v>590.64697999999999</v>
      </c>
      <c r="AB20" s="23">
        <v>436.86422999999996</v>
      </c>
      <c r="AC20" s="23">
        <v>5801.5639499999997</v>
      </c>
      <c r="AD20" s="23">
        <v>5221.4075599999996</v>
      </c>
      <c r="AE20" s="23">
        <v>1521.2551299999998</v>
      </c>
      <c r="AF20" s="23">
        <v>1055.54494</v>
      </c>
      <c r="AG20" s="23">
        <f t="shared" si="7"/>
        <v>47184.133709999995</v>
      </c>
      <c r="AH20" s="23">
        <f t="shared" si="8"/>
        <v>44988.498729999992</v>
      </c>
      <c r="AI20" s="23">
        <f t="shared" si="9"/>
        <v>7794.4831400000003</v>
      </c>
      <c r="AJ20" s="23">
        <f t="shared" si="10"/>
        <v>6590.6220000000003</v>
      </c>
    </row>
    <row r="21" spans="1:36" outlineLevel="1" x14ac:dyDescent="0.25">
      <c r="A21" s="65" t="s">
        <v>293</v>
      </c>
      <c r="B21" s="23">
        <v>15556.06458</v>
      </c>
      <c r="C21" s="23">
        <v>17890.293000000001</v>
      </c>
      <c r="D21" s="23">
        <v>16003.02331</v>
      </c>
      <c r="E21" s="23">
        <f t="shared" si="1"/>
        <v>-1887.269690000001</v>
      </c>
      <c r="F21" s="24">
        <f t="shared" si="2"/>
        <v>0.89450873219348614</v>
      </c>
      <c r="G21" s="82">
        <f t="shared" si="3"/>
        <v>2.8732121013089795</v>
      </c>
      <c r="H21" s="23">
        <v>-5.2925699999999996</v>
      </c>
      <c r="I21" s="23">
        <v>101.84896000000001</v>
      </c>
      <c r="J21" s="23">
        <v>678.01043000000004</v>
      </c>
      <c r="K21" s="23">
        <v>1069.9595900000002</v>
      </c>
      <c r="L21" s="23">
        <v>691.99575000000004</v>
      </c>
      <c r="M21" s="23">
        <v>761.32729000000006</v>
      </c>
      <c r="N21" s="23"/>
      <c r="O21" s="23">
        <v>16723.698</v>
      </c>
      <c r="P21" s="23">
        <v>18082.391489999998</v>
      </c>
      <c r="Q21" s="23">
        <v>17145.617719999998</v>
      </c>
      <c r="R21" s="82">
        <f t="shared" si="0"/>
        <v>-0.93677376999999984</v>
      </c>
      <c r="S21" s="336">
        <v>-936.22031000000004</v>
      </c>
      <c r="T21" s="336">
        <v>-72.199669999999998</v>
      </c>
      <c r="U21" s="336">
        <v>-57.425290000000004</v>
      </c>
      <c r="V21" s="23">
        <f t="shared" si="4"/>
        <v>14.774379999999994</v>
      </c>
      <c r="W21" s="24">
        <f t="shared" si="5"/>
        <v>0.79536776276124266</v>
      </c>
      <c r="X21" s="90">
        <f>(U21/T21*100-100)*-1</f>
        <v>20.463223723875728</v>
      </c>
      <c r="Y21" s="23">
        <v>2459.5369999999998</v>
      </c>
      <c r="Z21" s="23">
        <v>2365.3620000000001</v>
      </c>
      <c r="AA21" s="23">
        <v>-57.275280000000002</v>
      </c>
      <c r="AB21" s="23">
        <v>-195.00098</v>
      </c>
      <c r="AC21" s="23">
        <v>2790.6030000000001</v>
      </c>
      <c r="AD21" s="23">
        <v>2596.5390000000002</v>
      </c>
      <c r="AE21" s="23">
        <v>174.78474</v>
      </c>
      <c r="AF21" s="23">
        <v>168.80374</v>
      </c>
      <c r="AG21" s="23">
        <f t="shared" si="7"/>
        <v>23140.433000000001</v>
      </c>
      <c r="AH21" s="23">
        <f t="shared" si="8"/>
        <v>20964.924310000002</v>
      </c>
      <c r="AI21" s="23">
        <f t="shared" si="9"/>
        <v>45.309789999999992</v>
      </c>
      <c r="AJ21" s="23">
        <f t="shared" si="10"/>
        <v>-83.622529999999983</v>
      </c>
    </row>
    <row r="22" spans="1:36" outlineLevel="1" x14ac:dyDescent="0.25">
      <c r="A22" s="65" t="s">
        <v>294</v>
      </c>
      <c r="B22" s="23">
        <v>20421.020769999999</v>
      </c>
      <c r="C22" s="23">
        <v>24532</v>
      </c>
      <c r="D22" s="23">
        <v>21869.81755</v>
      </c>
      <c r="E22" s="23">
        <f t="shared" si="1"/>
        <v>-2662.1824500000002</v>
      </c>
      <c r="F22" s="24">
        <f t="shared" si="2"/>
        <v>0.89148123063753459</v>
      </c>
      <c r="G22" s="82">
        <f t="shared" si="3"/>
        <v>7.0946344764919473</v>
      </c>
      <c r="H22" s="23">
        <v>329.44978000000003</v>
      </c>
      <c r="I22" s="23">
        <v>108.18185000000001</v>
      </c>
      <c r="J22" s="23">
        <v>7.4595399999999996</v>
      </c>
      <c r="K22" s="23">
        <v>0</v>
      </c>
      <c r="L22" s="23">
        <v>0</v>
      </c>
      <c r="M22" s="23">
        <v>37.496160000000003</v>
      </c>
      <c r="N22" s="23"/>
      <c r="O22" s="23">
        <v>16545.105609999999</v>
      </c>
      <c r="P22" s="23">
        <v>20980.54293</v>
      </c>
      <c r="Q22" s="23">
        <v>19088.330469999997</v>
      </c>
      <c r="R22" s="82">
        <f t="shared" si="0"/>
        <v>-1.8922124600000025</v>
      </c>
      <c r="S22" s="336">
        <v>3377.59701</v>
      </c>
      <c r="T22" s="336">
        <v>2927.7111400000003</v>
      </c>
      <c r="U22" s="336">
        <v>2240.4157300000002</v>
      </c>
      <c r="V22" s="23">
        <f t="shared" si="4"/>
        <v>-687.29541000000017</v>
      </c>
      <c r="W22" s="24">
        <f t="shared" si="5"/>
        <v>0.76524480143898344</v>
      </c>
      <c r="X22" s="82">
        <f t="shared" si="6"/>
        <v>-23.475519856101656</v>
      </c>
      <c r="Y22" s="23">
        <v>3202</v>
      </c>
      <c r="Z22" s="23">
        <v>3069.00009</v>
      </c>
      <c r="AA22" s="23">
        <v>214.89023</v>
      </c>
      <c r="AB22" s="23">
        <v>222.56864000000002</v>
      </c>
      <c r="AC22" s="23">
        <v>3710</v>
      </c>
      <c r="AD22" s="23">
        <v>3324.5454500000001</v>
      </c>
      <c r="AE22" s="23">
        <v>552.74615000000006</v>
      </c>
      <c r="AF22" s="23">
        <v>482.97892999999999</v>
      </c>
      <c r="AG22" s="23">
        <f t="shared" si="7"/>
        <v>31444</v>
      </c>
      <c r="AH22" s="23">
        <f t="shared" si="8"/>
        <v>28263.363090000003</v>
      </c>
      <c r="AI22" s="23">
        <f t="shared" si="9"/>
        <v>3695.3475200000003</v>
      </c>
      <c r="AJ22" s="23">
        <f t="shared" si="10"/>
        <v>2945.9633000000003</v>
      </c>
    </row>
    <row r="23" spans="1:36" outlineLevel="1" x14ac:dyDescent="0.25">
      <c r="A23" s="65" t="s">
        <v>295</v>
      </c>
      <c r="B23" s="23">
        <v>22242.577379999999</v>
      </c>
      <c r="C23" s="23">
        <v>27526.905589999998</v>
      </c>
      <c r="D23" s="23">
        <v>29783.149089999999</v>
      </c>
      <c r="E23" s="23">
        <f t="shared" si="1"/>
        <v>2256.2435000000005</v>
      </c>
      <c r="F23" s="24">
        <f t="shared" si="2"/>
        <v>1.0819650248235548</v>
      </c>
      <c r="G23" s="82">
        <f t="shared" si="3"/>
        <v>33.901519509966079</v>
      </c>
      <c r="H23" s="23">
        <v>535.97550000000001</v>
      </c>
      <c r="I23" s="23">
        <v>214.2587</v>
      </c>
      <c r="J23" s="23">
        <v>718.97709999999995</v>
      </c>
      <c r="K23" s="23">
        <v>901.40882999999997</v>
      </c>
      <c r="L23" s="23">
        <v>688.66664000000003</v>
      </c>
      <c r="M23" s="23">
        <v>804.71258</v>
      </c>
      <c r="N23" s="23"/>
      <c r="O23" s="23">
        <v>17971.40177</v>
      </c>
      <c r="P23" s="23">
        <v>20594.54578</v>
      </c>
      <c r="Q23" s="23">
        <v>21327.154300000002</v>
      </c>
      <c r="R23" s="82">
        <f t="shared" si="0"/>
        <v>0.73260852000000154</v>
      </c>
      <c r="S23" s="336">
        <v>3859.0177699999999</v>
      </c>
      <c r="T23" s="336">
        <v>5717.2948699999997</v>
      </c>
      <c r="U23" s="336">
        <v>7349.1910099999996</v>
      </c>
      <c r="V23" s="23">
        <f t="shared" si="4"/>
        <v>1631.8961399999998</v>
      </c>
      <c r="W23" s="24">
        <f t="shared" si="5"/>
        <v>1.2854315156216527</v>
      </c>
      <c r="X23" s="82">
        <f t="shared" si="6"/>
        <v>28.543151562165264</v>
      </c>
      <c r="Y23" s="23">
        <v>2860</v>
      </c>
      <c r="Z23" s="23">
        <v>2849.40906</v>
      </c>
      <c r="AA23" s="23">
        <v>94.085970000000003</v>
      </c>
      <c r="AB23" s="23">
        <v>42.216730000000005</v>
      </c>
      <c r="AC23" s="23">
        <v>4780</v>
      </c>
      <c r="AD23" s="23">
        <v>4780</v>
      </c>
      <c r="AE23" s="23">
        <v>1465.5574799999999</v>
      </c>
      <c r="AF23" s="23">
        <v>858.66781000000003</v>
      </c>
      <c r="AG23" s="23">
        <f t="shared" si="7"/>
        <v>35166.905589999995</v>
      </c>
      <c r="AH23" s="23">
        <f t="shared" si="8"/>
        <v>37412.558149999997</v>
      </c>
      <c r="AI23" s="23">
        <f t="shared" si="9"/>
        <v>7276.9383199999993</v>
      </c>
      <c r="AJ23" s="23">
        <f t="shared" si="10"/>
        <v>8250.0755499999996</v>
      </c>
    </row>
    <row r="24" spans="1:36" ht="15.75" outlineLevel="1" thickBot="1" x14ac:dyDescent="0.3">
      <c r="A24" s="66" t="s">
        <v>296</v>
      </c>
      <c r="B24" s="72">
        <v>30152.44469</v>
      </c>
      <c r="C24" s="72">
        <v>31333</v>
      </c>
      <c r="D24" s="72">
        <v>26981.173280000003</v>
      </c>
      <c r="E24" s="72">
        <f t="shared" si="1"/>
        <v>-4351.8267199999973</v>
      </c>
      <c r="F24" s="73">
        <f t="shared" si="2"/>
        <v>0.86111043564293244</v>
      </c>
      <c r="G24" s="92">
        <f t="shared" si="3"/>
        <v>-10.517460333993228</v>
      </c>
      <c r="H24" s="72">
        <v>1418.8163500000001</v>
      </c>
      <c r="I24" s="72">
        <v>584.62943000000007</v>
      </c>
      <c r="J24" s="72">
        <v>2725.9082699999999</v>
      </c>
      <c r="K24" s="72">
        <v>395.57954999999998</v>
      </c>
      <c r="L24" s="72">
        <v>39.085260000000005</v>
      </c>
      <c r="M24" s="72">
        <v>82.038250000000005</v>
      </c>
      <c r="N24" s="72"/>
      <c r="O24" s="72">
        <v>25051.439870000002</v>
      </c>
      <c r="P24" s="72">
        <v>26472.27477</v>
      </c>
      <c r="Q24" s="72">
        <v>26231.468270000001</v>
      </c>
      <c r="R24" s="92">
        <f t="shared" si="0"/>
        <v>-0.24080649999999879</v>
      </c>
      <c r="S24" s="333">
        <v>5317.5076600000002</v>
      </c>
      <c r="T24" s="333">
        <v>4356.2838000000002</v>
      </c>
      <c r="U24" s="333">
        <v>2846.0218999999997</v>
      </c>
      <c r="V24" s="72">
        <f t="shared" si="4"/>
        <v>-1510.2619000000004</v>
      </c>
      <c r="W24" s="73">
        <f t="shared" si="5"/>
        <v>0.6533141619469327</v>
      </c>
      <c r="X24" s="92">
        <f t="shared" si="6"/>
        <v>-34.668583805306724</v>
      </c>
      <c r="Y24" s="72">
        <v>4120</v>
      </c>
      <c r="Z24" s="72">
        <v>3401.5</v>
      </c>
      <c r="AA24" s="72">
        <v>748.93260999999995</v>
      </c>
      <c r="AB24" s="72">
        <v>102.15977000000001</v>
      </c>
      <c r="AC24" s="72">
        <v>5370</v>
      </c>
      <c r="AD24" s="72">
        <v>4240</v>
      </c>
      <c r="AE24" s="72">
        <v>1019.19901</v>
      </c>
      <c r="AF24" s="72">
        <v>356.83535999999998</v>
      </c>
      <c r="AG24" s="72">
        <f t="shared" si="7"/>
        <v>40823</v>
      </c>
      <c r="AH24" s="72">
        <f t="shared" si="8"/>
        <v>34622.673280000003</v>
      </c>
      <c r="AI24" s="72">
        <f t="shared" si="9"/>
        <v>6124.4154200000003</v>
      </c>
      <c r="AJ24" s="72">
        <f t="shared" si="10"/>
        <v>3305.01703</v>
      </c>
    </row>
    <row r="25" spans="1:36" ht="24" customHeight="1" thickBot="1" x14ac:dyDescent="0.3">
      <c r="A25" s="61" t="s">
        <v>297</v>
      </c>
      <c r="B25" s="74">
        <v>841962.11164999998</v>
      </c>
      <c r="C25" s="74">
        <v>970277.20272000006</v>
      </c>
      <c r="D25" s="74">
        <v>875510.91902999999</v>
      </c>
      <c r="E25" s="75">
        <f t="shared" si="1"/>
        <v>-94766.283690000069</v>
      </c>
      <c r="F25" s="76">
        <f t="shared" si="2"/>
        <v>0.90233071185807556</v>
      </c>
      <c r="G25" s="77">
        <f t="shared" si="3"/>
        <v>3.9845982278530414</v>
      </c>
      <c r="H25" s="74">
        <v>-7036.2593200000001</v>
      </c>
      <c r="I25" s="74">
        <v>-16214.68361</v>
      </c>
      <c r="J25" s="74">
        <v>-2333.6931600000003</v>
      </c>
      <c r="K25" s="74">
        <v>43173.496380000004</v>
      </c>
      <c r="L25" s="74">
        <v>19313.408350000002</v>
      </c>
      <c r="M25" s="74">
        <v>22009.62959</v>
      </c>
      <c r="N25" s="74"/>
      <c r="O25" s="74">
        <v>687838.44638999994</v>
      </c>
      <c r="P25" s="74">
        <v>807739.57551999995</v>
      </c>
      <c r="Q25" s="74">
        <v>706306.16942999989</v>
      </c>
      <c r="R25" s="100">
        <f t="shared" si="0"/>
        <v>-101.43340609000006</v>
      </c>
      <c r="S25" s="334">
        <v>132808.96226999999</v>
      </c>
      <c r="T25" s="334">
        <v>132999.95483999999</v>
      </c>
      <c r="U25" s="334">
        <v>150110.96733000001</v>
      </c>
      <c r="V25" s="75">
        <f t="shared" si="4"/>
        <v>17111.012490000023</v>
      </c>
      <c r="W25" s="76">
        <f t="shared" si="5"/>
        <v>1.1286542729325337</v>
      </c>
      <c r="X25" s="77">
        <f t="shared" si="6"/>
        <v>12.865427293253376</v>
      </c>
      <c r="Y25" s="74">
        <v>123039.12035</v>
      </c>
      <c r="Z25" s="74">
        <v>117175.86470000001</v>
      </c>
      <c r="AA25" s="74">
        <v>10490.65171</v>
      </c>
      <c r="AB25" s="74">
        <v>11024.87464</v>
      </c>
      <c r="AC25" s="74">
        <v>155102.71715000001</v>
      </c>
      <c r="AD25" s="74">
        <v>130635.84047</v>
      </c>
      <c r="AE25" s="74">
        <v>24323.250250000001</v>
      </c>
      <c r="AF25" s="74">
        <v>22959.67238</v>
      </c>
      <c r="AG25" s="74">
        <f t="shared" si="7"/>
        <v>1248419.0402200001</v>
      </c>
      <c r="AH25" s="74">
        <f t="shared" si="8"/>
        <v>1123322.6242</v>
      </c>
      <c r="AI25" s="74">
        <f t="shared" si="9"/>
        <v>167813.85680000001</v>
      </c>
      <c r="AJ25" s="74">
        <f t="shared" si="10"/>
        <v>184095.51435000001</v>
      </c>
    </row>
    <row r="26" spans="1:36" ht="30" outlineLevel="1" x14ac:dyDescent="0.25">
      <c r="A26" s="64" t="s">
        <v>298</v>
      </c>
      <c r="B26" s="59">
        <v>507129.10456000001</v>
      </c>
      <c r="C26" s="59">
        <v>571825.9142</v>
      </c>
      <c r="D26" s="59">
        <v>509547.32511999999</v>
      </c>
      <c r="E26" s="59">
        <f t="shared" si="1"/>
        <v>-62278.589080000005</v>
      </c>
      <c r="F26" s="58">
        <f t="shared" si="2"/>
        <v>0.89108820091315821</v>
      </c>
      <c r="G26" s="90">
        <f t="shared" si="3"/>
        <v>0.47684515407533468</v>
      </c>
      <c r="H26" s="59">
        <v>-17602.200579999997</v>
      </c>
      <c r="I26" s="59">
        <v>-19110.85283</v>
      </c>
      <c r="J26" s="59">
        <v>-9023.7450399999998</v>
      </c>
      <c r="K26" s="59">
        <v>18977.373019999999</v>
      </c>
      <c r="L26" s="59">
        <v>6596.8616500000007</v>
      </c>
      <c r="M26" s="59">
        <v>9541.5221799999999</v>
      </c>
      <c r="N26" s="59"/>
      <c r="O26" s="59">
        <v>367922.78493000002</v>
      </c>
      <c r="P26" s="59">
        <v>466497.28497000004</v>
      </c>
      <c r="Q26" s="59">
        <v>388351.49612000003</v>
      </c>
      <c r="R26" s="90">
        <f t="shared" si="0"/>
        <v>-78.145788850000017</v>
      </c>
      <c r="S26" s="335">
        <v>112379.28586</v>
      </c>
      <c r="T26" s="335">
        <v>84855.021099999998</v>
      </c>
      <c r="U26" s="335">
        <v>106190.23989</v>
      </c>
      <c r="V26" s="59">
        <f t="shared" si="4"/>
        <v>21335.218789999999</v>
      </c>
      <c r="W26" s="58">
        <f t="shared" si="5"/>
        <v>1.2514314240150486</v>
      </c>
      <c r="X26" s="90">
        <f t="shared" si="6"/>
        <v>25.143142401504861</v>
      </c>
      <c r="Y26" s="59">
        <v>68399.708299999998</v>
      </c>
      <c r="Z26" s="59">
        <v>68500</v>
      </c>
      <c r="AA26" s="59">
        <v>4269.5977800000001</v>
      </c>
      <c r="AB26" s="59">
        <v>6469.3837400000002</v>
      </c>
      <c r="AC26" s="59">
        <v>94942.993300000002</v>
      </c>
      <c r="AD26" s="59">
        <v>75952.993000000002</v>
      </c>
      <c r="AE26" s="59">
        <v>14879.48639</v>
      </c>
      <c r="AF26" s="59">
        <v>15819.772800000001</v>
      </c>
      <c r="AG26" s="59">
        <f t="shared" si="7"/>
        <v>735168.61580000003</v>
      </c>
      <c r="AH26" s="59">
        <f t="shared" si="8"/>
        <v>654000.31811999995</v>
      </c>
      <c r="AI26" s="59">
        <f t="shared" si="9"/>
        <v>104004.10527</v>
      </c>
      <c r="AJ26" s="59">
        <f t="shared" si="10"/>
        <v>128479.39643000001</v>
      </c>
    </row>
    <row r="27" spans="1:36" outlineLevel="1" x14ac:dyDescent="0.25">
      <c r="A27" s="65" t="s">
        <v>299</v>
      </c>
      <c r="B27" s="23">
        <v>33081.300190000002</v>
      </c>
      <c r="C27" s="23">
        <v>43477.570439999996</v>
      </c>
      <c r="D27" s="23">
        <v>41630.926490000005</v>
      </c>
      <c r="E27" s="23">
        <f t="shared" si="1"/>
        <v>-1846.6439499999906</v>
      </c>
      <c r="F27" s="24">
        <f t="shared" si="2"/>
        <v>0.95752651467615013</v>
      </c>
      <c r="G27" s="82">
        <f t="shared" si="3"/>
        <v>25.844287409793012</v>
      </c>
      <c r="H27" s="23">
        <v>373.16577000000001</v>
      </c>
      <c r="I27" s="23">
        <v>159.45944</v>
      </c>
      <c r="J27" s="23">
        <v>-600.29062999999996</v>
      </c>
      <c r="K27" s="23">
        <v>1209.1015300000001</v>
      </c>
      <c r="L27" s="23">
        <v>871.94204999999999</v>
      </c>
      <c r="M27" s="23">
        <v>1003.26349</v>
      </c>
      <c r="N27" s="23"/>
      <c r="O27" s="23">
        <v>46659.834990000003</v>
      </c>
      <c r="P27" s="23">
        <v>50077.807520000002</v>
      </c>
      <c r="Q27" s="23">
        <v>43971.693810000004</v>
      </c>
      <c r="R27" s="82">
        <f t="shared" si="0"/>
        <v>-6.106113709999998</v>
      </c>
      <c r="S27" s="336">
        <v>-10387.36443</v>
      </c>
      <c r="T27" s="336">
        <v>-5149.8221199999998</v>
      </c>
      <c r="U27" s="336">
        <v>-2284.9388399999998</v>
      </c>
      <c r="V27" s="23">
        <f t="shared" si="4"/>
        <v>2864.88328</v>
      </c>
      <c r="W27" s="24">
        <f t="shared" si="5"/>
        <v>0.44369276972230642</v>
      </c>
      <c r="X27" s="90">
        <f>(U27/T27*100-100)*-1</f>
        <v>55.630723027769356</v>
      </c>
      <c r="Y27" s="23">
        <v>5690.8969200000001</v>
      </c>
      <c r="Z27" s="23">
        <v>5349.4430999999995</v>
      </c>
      <c r="AA27" s="23">
        <v>-1092.5408799999998</v>
      </c>
      <c r="AB27" s="23">
        <v>-568.44551999999999</v>
      </c>
      <c r="AC27" s="23">
        <v>7190.8969200000001</v>
      </c>
      <c r="AD27" s="23">
        <v>6471.8072300000003</v>
      </c>
      <c r="AE27" s="23">
        <v>-9.1061299999999985</v>
      </c>
      <c r="AF27" s="23">
        <v>110.84818</v>
      </c>
      <c r="AG27" s="23">
        <f t="shared" si="7"/>
        <v>56359.364279999994</v>
      </c>
      <c r="AH27" s="23">
        <f t="shared" si="8"/>
        <v>53452.176820000001</v>
      </c>
      <c r="AI27" s="23">
        <f t="shared" si="9"/>
        <v>-6251.4691299999995</v>
      </c>
      <c r="AJ27" s="23">
        <f t="shared" si="10"/>
        <v>-2742.5361800000001</v>
      </c>
    </row>
    <row r="28" spans="1:36" outlineLevel="1" x14ac:dyDescent="0.25">
      <c r="A28" s="65" t="s">
        <v>300</v>
      </c>
      <c r="B28" s="23">
        <v>28420.33913</v>
      </c>
      <c r="C28" s="23">
        <v>29476.839</v>
      </c>
      <c r="D28" s="23">
        <v>24992.93576</v>
      </c>
      <c r="E28" s="23">
        <f t="shared" si="1"/>
        <v>-4483.9032399999996</v>
      </c>
      <c r="F28" s="24">
        <f t="shared" si="2"/>
        <v>0.8478838507751798</v>
      </c>
      <c r="G28" s="82">
        <f t="shared" si="3"/>
        <v>-12.059684982372701</v>
      </c>
      <c r="H28" s="23">
        <v>538.38268999999991</v>
      </c>
      <c r="I28" s="23">
        <v>567.16331000000002</v>
      </c>
      <c r="J28" s="23">
        <v>199.61651000000001</v>
      </c>
      <c r="K28" s="23">
        <v>2331.78746</v>
      </c>
      <c r="L28" s="23">
        <v>1883.5266000000001</v>
      </c>
      <c r="M28" s="23">
        <v>1883.5265900000002</v>
      </c>
      <c r="N28" s="23"/>
      <c r="O28" s="23">
        <v>26993.801199999998</v>
      </c>
      <c r="P28" s="23">
        <v>29020.40958</v>
      </c>
      <c r="Q28" s="23">
        <v>25734.804459999999</v>
      </c>
      <c r="R28" s="82">
        <f t="shared" si="0"/>
        <v>-3.28560512</v>
      </c>
      <c r="S28" s="336">
        <v>1511.6214</v>
      </c>
      <c r="T28" s="336">
        <v>818.87417000000005</v>
      </c>
      <c r="U28" s="336">
        <v>-482.98354999999998</v>
      </c>
      <c r="V28" s="23">
        <f t="shared" si="4"/>
        <v>-1301.85772</v>
      </c>
      <c r="W28" s="24">
        <f t="shared" si="5"/>
        <v>-0.58981412247989207</v>
      </c>
      <c r="X28" s="82">
        <f t="shared" si="6"/>
        <v>-158.9814122479892</v>
      </c>
      <c r="Y28" s="23">
        <v>4437</v>
      </c>
      <c r="Z28" s="23">
        <v>3539.3967699999998</v>
      </c>
      <c r="AA28" s="23">
        <v>384.51941999999997</v>
      </c>
      <c r="AB28" s="23">
        <v>-208.13898</v>
      </c>
      <c r="AC28" s="23">
        <v>4446</v>
      </c>
      <c r="AD28" s="23">
        <v>4080</v>
      </c>
      <c r="AE28" s="23">
        <v>486.90767</v>
      </c>
      <c r="AF28" s="23">
        <v>351.42417</v>
      </c>
      <c r="AG28" s="23">
        <f t="shared" si="7"/>
        <v>38359.839</v>
      </c>
      <c r="AH28" s="23">
        <f t="shared" si="8"/>
        <v>32612.33253</v>
      </c>
      <c r="AI28" s="23">
        <f t="shared" si="9"/>
        <v>1690.3012600000002</v>
      </c>
      <c r="AJ28" s="23">
        <f t="shared" si="10"/>
        <v>-339.69835999999998</v>
      </c>
    </row>
    <row r="29" spans="1:36" outlineLevel="1" x14ac:dyDescent="0.25">
      <c r="A29" s="65" t="s">
        <v>301</v>
      </c>
      <c r="B29" s="23">
        <v>49570.013279999999</v>
      </c>
      <c r="C29" s="23">
        <v>54106.346689999998</v>
      </c>
      <c r="D29" s="23">
        <v>46084.661180000003</v>
      </c>
      <c r="E29" s="23">
        <f t="shared" si="1"/>
        <v>-8021.6855099999957</v>
      </c>
      <c r="F29" s="24">
        <f t="shared" si="2"/>
        <v>0.85174224465828563</v>
      </c>
      <c r="G29" s="82">
        <f t="shared" si="3"/>
        <v>-7.0311703979434554</v>
      </c>
      <c r="H29" s="23">
        <v>3308.89383</v>
      </c>
      <c r="I29" s="23">
        <v>762.04849000000002</v>
      </c>
      <c r="J29" s="23">
        <v>3424.31934</v>
      </c>
      <c r="K29" s="23">
        <v>3995.3646100000001</v>
      </c>
      <c r="L29" s="23">
        <v>3298.8195299999998</v>
      </c>
      <c r="M29" s="23">
        <v>2761.5486700000001</v>
      </c>
      <c r="N29" s="23"/>
      <c r="O29" s="23">
        <v>58105.180770000006</v>
      </c>
      <c r="P29" s="23">
        <v>54907.075870000001</v>
      </c>
      <c r="Q29" s="23">
        <v>48545.320270000004</v>
      </c>
      <c r="R29" s="82">
        <f t="shared" si="0"/>
        <v>-6.3617555999999968</v>
      </c>
      <c r="S29" s="336">
        <v>-4205.1297800000002</v>
      </c>
      <c r="T29" s="336">
        <v>-30.94455</v>
      </c>
      <c r="U29" s="336">
        <v>761.35927000000004</v>
      </c>
      <c r="V29" s="23">
        <f t="shared" si="4"/>
        <v>792.30382000000009</v>
      </c>
      <c r="W29" s="24">
        <f t="shared" si="5"/>
        <v>-24.603985839186546</v>
      </c>
      <c r="X29" s="82">
        <f t="shared" si="6"/>
        <v>-2560.3985839186544</v>
      </c>
      <c r="Y29" s="23">
        <v>7550.2265499999994</v>
      </c>
      <c r="Z29" s="23">
        <v>6495.0950000000003</v>
      </c>
      <c r="AA29" s="23">
        <v>95.538640000000001</v>
      </c>
      <c r="AB29" s="23">
        <v>98.876000000000005</v>
      </c>
      <c r="AC29" s="23">
        <v>8145.7501600000005</v>
      </c>
      <c r="AD29" s="23">
        <v>7412.6329999999998</v>
      </c>
      <c r="AE29" s="23">
        <v>190.11185</v>
      </c>
      <c r="AF29" s="23">
        <v>194.10599999999999</v>
      </c>
      <c r="AG29" s="23">
        <f t="shared" si="7"/>
        <v>69802.323399999994</v>
      </c>
      <c r="AH29" s="23">
        <f t="shared" si="8"/>
        <v>59992.389180000006</v>
      </c>
      <c r="AI29" s="23">
        <f t="shared" si="9"/>
        <v>254.70594</v>
      </c>
      <c r="AJ29" s="23">
        <f t="shared" si="10"/>
        <v>1054.3412699999999</v>
      </c>
    </row>
    <row r="30" spans="1:36" outlineLevel="1" x14ac:dyDescent="0.25">
      <c r="A30" s="65" t="s">
        <v>302</v>
      </c>
      <c r="B30" s="23">
        <v>140772.64095</v>
      </c>
      <c r="C30" s="23">
        <v>180513.6</v>
      </c>
      <c r="D30" s="23">
        <v>166750.08199000001</v>
      </c>
      <c r="E30" s="23">
        <f t="shared" si="1"/>
        <v>-13763.51801</v>
      </c>
      <c r="F30" s="24">
        <f t="shared" si="2"/>
        <v>0.92375356754283333</v>
      </c>
      <c r="G30" s="82">
        <f t="shared" si="3"/>
        <v>18.453472823051428</v>
      </c>
      <c r="H30" s="23">
        <v>4820.3210599999993</v>
      </c>
      <c r="I30" s="23">
        <v>510.22285999999997</v>
      </c>
      <c r="J30" s="23">
        <v>2468.7769199999998</v>
      </c>
      <c r="K30" s="23">
        <v>13065.58792</v>
      </c>
      <c r="L30" s="23">
        <v>3945.9084800000001</v>
      </c>
      <c r="M30" s="23">
        <v>3944.2452699999999</v>
      </c>
      <c r="N30" s="23"/>
      <c r="O30" s="23">
        <v>110457.96047000001</v>
      </c>
      <c r="P30" s="23">
        <v>121485.69162</v>
      </c>
      <c r="Q30" s="23">
        <v>119005.32498999999</v>
      </c>
      <c r="R30" s="82">
        <f t="shared" si="0"/>
        <v>-2.4803666300000042</v>
      </c>
      <c r="S30" s="336">
        <v>27922.690870000002</v>
      </c>
      <c r="T30" s="336">
        <v>47688.504959999998</v>
      </c>
      <c r="U30" s="336">
        <v>40255.128429999997</v>
      </c>
      <c r="V30" s="23">
        <f t="shared" si="4"/>
        <v>-7433.3765300000014</v>
      </c>
      <c r="W30" s="24">
        <f t="shared" si="5"/>
        <v>0.84412645067747571</v>
      </c>
      <c r="X30" s="82">
        <f t="shared" si="6"/>
        <v>-15.587354932252424</v>
      </c>
      <c r="Y30" s="23">
        <v>25133.599999999999</v>
      </c>
      <c r="Z30" s="23">
        <v>21720.630969999998</v>
      </c>
      <c r="AA30" s="23">
        <v>6539.2066799999993</v>
      </c>
      <c r="AB30" s="23">
        <v>4955.1445899999999</v>
      </c>
      <c r="AC30" s="23">
        <v>26686.5</v>
      </c>
      <c r="AD30" s="23">
        <v>24030</v>
      </c>
      <c r="AE30" s="23">
        <v>7664.0695599999999</v>
      </c>
      <c r="AF30" s="23">
        <v>5767.6001100000003</v>
      </c>
      <c r="AG30" s="23">
        <f t="shared" si="7"/>
        <v>232333.7</v>
      </c>
      <c r="AH30" s="23">
        <f t="shared" si="8"/>
        <v>212500.71296</v>
      </c>
      <c r="AI30" s="23">
        <f t="shared" si="9"/>
        <v>61891.781199999998</v>
      </c>
      <c r="AJ30" s="23">
        <f t="shared" si="10"/>
        <v>50977.873129999993</v>
      </c>
    </row>
    <row r="31" spans="1:36" outlineLevel="1" x14ac:dyDescent="0.25">
      <c r="A31" s="65" t="s">
        <v>303</v>
      </c>
      <c r="B31" s="23">
        <v>28611.652570000002</v>
      </c>
      <c r="C31" s="23">
        <v>31290.364949999999</v>
      </c>
      <c r="D31" s="23">
        <v>27398.222829999999</v>
      </c>
      <c r="E31" s="23">
        <f t="shared" si="1"/>
        <v>-3892.1421200000004</v>
      </c>
      <c r="F31" s="24">
        <f t="shared" si="2"/>
        <v>0.87561212129614352</v>
      </c>
      <c r="G31" s="82">
        <f t="shared" si="3"/>
        <v>-4.2410333937589968</v>
      </c>
      <c r="H31" s="23">
        <v>1023.1725600000001</v>
      </c>
      <c r="I31" s="23">
        <v>574.15483999999992</v>
      </c>
      <c r="J31" s="23">
        <v>1117.76694</v>
      </c>
      <c r="K31" s="23">
        <v>1011.18899</v>
      </c>
      <c r="L31" s="23">
        <v>912.0173299999999</v>
      </c>
      <c r="M31" s="23">
        <v>1065.9486200000001</v>
      </c>
      <c r="N31" s="23"/>
      <c r="O31" s="23">
        <v>28159.987699999998</v>
      </c>
      <c r="P31" s="23">
        <v>30498.079739999997</v>
      </c>
      <c r="Q31" s="23">
        <v>27679.138579999999</v>
      </c>
      <c r="R31" s="82">
        <f t="shared" si="0"/>
        <v>-2.8189411599999983</v>
      </c>
      <c r="S31" s="336">
        <v>1239.1827599999999</v>
      </c>
      <c r="T31" s="336">
        <v>1093.1520800000001</v>
      </c>
      <c r="U31" s="336">
        <v>756.75482999999997</v>
      </c>
      <c r="V31" s="23">
        <f t="shared" si="4"/>
        <v>-336.3972500000001</v>
      </c>
      <c r="W31" s="24">
        <f t="shared" si="5"/>
        <v>0.69226857254847829</v>
      </c>
      <c r="X31" s="82">
        <f t="shared" si="6"/>
        <v>-30.773142745152171</v>
      </c>
      <c r="Y31" s="23">
        <v>3856.80683</v>
      </c>
      <c r="Z31" s="23">
        <v>3800</v>
      </c>
      <c r="AA31" s="23">
        <v>46.596959999999996</v>
      </c>
      <c r="AB31" s="23">
        <v>28.91187</v>
      </c>
      <c r="AC31" s="23">
        <v>4721.6714900000006</v>
      </c>
      <c r="AD31" s="23">
        <v>3700</v>
      </c>
      <c r="AE31" s="23">
        <v>371.01128000000006</v>
      </c>
      <c r="AF31" s="23">
        <v>23.151490000000003</v>
      </c>
      <c r="AG31" s="23">
        <f t="shared" si="7"/>
        <v>39868.843269999998</v>
      </c>
      <c r="AH31" s="23">
        <f t="shared" si="8"/>
        <v>34898.222829999999</v>
      </c>
      <c r="AI31" s="23">
        <f t="shared" si="9"/>
        <v>1510.7603200000003</v>
      </c>
      <c r="AJ31" s="23">
        <f t="shared" si="10"/>
        <v>808.81818999999996</v>
      </c>
    </row>
    <row r="32" spans="1:36" outlineLevel="1" x14ac:dyDescent="0.25">
      <c r="A32" s="65" t="s">
        <v>304</v>
      </c>
      <c r="B32" s="23">
        <v>22232.625379999998</v>
      </c>
      <c r="C32" s="23">
        <v>23775</v>
      </c>
      <c r="D32" s="23">
        <v>24953.726019999998</v>
      </c>
      <c r="E32" s="23">
        <f t="shared" si="1"/>
        <v>1178.7260199999982</v>
      </c>
      <c r="F32" s="24">
        <f t="shared" si="2"/>
        <v>1.049578381493165</v>
      </c>
      <c r="G32" s="82">
        <f t="shared" si="3"/>
        <v>12.239223184356106</v>
      </c>
      <c r="H32" s="23">
        <v>66.376469999999998</v>
      </c>
      <c r="I32" s="23">
        <v>46.606559999999995</v>
      </c>
      <c r="J32" s="23">
        <v>-86.468399999999988</v>
      </c>
      <c r="K32" s="23">
        <v>1742.5209199999999</v>
      </c>
      <c r="L32" s="23">
        <v>1343.86662</v>
      </c>
      <c r="M32" s="23">
        <v>1343.8665600000002</v>
      </c>
      <c r="N32" s="23"/>
      <c r="O32" s="23">
        <v>20019.07401</v>
      </c>
      <c r="P32" s="23">
        <v>21578.25144</v>
      </c>
      <c r="Q32" s="23">
        <v>21190.194359999998</v>
      </c>
      <c r="R32" s="82">
        <f t="shared" si="0"/>
        <v>-0.38805708000000233</v>
      </c>
      <c r="S32" s="336">
        <v>1823.3338600000002</v>
      </c>
      <c r="T32" s="336">
        <v>1794.6840900000002</v>
      </c>
      <c r="U32" s="336">
        <v>2928.83232</v>
      </c>
      <c r="V32" s="23">
        <f t="shared" si="4"/>
        <v>1134.1482299999998</v>
      </c>
      <c r="W32" s="24">
        <f t="shared" si="5"/>
        <v>1.6319486734849249</v>
      </c>
      <c r="X32" s="82">
        <f t="shared" si="6"/>
        <v>63.194867348492494</v>
      </c>
      <c r="Y32" s="23">
        <v>3245</v>
      </c>
      <c r="Z32" s="23">
        <v>3249.3389999999999</v>
      </c>
      <c r="AA32" s="23">
        <v>153.23657</v>
      </c>
      <c r="AB32" s="23">
        <v>154.21863000000002</v>
      </c>
      <c r="AC32" s="23">
        <v>3605</v>
      </c>
      <c r="AD32" s="23">
        <v>3605</v>
      </c>
      <c r="AE32" s="23">
        <v>414.67426</v>
      </c>
      <c r="AF32" s="23">
        <v>366.67426</v>
      </c>
      <c r="AG32" s="23">
        <f t="shared" si="7"/>
        <v>30625</v>
      </c>
      <c r="AH32" s="23">
        <f t="shared" si="8"/>
        <v>31808.065019999998</v>
      </c>
      <c r="AI32" s="23">
        <f t="shared" si="9"/>
        <v>2362.5949200000005</v>
      </c>
      <c r="AJ32" s="23">
        <f t="shared" si="10"/>
        <v>3449.7252099999996</v>
      </c>
    </row>
    <row r="33" spans="1:36" ht="15.75" outlineLevel="1" thickBot="1" x14ac:dyDescent="0.3">
      <c r="A33" s="66" t="s">
        <v>305</v>
      </c>
      <c r="B33" s="72">
        <v>32144.435590000001</v>
      </c>
      <c r="C33" s="72">
        <v>35811.567439999999</v>
      </c>
      <c r="D33" s="72">
        <v>34153.039640000003</v>
      </c>
      <c r="E33" s="72">
        <f t="shared" si="1"/>
        <v>-1658.5277999999962</v>
      </c>
      <c r="F33" s="73">
        <f t="shared" si="2"/>
        <v>0.95368737202640586</v>
      </c>
      <c r="G33" s="92">
        <f t="shared" si="3"/>
        <v>6.2486835221485961</v>
      </c>
      <c r="H33" s="72">
        <v>435.62887999999998</v>
      </c>
      <c r="I33" s="72">
        <v>276.51371999999998</v>
      </c>
      <c r="J33" s="72">
        <v>166.33120000000002</v>
      </c>
      <c r="K33" s="72">
        <v>840.57193000000007</v>
      </c>
      <c r="L33" s="72">
        <v>460.46609000000001</v>
      </c>
      <c r="M33" s="72">
        <v>465.70821000000001</v>
      </c>
      <c r="N33" s="72"/>
      <c r="O33" s="72">
        <v>29519.822319999999</v>
      </c>
      <c r="P33" s="72">
        <v>33674.974780000004</v>
      </c>
      <c r="Q33" s="72">
        <v>31828.196840000001</v>
      </c>
      <c r="R33" s="92">
        <f t="shared" si="0"/>
        <v>-1.8467779400000035</v>
      </c>
      <c r="S33" s="333">
        <v>2525.3417300000001</v>
      </c>
      <c r="T33" s="333">
        <v>1930.4851100000001</v>
      </c>
      <c r="U33" s="333">
        <v>1986.5749799999999</v>
      </c>
      <c r="V33" s="72">
        <f t="shared" si="4"/>
        <v>56.089869999999792</v>
      </c>
      <c r="W33" s="73">
        <f t="shared" si="5"/>
        <v>1.0290548058151041</v>
      </c>
      <c r="X33" s="92">
        <f t="shared" si="6"/>
        <v>2.9054805815104174</v>
      </c>
      <c r="Y33" s="72">
        <v>4725.8817499999996</v>
      </c>
      <c r="Z33" s="72">
        <v>4521.9598599999999</v>
      </c>
      <c r="AA33" s="72">
        <v>94.496539999999996</v>
      </c>
      <c r="AB33" s="72">
        <v>94.924309999999991</v>
      </c>
      <c r="AC33" s="72">
        <v>5363.9052799999999</v>
      </c>
      <c r="AD33" s="72">
        <v>5383.4072400000005</v>
      </c>
      <c r="AE33" s="72">
        <v>326.09537</v>
      </c>
      <c r="AF33" s="72">
        <v>326.09537</v>
      </c>
      <c r="AG33" s="72">
        <f t="shared" si="7"/>
        <v>45901.354469999998</v>
      </c>
      <c r="AH33" s="72">
        <f t="shared" si="8"/>
        <v>44058.406740000006</v>
      </c>
      <c r="AI33" s="72">
        <f t="shared" si="9"/>
        <v>2351.0770200000002</v>
      </c>
      <c r="AJ33" s="72">
        <f t="shared" si="10"/>
        <v>2407.5946599999997</v>
      </c>
    </row>
    <row r="34" spans="1:36" ht="15.75" thickBot="1" x14ac:dyDescent="0.3">
      <c r="A34" s="61" t="s">
        <v>306</v>
      </c>
      <c r="B34" s="74">
        <v>434007.12507000001</v>
      </c>
      <c r="C34" s="74">
        <v>469585.80241</v>
      </c>
      <c r="D34" s="74">
        <v>454012.51432999998</v>
      </c>
      <c r="E34" s="75">
        <f t="shared" si="1"/>
        <v>-15573.288080000028</v>
      </c>
      <c r="F34" s="76">
        <f t="shared" si="2"/>
        <v>0.96683611812777326</v>
      </c>
      <c r="G34" s="77">
        <f t="shared" si="3"/>
        <v>4.6094610213538232</v>
      </c>
      <c r="H34" s="74">
        <v>14582.856330000001</v>
      </c>
      <c r="I34" s="74">
        <v>22129.875250000001</v>
      </c>
      <c r="J34" s="74">
        <v>31524.4732</v>
      </c>
      <c r="K34" s="74">
        <v>18772.752359999999</v>
      </c>
      <c r="L34" s="74">
        <v>22543.623219999998</v>
      </c>
      <c r="M34" s="74">
        <v>20792.043819999999</v>
      </c>
      <c r="N34" s="74"/>
      <c r="O34" s="74">
        <v>420934.99612999998</v>
      </c>
      <c r="P34" s="74">
        <v>461819.93680000002</v>
      </c>
      <c r="Q34" s="74">
        <v>453399.39257999999</v>
      </c>
      <c r="R34" s="100">
        <f t="shared" si="0"/>
        <v>-8.4205442200000391</v>
      </c>
      <c r="S34" s="334">
        <v>21659.861649999999</v>
      </c>
      <c r="T34" s="334">
        <v>25654.24307</v>
      </c>
      <c r="U34" s="334">
        <v>27332.272199999999</v>
      </c>
      <c r="V34" s="75">
        <f t="shared" si="4"/>
        <v>1678.029129999999</v>
      </c>
      <c r="W34" s="76">
        <f t="shared" si="5"/>
        <v>1.0654094188404366</v>
      </c>
      <c r="X34" s="77">
        <f t="shared" si="6"/>
        <v>6.5409418840436615</v>
      </c>
      <c r="Y34" s="74">
        <v>61198.902119999999</v>
      </c>
      <c r="Z34" s="74">
        <v>57646.620320000002</v>
      </c>
      <c r="AA34" s="74">
        <v>-627.67429000000004</v>
      </c>
      <c r="AB34" s="74">
        <v>-917.59226999999998</v>
      </c>
      <c r="AC34" s="74">
        <v>74476.287819999998</v>
      </c>
      <c r="AD34" s="74">
        <v>71104.080050000004</v>
      </c>
      <c r="AE34" s="74">
        <v>7579.5381500000003</v>
      </c>
      <c r="AF34" s="74">
        <v>6951.3285700000006</v>
      </c>
      <c r="AG34" s="74">
        <f t="shared" si="7"/>
        <v>605260.99234999996</v>
      </c>
      <c r="AH34" s="74">
        <f t="shared" si="8"/>
        <v>582763.21470000001</v>
      </c>
      <c r="AI34" s="74">
        <f t="shared" si="9"/>
        <v>32606.106930000002</v>
      </c>
      <c r="AJ34" s="74">
        <f t="shared" si="10"/>
        <v>33366.008499999996</v>
      </c>
    </row>
    <row r="35" spans="1:36" outlineLevel="1" x14ac:dyDescent="0.25">
      <c r="A35" s="64" t="s">
        <v>307</v>
      </c>
      <c r="B35" s="59">
        <v>78342.075689999998</v>
      </c>
      <c r="C35" s="59">
        <v>87435.752999999997</v>
      </c>
      <c r="D35" s="59">
        <v>76151.100279999999</v>
      </c>
      <c r="E35" s="59">
        <f t="shared" si="1"/>
        <v>-11284.652719999998</v>
      </c>
      <c r="F35" s="58">
        <f t="shared" si="2"/>
        <v>0.87093777622067259</v>
      </c>
      <c r="G35" s="90">
        <f t="shared" si="3"/>
        <v>-2.7966777631341984</v>
      </c>
      <c r="H35" s="59">
        <v>2829.6842900000001</v>
      </c>
      <c r="I35" s="59">
        <v>3708.5867000000003</v>
      </c>
      <c r="J35" s="59">
        <v>3145.7294900000002</v>
      </c>
      <c r="K35" s="59">
        <v>7883.1127900000001</v>
      </c>
      <c r="L35" s="59">
        <v>11268.358850000001</v>
      </c>
      <c r="M35" s="59">
        <v>8675.6795199999997</v>
      </c>
      <c r="N35" s="59"/>
      <c r="O35" s="59">
        <v>89048.102010000002</v>
      </c>
      <c r="P35" s="59">
        <v>97470.709849999999</v>
      </c>
      <c r="Q35" s="59">
        <v>94442.079599999997</v>
      </c>
      <c r="R35" s="90">
        <f t="shared" si="0"/>
        <v>-3.0286302500000022</v>
      </c>
      <c r="S35" s="335">
        <v>-6307.6640599999992</v>
      </c>
      <c r="T35" s="335">
        <v>-5061.0961299999999</v>
      </c>
      <c r="U35" s="335">
        <v>-12086.139789999999</v>
      </c>
      <c r="V35" s="59">
        <f t="shared" si="4"/>
        <v>-7025.0436599999994</v>
      </c>
      <c r="W35" s="58">
        <f t="shared" si="5"/>
        <v>2.3880478614817378</v>
      </c>
      <c r="X35" s="90">
        <f>(U35/T35*100-100)*-1</f>
        <v>-138.80478614817378</v>
      </c>
      <c r="Y35" s="59">
        <v>12229.978999999999</v>
      </c>
      <c r="Z35" s="59">
        <v>9578.6</v>
      </c>
      <c r="AA35" s="59">
        <v>-822.89502000000005</v>
      </c>
      <c r="AB35" s="59">
        <v>-1916.43534</v>
      </c>
      <c r="AC35" s="59">
        <v>13710.141</v>
      </c>
      <c r="AD35" s="59">
        <v>11859.8</v>
      </c>
      <c r="AE35" s="59">
        <v>-42.826709999999999</v>
      </c>
      <c r="AF35" s="59">
        <v>-522.01080000000002</v>
      </c>
      <c r="AG35" s="59">
        <f t="shared" si="7"/>
        <v>113375.87299999999</v>
      </c>
      <c r="AH35" s="59">
        <f t="shared" si="8"/>
        <v>97589.500280000007</v>
      </c>
      <c r="AI35" s="59">
        <f t="shared" si="9"/>
        <v>-5926.8178600000001</v>
      </c>
      <c r="AJ35" s="59">
        <f t="shared" si="10"/>
        <v>-14524.585929999999</v>
      </c>
    </row>
    <row r="36" spans="1:36" outlineLevel="1" x14ac:dyDescent="0.25">
      <c r="A36" s="65" t="s">
        <v>308</v>
      </c>
      <c r="B36" s="23">
        <v>15647.304689999999</v>
      </c>
      <c r="C36" s="23">
        <v>16335.038</v>
      </c>
      <c r="D36" s="23">
        <v>14429.90099</v>
      </c>
      <c r="E36" s="23">
        <f t="shared" si="1"/>
        <v>-1905.1370100000004</v>
      </c>
      <c r="F36" s="24">
        <f t="shared" si="2"/>
        <v>0.88337113081708163</v>
      </c>
      <c r="G36" s="82">
        <f t="shared" si="3"/>
        <v>-7.7802773328624824</v>
      </c>
      <c r="H36" s="23">
        <v>2510.3237999999997</v>
      </c>
      <c r="I36" s="23">
        <v>5113.5443800000003</v>
      </c>
      <c r="J36" s="23">
        <v>9716.2393900000006</v>
      </c>
      <c r="K36" s="23">
        <v>197.80184</v>
      </c>
      <c r="L36" s="23">
        <v>0.28679000000000004</v>
      </c>
      <c r="M36" s="23">
        <v>112.17489999999999</v>
      </c>
      <c r="N36" s="23"/>
      <c r="O36" s="23">
        <v>19019.224730000002</v>
      </c>
      <c r="P36" s="23">
        <v>21742.983920000002</v>
      </c>
      <c r="Q36" s="23">
        <v>22175.45506</v>
      </c>
      <c r="R36" s="82">
        <f t="shared" si="0"/>
        <v>0.43247113999999781</v>
      </c>
      <c r="S36" s="336">
        <v>-688.5394</v>
      </c>
      <c r="T36" s="336">
        <v>-235.52123999999998</v>
      </c>
      <c r="U36" s="336">
        <v>1569.6433200000001</v>
      </c>
      <c r="V36" s="23">
        <f t="shared" si="4"/>
        <v>1805.1645600000002</v>
      </c>
      <c r="W36" s="24">
        <f t="shared" si="5"/>
        <v>-6.664551018838047</v>
      </c>
      <c r="X36" s="90">
        <f>(U36/T36*100-100)*-1</f>
        <v>766.45510188380467</v>
      </c>
      <c r="Y36" s="23">
        <v>1879</v>
      </c>
      <c r="Z36" s="23">
        <v>1521</v>
      </c>
      <c r="AA36" s="23">
        <v>-399.60590999999999</v>
      </c>
      <c r="AB36" s="23">
        <v>-479.58565999999996</v>
      </c>
      <c r="AC36" s="23">
        <v>2708</v>
      </c>
      <c r="AD36" s="23">
        <v>1900</v>
      </c>
      <c r="AE36" s="23">
        <v>247.01701</v>
      </c>
      <c r="AF36" s="23">
        <v>47.514679999999998</v>
      </c>
      <c r="AG36" s="23">
        <f t="shared" si="7"/>
        <v>20922.038</v>
      </c>
      <c r="AH36" s="23">
        <f t="shared" si="8"/>
        <v>17850.900990000002</v>
      </c>
      <c r="AI36" s="23">
        <f t="shared" si="9"/>
        <v>-388.11014</v>
      </c>
      <c r="AJ36" s="23">
        <f t="shared" si="10"/>
        <v>1137.5723400000002</v>
      </c>
    </row>
    <row r="37" spans="1:36" outlineLevel="1" x14ac:dyDescent="0.25">
      <c r="A37" s="65" t="s">
        <v>309</v>
      </c>
      <c r="B37" s="23">
        <v>39822.616009999998</v>
      </c>
      <c r="C37" s="23">
        <v>47300.669689999995</v>
      </c>
      <c r="D37" s="23">
        <v>48722.603739999999</v>
      </c>
      <c r="E37" s="23">
        <f t="shared" si="1"/>
        <v>1421.9340500000035</v>
      </c>
      <c r="F37" s="24">
        <f t="shared" si="2"/>
        <v>1.030061605032637</v>
      </c>
      <c r="G37" s="82">
        <f t="shared" si="3"/>
        <v>22.349078543120044</v>
      </c>
      <c r="H37" s="23">
        <v>4050.84494</v>
      </c>
      <c r="I37" s="23">
        <v>3706.19641</v>
      </c>
      <c r="J37" s="23">
        <v>11941.186159999999</v>
      </c>
      <c r="K37" s="23">
        <v>23.217119999999998</v>
      </c>
      <c r="L37" s="23">
        <v>414.83332999999999</v>
      </c>
      <c r="M37" s="23">
        <v>494.72924999999998</v>
      </c>
      <c r="N37" s="23"/>
      <c r="O37" s="23">
        <v>46560.720860000001</v>
      </c>
      <c r="P37" s="23">
        <v>51648.031649999997</v>
      </c>
      <c r="Q37" s="23">
        <v>54752.779990000003</v>
      </c>
      <c r="R37" s="82">
        <f t="shared" si="0"/>
        <v>3.1047483400000058</v>
      </c>
      <c r="S37" s="336">
        <v>-2053.279</v>
      </c>
      <c r="T37" s="336">
        <v>-512.93244000000004</v>
      </c>
      <c r="U37" s="336">
        <v>4666.6958199999999</v>
      </c>
      <c r="V37" s="23">
        <f t="shared" si="4"/>
        <v>5179.6282599999995</v>
      </c>
      <c r="W37" s="24">
        <f t="shared" si="5"/>
        <v>-9.0980711221930122</v>
      </c>
      <c r="X37" s="90">
        <f>(U37/T37*100-100)*-1</f>
        <v>1009.8071122193012</v>
      </c>
      <c r="Y37" s="23">
        <v>6089.7198899999994</v>
      </c>
      <c r="Z37" s="23">
        <v>6964.4264699999994</v>
      </c>
      <c r="AA37" s="23">
        <v>-295.11489</v>
      </c>
      <c r="AB37" s="23">
        <v>509.68272999999999</v>
      </c>
      <c r="AC37" s="23">
        <v>7561.1613499999994</v>
      </c>
      <c r="AD37" s="23">
        <v>7284.27405</v>
      </c>
      <c r="AE37" s="23">
        <v>264.77945</v>
      </c>
      <c r="AF37" s="23">
        <v>581.23644999999999</v>
      </c>
      <c r="AG37" s="23">
        <f t="shared" si="7"/>
        <v>60951.550929999998</v>
      </c>
      <c r="AH37" s="23">
        <f t="shared" si="8"/>
        <v>62971.304259999997</v>
      </c>
      <c r="AI37" s="23">
        <f t="shared" si="9"/>
        <v>-543.2678800000001</v>
      </c>
      <c r="AJ37" s="23">
        <f t="shared" si="10"/>
        <v>5757.6149999999998</v>
      </c>
    </row>
    <row r="38" spans="1:36" ht="30" outlineLevel="1" x14ac:dyDescent="0.25">
      <c r="A38" s="65" t="s">
        <v>310</v>
      </c>
      <c r="B38" s="23">
        <v>35131.58208</v>
      </c>
      <c r="C38" s="23">
        <v>37089.740409999999</v>
      </c>
      <c r="D38" s="23">
        <v>37569.54477</v>
      </c>
      <c r="E38" s="23">
        <f t="shared" si="1"/>
        <v>479.80436000000191</v>
      </c>
      <c r="F38" s="24">
        <f t="shared" si="2"/>
        <v>1.0129363094671495</v>
      </c>
      <c r="G38" s="82">
        <f t="shared" si="3"/>
        <v>6.9395186486289901</v>
      </c>
      <c r="H38" s="23">
        <v>5477.7838300000003</v>
      </c>
      <c r="I38" s="23">
        <v>3247.4189999999999</v>
      </c>
      <c r="J38" s="23">
        <v>5120.5646200000001</v>
      </c>
      <c r="K38" s="23">
        <v>2607.6570000000002</v>
      </c>
      <c r="L38" s="23">
        <v>2471.67814</v>
      </c>
      <c r="M38" s="23">
        <v>2783.9133299999999</v>
      </c>
      <c r="N38" s="23"/>
      <c r="O38" s="23">
        <v>36300.280189999998</v>
      </c>
      <c r="P38" s="23">
        <v>38810.32879</v>
      </c>
      <c r="Q38" s="23">
        <v>40530.351190000001</v>
      </c>
      <c r="R38" s="82">
        <f t="shared" ref="R38:R71" si="11">(Q38-P38)/1000</f>
        <v>1.7200224000000017</v>
      </c>
      <c r="S38" s="336">
        <v>3212.68163</v>
      </c>
      <c r="T38" s="336">
        <v>1221.46452</v>
      </c>
      <c r="U38" s="336">
        <v>1671.4913200000001</v>
      </c>
      <c r="V38" s="23">
        <f t="shared" si="4"/>
        <v>450.02680000000009</v>
      </c>
      <c r="W38" s="24">
        <f t="shared" si="5"/>
        <v>1.3684321506121193</v>
      </c>
      <c r="X38" s="82">
        <f t="shared" si="6"/>
        <v>36.843215061211936</v>
      </c>
      <c r="Y38" s="23">
        <v>4584.0232300000007</v>
      </c>
      <c r="Z38" s="23">
        <v>4466</v>
      </c>
      <c r="AA38" s="23">
        <v>-273.06976000000003</v>
      </c>
      <c r="AB38" s="23">
        <v>-269.74</v>
      </c>
      <c r="AC38" s="23">
        <v>5603.0308600000008</v>
      </c>
      <c r="AD38" s="23">
        <v>5605</v>
      </c>
      <c r="AE38" s="23">
        <v>216.61376000000001</v>
      </c>
      <c r="AF38" s="23">
        <v>220.71360000000001</v>
      </c>
      <c r="AG38" s="23">
        <f t="shared" si="7"/>
        <v>47276.794499999996</v>
      </c>
      <c r="AH38" s="23">
        <f t="shared" si="8"/>
        <v>47640.54477</v>
      </c>
      <c r="AI38" s="23">
        <f t="shared" si="9"/>
        <v>1165.0085199999999</v>
      </c>
      <c r="AJ38" s="23">
        <f t="shared" si="10"/>
        <v>1622.4649200000001</v>
      </c>
    </row>
    <row r="39" spans="1:36" ht="30" outlineLevel="1" x14ac:dyDescent="0.25">
      <c r="A39" s="65" t="s">
        <v>838</v>
      </c>
      <c r="B39" s="23">
        <v>0</v>
      </c>
      <c r="C39" s="23">
        <v>0</v>
      </c>
      <c r="D39" s="23">
        <v>0</v>
      </c>
      <c r="E39" s="23">
        <f t="shared" si="1"/>
        <v>0</v>
      </c>
      <c r="F39" s="24">
        <f t="shared" si="2"/>
        <v>0</v>
      </c>
      <c r="G39" s="82" t="e">
        <f t="shared" si="3"/>
        <v>#DIV/0!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/>
      <c r="O39" s="23">
        <v>0</v>
      </c>
      <c r="P39" s="23">
        <v>995.58839999999998</v>
      </c>
      <c r="Q39" s="23">
        <v>837.00066000000004</v>
      </c>
      <c r="R39" s="82"/>
      <c r="S39" s="336">
        <v>0</v>
      </c>
      <c r="T39" s="336">
        <v>0</v>
      </c>
      <c r="U39" s="336">
        <v>-669.60053000000005</v>
      </c>
      <c r="V39" s="23"/>
      <c r="W39" s="24"/>
      <c r="X39" s="82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outlineLevel="1" x14ac:dyDescent="0.25">
      <c r="A40" s="65" t="s">
        <v>311</v>
      </c>
      <c r="B40" s="23">
        <v>108849.94772</v>
      </c>
      <c r="C40" s="23">
        <v>120015.88137999999</v>
      </c>
      <c r="D40" s="23">
        <v>107219.0935</v>
      </c>
      <c r="E40" s="23">
        <f t="shared" si="1"/>
        <v>-12796.787879999989</v>
      </c>
      <c r="F40" s="24">
        <f t="shared" si="2"/>
        <v>0.89337421237209269</v>
      </c>
      <c r="G40" s="82">
        <f t="shared" si="3"/>
        <v>-1.4982590751399556</v>
      </c>
      <c r="H40" s="23">
        <v>4561.86672</v>
      </c>
      <c r="I40" s="23">
        <v>4921.79954</v>
      </c>
      <c r="J40" s="23">
        <v>3410.1519500000004</v>
      </c>
      <c r="K40" s="23">
        <v>1937.19973</v>
      </c>
      <c r="L40" s="23">
        <v>2503.4087599999998</v>
      </c>
      <c r="M40" s="23">
        <v>2615.9167699999998</v>
      </c>
      <c r="N40" s="23"/>
      <c r="O40" s="23">
        <v>98704.781560000003</v>
      </c>
      <c r="P40" s="23">
        <v>106205.48639000001</v>
      </c>
      <c r="Q40" s="23">
        <v>95055.29445999999</v>
      </c>
      <c r="R40" s="82">
        <f t="shared" si="11"/>
        <v>-11.150191930000016</v>
      </c>
      <c r="S40" s="336">
        <v>11196.58065</v>
      </c>
      <c r="T40" s="336">
        <v>14985.755570000001</v>
      </c>
      <c r="U40" s="336">
        <v>12391.67971</v>
      </c>
      <c r="V40" s="23">
        <f t="shared" si="4"/>
        <v>-2594.0758600000008</v>
      </c>
      <c r="W40" s="24">
        <f t="shared" si="5"/>
        <v>0.82689722597684134</v>
      </c>
      <c r="X40" s="82">
        <f t="shared" si="6"/>
        <v>-17.310277402315862</v>
      </c>
      <c r="Y40" s="23">
        <v>16523.92569</v>
      </c>
      <c r="Z40" s="23">
        <v>14124.07128</v>
      </c>
      <c r="AA40" s="23">
        <v>2059.5428500000003</v>
      </c>
      <c r="AB40" s="23">
        <v>1069.8523500000001</v>
      </c>
      <c r="AC40" s="23">
        <v>18263.2863</v>
      </c>
      <c r="AD40" s="23">
        <v>17688.548999999999</v>
      </c>
      <c r="AE40" s="23">
        <v>2456.7277999999997</v>
      </c>
      <c r="AF40" s="23">
        <v>2456.7272000000003</v>
      </c>
      <c r="AG40" s="23">
        <f t="shared" si="7"/>
        <v>154803.09336999999</v>
      </c>
      <c r="AH40" s="23">
        <f t="shared" si="8"/>
        <v>139031.71377999999</v>
      </c>
      <c r="AI40" s="23">
        <f t="shared" si="9"/>
        <v>19502.026220000003</v>
      </c>
      <c r="AJ40" s="23">
        <f t="shared" si="10"/>
        <v>15918.259260000003</v>
      </c>
    </row>
    <row r="41" spans="1:36" outlineLevel="1" x14ac:dyDescent="0.25">
      <c r="A41" s="65" t="s">
        <v>312</v>
      </c>
      <c r="B41" s="23">
        <v>62507.494270000003</v>
      </c>
      <c r="C41" s="23">
        <v>57442.271000000001</v>
      </c>
      <c r="D41" s="23">
        <v>65776.170969999992</v>
      </c>
      <c r="E41" s="23">
        <f t="shared" si="1"/>
        <v>8333.8999699999913</v>
      </c>
      <c r="F41" s="24">
        <f t="shared" si="2"/>
        <v>1.1450830516432748</v>
      </c>
      <c r="G41" s="82">
        <f t="shared" si="3"/>
        <v>5.229255688735492</v>
      </c>
      <c r="H41" s="23">
        <v>-6160.3877699999994</v>
      </c>
      <c r="I41" s="23">
        <v>125.08642999999999</v>
      </c>
      <c r="J41" s="23">
        <v>-546.41353000000004</v>
      </c>
      <c r="K41" s="23">
        <v>3964.7726699999998</v>
      </c>
      <c r="L41" s="23">
        <v>3675.9884300000003</v>
      </c>
      <c r="M41" s="23">
        <v>3686.6115399999999</v>
      </c>
      <c r="N41" s="23"/>
      <c r="O41" s="23">
        <v>44702.990270000002</v>
      </c>
      <c r="P41" s="23">
        <v>49286.705040000001</v>
      </c>
      <c r="Q41" s="23">
        <v>48275.604090000001</v>
      </c>
      <c r="R41" s="82">
        <f t="shared" si="11"/>
        <v>-1.0111009500000001</v>
      </c>
      <c r="S41" s="336">
        <v>9346.1471300000012</v>
      </c>
      <c r="T41" s="336">
        <v>6624.5219200000001</v>
      </c>
      <c r="U41" s="336">
        <v>13465.91531</v>
      </c>
      <c r="V41" s="23">
        <f t="shared" si="4"/>
        <v>6841.3933900000002</v>
      </c>
      <c r="W41" s="24">
        <f t="shared" si="5"/>
        <v>2.0327376786761393</v>
      </c>
      <c r="X41" s="82">
        <f t="shared" si="6"/>
        <v>103.27376786761394</v>
      </c>
      <c r="Y41" s="23">
        <v>6740</v>
      </c>
      <c r="Z41" s="23">
        <v>8400.1635700000006</v>
      </c>
      <c r="AA41" s="23">
        <v>-705.31475</v>
      </c>
      <c r="AB41" s="23">
        <v>948.28955000000008</v>
      </c>
      <c r="AC41" s="23">
        <v>9105</v>
      </c>
      <c r="AD41" s="23">
        <v>9105</v>
      </c>
      <c r="AE41" s="23">
        <v>1716.54539</v>
      </c>
      <c r="AF41" s="23">
        <v>1485.4674499999999</v>
      </c>
      <c r="AG41" s="23">
        <f t="shared" si="7"/>
        <v>73287.271000000008</v>
      </c>
      <c r="AH41" s="23">
        <f t="shared" si="8"/>
        <v>83281.334539999996</v>
      </c>
      <c r="AI41" s="23">
        <f t="shared" si="9"/>
        <v>7635.7525599999999</v>
      </c>
      <c r="AJ41" s="23">
        <f t="shared" si="10"/>
        <v>15899.67231</v>
      </c>
    </row>
    <row r="42" spans="1:36" ht="30" outlineLevel="1" x14ac:dyDescent="0.25">
      <c r="A42" s="65" t="s">
        <v>313</v>
      </c>
      <c r="B42" s="23">
        <v>20735.671280000002</v>
      </c>
      <c r="C42" s="23">
        <v>27985.54393</v>
      </c>
      <c r="D42" s="23">
        <v>26721.683379999999</v>
      </c>
      <c r="E42" s="23">
        <f t="shared" si="1"/>
        <v>-1263.8605500000012</v>
      </c>
      <c r="F42" s="24">
        <f t="shared" si="2"/>
        <v>0.95483880702260837</v>
      </c>
      <c r="G42" s="82">
        <f t="shared" si="3"/>
        <v>28.868185742188302</v>
      </c>
      <c r="H42" s="23">
        <v>534.04503</v>
      </c>
      <c r="I42" s="23">
        <v>587.46309999999994</v>
      </c>
      <c r="J42" s="23">
        <v>878.54260999999997</v>
      </c>
      <c r="K42" s="23">
        <v>457.49796000000003</v>
      </c>
      <c r="L42" s="23">
        <v>476.77903999999995</v>
      </c>
      <c r="M42" s="23">
        <v>476.77901000000003</v>
      </c>
      <c r="N42" s="23"/>
      <c r="O42" s="23">
        <v>21061.74985</v>
      </c>
      <c r="P42" s="23">
        <v>25934.067569999999</v>
      </c>
      <c r="Q42" s="23">
        <v>28797.693789999998</v>
      </c>
      <c r="R42" s="82">
        <f t="shared" si="11"/>
        <v>2.8636262199999982</v>
      </c>
      <c r="S42" s="336">
        <v>587.37643000000003</v>
      </c>
      <c r="T42" s="336">
        <v>2111.1515499999996</v>
      </c>
      <c r="U42" s="336">
        <v>896.95846999999992</v>
      </c>
      <c r="V42" s="23">
        <f t="shared" si="4"/>
        <v>-1214.1930799999996</v>
      </c>
      <c r="W42" s="24">
        <f t="shared" si="5"/>
        <v>0.42486692629906181</v>
      </c>
      <c r="X42" s="82">
        <f t="shared" si="6"/>
        <v>-57.51330737009382</v>
      </c>
      <c r="Y42" s="23">
        <v>4395.7013099999995</v>
      </c>
      <c r="Z42" s="23">
        <v>3775.806</v>
      </c>
      <c r="AA42" s="23">
        <v>385.83143999999999</v>
      </c>
      <c r="AB42" s="23">
        <v>465.37016999999997</v>
      </c>
      <c r="AC42" s="23">
        <v>4583.9013099999993</v>
      </c>
      <c r="AD42" s="23">
        <v>4217.1899999999996</v>
      </c>
      <c r="AE42" s="23">
        <v>274.60939000000002</v>
      </c>
      <c r="AF42" s="23">
        <v>206.56145999999998</v>
      </c>
      <c r="AG42" s="23">
        <f t="shared" si="7"/>
        <v>36965.146549999998</v>
      </c>
      <c r="AH42" s="23">
        <f t="shared" si="8"/>
        <v>34714.679380000001</v>
      </c>
      <c r="AI42" s="23">
        <f t="shared" si="9"/>
        <v>2771.5923799999996</v>
      </c>
      <c r="AJ42" s="23">
        <f t="shared" si="10"/>
        <v>1568.8900999999998</v>
      </c>
    </row>
    <row r="43" spans="1:36" outlineLevel="1" x14ac:dyDescent="0.25">
      <c r="A43" s="65" t="s">
        <v>315</v>
      </c>
      <c r="B43" s="23">
        <v>29183.867750000001</v>
      </c>
      <c r="C43" s="23">
        <v>31522.484</v>
      </c>
      <c r="D43" s="23">
        <v>35483.805319999999</v>
      </c>
      <c r="E43" s="23">
        <f t="shared" si="1"/>
        <v>3961.3213199999991</v>
      </c>
      <c r="F43" s="24">
        <f t="shared" si="2"/>
        <v>1.1256665344012864</v>
      </c>
      <c r="G43" s="82">
        <f t="shared" si="3"/>
        <v>21.587054957785696</v>
      </c>
      <c r="H43" s="23">
        <v>-91.882729999999995</v>
      </c>
      <c r="I43" s="23">
        <v>-238.07217</v>
      </c>
      <c r="J43" s="23">
        <v>-3166.1730299999999</v>
      </c>
      <c r="K43" s="23">
        <v>907.95712000000003</v>
      </c>
      <c r="L43" s="23">
        <v>602.10656000000006</v>
      </c>
      <c r="M43" s="23">
        <v>816.61622</v>
      </c>
      <c r="N43" s="23"/>
      <c r="O43" s="23">
        <v>25340.55473</v>
      </c>
      <c r="P43" s="23">
        <v>27803.920389999999</v>
      </c>
      <c r="Q43" s="23">
        <v>30088.222690000002</v>
      </c>
      <c r="R43" s="82">
        <f t="shared" si="11"/>
        <v>2.2843023000000029</v>
      </c>
      <c r="S43" s="336">
        <v>3028.1251699999998</v>
      </c>
      <c r="T43" s="336">
        <v>2849.7264799999998</v>
      </c>
      <c r="U43" s="336">
        <v>1774.1610000000001</v>
      </c>
      <c r="V43" s="23">
        <f t="shared" si="4"/>
        <v>-1075.5654799999998</v>
      </c>
      <c r="W43" s="24">
        <f t="shared" si="5"/>
        <v>0.62257238105181245</v>
      </c>
      <c r="X43" s="82">
        <f t="shared" si="6"/>
        <v>-37.742761894818756</v>
      </c>
      <c r="Y43" s="23">
        <v>3833.933</v>
      </c>
      <c r="Z43" s="23">
        <v>3893.933</v>
      </c>
      <c r="AA43" s="23">
        <v>-640.66711999999995</v>
      </c>
      <c r="AB43" s="23">
        <v>-902.39039000000002</v>
      </c>
      <c r="AC43" s="23">
        <v>5099.7070000000003</v>
      </c>
      <c r="AD43" s="23">
        <v>5602.2070000000003</v>
      </c>
      <c r="AE43" s="23">
        <v>1054.82907</v>
      </c>
      <c r="AF43" s="23">
        <v>1250.10672</v>
      </c>
      <c r="AG43" s="23">
        <f t="shared" si="7"/>
        <v>40456.124000000003</v>
      </c>
      <c r="AH43" s="23">
        <f t="shared" si="8"/>
        <v>44979.945319999999</v>
      </c>
      <c r="AI43" s="23">
        <f t="shared" si="9"/>
        <v>3263.88843</v>
      </c>
      <c r="AJ43" s="23">
        <f t="shared" si="10"/>
        <v>2121.8773300000003</v>
      </c>
    </row>
    <row r="44" spans="1:36" outlineLevel="1" x14ac:dyDescent="0.25">
      <c r="A44" s="65" t="s">
        <v>314</v>
      </c>
      <c r="B44" s="72">
        <v>43786.565579999995</v>
      </c>
      <c r="C44" s="72">
        <v>44458.421000000002</v>
      </c>
      <c r="D44" s="72">
        <v>41938.611380000002</v>
      </c>
      <c r="E44" s="72">
        <f t="shared" si="1"/>
        <v>-2519.80962</v>
      </c>
      <c r="F44" s="73">
        <f t="shared" si="2"/>
        <v>0.94332210718864717</v>
      </c>
      <c r="G44" s="92">
        <f t="shared" si="3"/>
        <v>-4.2203679953471038</v>
      </c>
      <c r="H44" s="72">
        <v>870.57821999999999</v>
      </c>
      <c r="I44" s="72">
        <v>957.85185999999999</v>
      </c>
      <c r="J44" s="72">
        <v>1024.64554</v>
      </c>
      <c r="K44" s="72">
        <v>793.53612999999996</v>
      </c>
      <c r="L44" s="72">
        <v>1130.1833200000001</v>
      </c>
      <c r="M44" s="72">
        <v>1129.62328</v>
      </c>
      <c r="N44" s="72"/>
      <c r="O44" s="72">
        <v>40196.591930000002</v>
      </c>
      <c r="P44" s="72">
        <v>40827.306819999998</v>
      </c>
      <c r="Q44" s="72">
        <v>37421.88697</v>
      </c>
      <c r="R44" s="92">
        <f t="shared" si="11"/>
        <v>-3.4054198499999986</v>
      </c>
      <c r="S44" s="333">
        <v>3338.4331000000002</v>
      </c>
      <c r="T44" s="333">
        <v>3671.1728399999997</v>
      </c>
      <c r="U44" s="333">
        <v>4469.8868300000004</v>
      </c>
      <c r="V44" s="72">
        <f t="shared" si="4"/>
        <v>798.71399000000065</v>
      </c>
      <c r="W44" s="73">
        <f t="shared" si="5"/>
        <v>1.2175637118736149</v>
      </c>
      <c r="X44" s="92">
        <f t="shared" si="6"/>
        <v>21.756371187361495</v>
      </c>
      <c r="Y44" s="72">
        <v>4922.62</v>
      </c>
      <c r="Z44" s="72">
        <v>4922.62</v>
      </c>
      <c r="AA44" s="72">
        <v>63.618870000000001</v>
      </c>
      <c r="AB44" s="72">
        <v>-342.63567999999998</v>
      </c>
      <c r="AC44" s="72">
        <v>7842.06</v>
      </c>
      <c r="AD44" s="72">
        <v>7842.06</v>
      </c>
      <c r="AE44" s="72">
        <v>1391.24299</v>
      </c>
      <c r="AF44" s="72">
        <v>1225.01181</v>
      </c>
      <c r="AG44" s="72">
        <f t="shared" si="7"/>
        <v>57223.101000000002</v>
      </c>
      <c r="AH44" s="72">
        <f t="shared" si="8"/>
        <v>54703.291380000002</v>
      </c>
      <c r="AI44" s="72">
        <f t="shared" si="9"/>
        <v>5126.0346999999992</v>
      </c>
      <c r="AJ44" s="72">
        <f t="shared" si="10"/>
        <v>5352.26296</v>
      </c>
    </row>
    <row r="45" spans="1:36" ht="15.75" outlineLevel="1" thickBot="1" x14ac:dyDescent="0.3">
      <c r="A45" s="266" t="s">
        <v>839</v>
      </c>
      <c r="B45" s="267">
        <v>0</v>
      </c>
      <c r="C45" s="267">
        <v>0</v>
      </c>
      <c r="D45" s="267">
        <v>0</v>
      </c>
      <c r="E45" s="267">
        <f t="shared" si="1"/>
        <v>0</v>
      </c>
      <c r="F45" s="268">
        <f t="shared" si="2"/>
        <v>0</v>
      </c>
      <c r="G45" s="269" t="e">
        <f t="shared" si="3"/>
        <v>#DIV/0!</v>
      </c>
      <c r="H45" s="267">
        <v>0</v>
      </c>
      <c r="I45" s="267">
        <v>0</v>
      </c>
      <c r="J45" s="267">
        <v>0</v>
      </c>
      <c r="K45" s="267">
        <v>0</v>
      </c>
      <c r="L45" s="267">
        <v>0</v>
      </c>
      <c r="M45" s="267">
        <v>0</v>
      </c>
      <c r="N45" s="267"/>
      <c r="O45" s="267">
        <v>0</v>
      </c>
      <c r="P45" s="267">
        <v>1094.80798</v>
      </c>
      <c r="Q45" s="267">
        <v>1023.0240799999999</v>
      </c>
      <c r="R45" s="269"/>
      <c r="S45" s="337">
        <v>0</v>
      </c>
      <c r="T45" s="337">
        <v>0</v>
      </c>
      <c r="U45" s="337">
        <v>-818.41926000000001</v>
      </c>
      <c r="V45" s="267"/>
      <c r="W45" s="268"/>
      <c r="X45" s="269"/>
      <c r="Y45" s="267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</row>
    <row r="46" spans="1:36" ht="15.75" thickBot="1" x14ac:dyDescent="0.3">
      <c r="A46" s="61" t="s">
        <v>316</v>
      </c>
      <c r="B46" s="74">
        <v>432139.52408</v>
      </c>
      <c r="C46" s="74">
        <v>471724.38257000002</v>
      </c>
      <c r="D46" s="74">
        <v>450783.46025</v>
      </c>
      <c r="E46" s="75">
        <f t="shared" si="1"/>
        <v>-20940.922320000012</v>
      </c>
      <c r="F46" s="76">
        <f t="shared" si="2"/>
        <v>0.95560771693438473</v>
      </c>
      <c r="G46" s="77">
        <f t="shared" si="3"/>
        <v>4.3143325549061586</v>
      </c>
      <c r="H46" s="74">
        <v>6811.52369</v>
      </c>
      <c r="I46" s="74">
        <v>7298.1114500000003</v>
      </c>
      <c r="J46" s="74">
        <v>11073.39179</v>
      </c>
      <c r="K46" s="74">
        <v>29496.21155</v>
      </c>
      <c r="L46" s="74">
        <v>11926.127390000001</v>
      </c>
      <c r="M46" s="74">
        <v>12198.760980000001</v>
      </c>
      <c r="N46" s="74"/>
      <c r="O46" s="74">
        <v>411082.25293999998</v>
      </c>
      <c r="P46" s="74">
        <v>419784.35294999997</v>
      </c>
      <c r="Q46" s="74">
        <v>408134.61582000001</v>
      </c>
      <c r="R46" s="100">
        <f t="shared" si="11"/>
        <v>-11.649737129999965</v>
      </c>
      <c r="S46" s="334">
        <v>22295.513640000001</v>
      </c>
      <c r="T46" s="334">
        <v>47390.513119999996</v>
      </c>
      <c r="U46" s="334">
        <v>43297.200819999998</v>
      </c>
      <c r="V46" s="75">
        <f t="shared" si="4"/>
        <v>-4093.3122999999978</v>
      </c>
      <c r="W46" s="76">
        <f t="shared" si="5"/>
        <v>0.91362591306755625</v>
      </c>
      <c r="X46" s="77">
        <f t="shared" si="6"/>
        <v>-8.6374086932443817</v>
      </c>
      <c r="Y46" s="74">
        <v>65971.622080000001</v>
      </c>
      <c r="Z46" s="74">
        <v>63816.781419999999</v>
      </c>
      <c r="AA46" s="74">
        <v>6413.03359</v>
      </c>
      <c r="AB46" s="74">
        <v>2894.1579700000002</v>
      </c>
      <c r="AC46" s="74">
        <v>73271.051049999995</v>
      </c>
      <c r="AD46" s="74">
        <v>71053.3177</v>
      </c>
      <c r="AE46" s="74">
        <v>10878.96315</v>
      </c>
      <c r="AF46" s="74">
        <v>6858.0842499999999</v>
      </c>
      <c r="AG46" s="74">
        <f t="shared" si="7"/>
        <v>610967.05570000003</v>
      </c>
      <c r="AH46" s="74">
        <f t="shared" si="8"/>
        <v>585653.55937000003</v>
      </c>
      <c r="AI46" s="74">
        <f t="shared" si="9"/>
        <v>64682.509859999991</v>
      </c>
      <c r="AJ46" s="74">
        <f t="shared" si="10"/>
        <v>53049.443039999998</v>
      </c>
    </row>
    <row r="47" spans="1:36" outlineLevel="1" x14ac:dyDescent="0.25">
      <c r="A47" s="64" t="s">
        <v>317</v>
      </c>
      <c r="B47" s="59">
        <v>91870.466540000009</v>
      </c>
      <c r="C47" s="59">
        <v>101158.11500000001</v>
      </c>
      <c r="D47" s="59">
        <v>85642.448000000004</v>
      </c>
      <c r="E47" s="59">
        <f t="shared" si="1"/>
        <v>-15515.667000000001</v>
      </c>
      <c r="F47" s="58">
        <f t="shared" si="2"/>
        <v>0.84661965083078106</v>
      </c>
      <c r="G47" s="90">
        <f t="shared" si="3"/>
        <v>-6.7791301977206757</v>
      </c>
      <c r="H47" s="59">
        <v>967.00344999999993</v>
      </c>
      <c r="I47" s="59">
        <v>841.52166</v>
      </c>
      <c r="J47" s="59">
        <v>-16.563839999999999</v>
      </c>
      <c r="K47" s="59">
        <v>5612.9226799999997</v>
      </c>
      <c r="L47" s="59">
        <v>1204.2135800000001</v>
      </c>
      <c r="M47" s="59">
        <v>1209.56826</v>
      </c>
      <c r="N47" s="59"/>
      <c r="O47" s="59">
        <v>78851.79445999999</v>
      </c>
      <c r="P47" s="59">
        <v>82267.972970000003</v>
      </c>
      <c r="Q47" s="59">
        <v>71596.70104</v>
      </c>
      <c r="R47" s="90">
        <f t="shared" si="11"/>
        <v>-10.671271930000003</v>
      </c>
      <c r="S47" s="335">
        <v>11848.725329999999</v>
      </c>
      <c r="T47" s="335">
        <v>15785.330910000001</v>
      </c>
      <c r="U47" s="335">
        <v>11140.374980000001</v>
      </c>
      <c r="V47" s="59">
        <f t="shared" si="4"/>
        <v>-4644.9559300000001</v>
      </c>
      <c r="W47" s="58">
        <f t="shared" si="5"/>
        <v>0.70574225168397187</v>
      </c>
      <c r="X47" s="90">
        <f t="shared" si="6"/>
        <v>-29.425774831602808</v>
      </c>
      <c r="Y47" s="59">
        <v>14321.663</v>
      </c>
      <c r="Z47" s="59">
        <v>11381.480039999999</v>
      </c>
      <c r="AA47" s="59">
        <v>2043.7389800000001</v>
      </c>
      <c r="AB47" s="59">
        <v>365.65575999999999</v>
      </c>
      <c r="AC47" s="59">
        <v>15263.454</v>
      </c>
      <c r="AD47" s="59">
        <v>15000</v>
      </c>
      <c r="AE47" s="59">
        <v>2818.6228999999998</v>
      </c>
      <c r="AF47" s="59">
        <v>2607.4736000000003</v>
      </c>
      <c r="AG47" s="59">
        <f t="shared" si="7"/>
        <v>130743.232</v>
      </c>
      <c r="AH47" s="59">
        <f t="shared" si="8"/>
        <v>112023.92804</v>
      </c>
      <c r="AI47" s="59">
        <f t="shared" si="9"/>
        <v>20647.692789999997</v>
      </c>
      <c r="AJ47" s="59">
        <f t="shared" si="10"/>
        <v>14113.50434</v>
      </c>
    </row>
    <row r="48" spans="1:36" outlineLevel="1" x14ac:dyDescent="0.25">
      <c r="A48" s="65" t="s">
        <v>318</v>
      </c>
      <c r="B48" s="23">
        <v>54069.343780000003</v>
      </c>
      <c r="C48" s="23">
        <v>46667.501759999999</v>
      </c>
      <c r="D48" s="23">
        <v>56332.628720000001</v>
      </c>
      <c r="E48" s="23">
        <f t="shared" si="1"/>
        <v>9665.1269600000014</v>
      </c>
      <c r="F48" s="24">
        <f t="shared" si="2"/>
        <v>1.2071061572934734</v>
      </c>
      <c r="G48" s="82">
        <f t="shared" si="3"/>
        <v>4.1858931175657688</v>
      </c>
      <c r="H48" s="23">
        <v>631.86267000000009</v>
      </c>
      <c r="I48" s="23">
        <v>732.40971999999999</v>
      </c>
      <c r="J48" s="23">
        <v>-180.17483999999999</v>
      </c>
      <c r="K48" s="23">
        <v>1043.90435</v>
      </c>
      <c r="L48" s="23">
        <v>749.49909000000002</v>
      </c>
      <c r="M48" s="23">
        <v>757.97086999999999</v>
      </c>
      <c r="N48" s="23"/>
      <c r="O48" s="23">
        <v>41536.724539999996</v>
      </c>
      <c r="P48" s="23">
        <v>31252.296630000001</v>
      </c>
      <c r="Q48" s="23">
        <v>35149.949479999996</v>
      </c>
      <c r="R48" s="82">
        <f t="shared" si="11"/>
        <v>3.8976528499999947</v>
      </c>
      <c r="S48" s="336">
        <v>10526.1373</v>
      </c>
      <c r="T48" s="336">
        <v>12918.09189</v>
      </c>
      <c r="U48" s="336">
        <v>16872.47162</v>
      </c>
      <c r="V48" s="23">
        <f t="shared" si="4"/>
        <v>3954.3797300000006</v>
      </c>
      <c r="W48" s="24">
        <f t="shared" si="5"/>
        <v>1.3061117511527471</v>
      </c>
      <c r="X48" s="82">
        <f t="shared" si="6"/>
        <v>30.611175115274705</v>
      </c>
      <c r="Y48" s="23">
        <v>6197.8090000000002</v>
      </c>
      <c r="Z48" s="23">
        <v>13061.48155</v>
      </c>
      <c r="AA48" s="23">
        <v>1661.5385000000001</v>
      </c>
      <c r="AB48" s="23">
        <v>4130.8010000000004</v>
      </c>
      <c r="AC48" s="23">
        <v>8344.518</v>
      </c>
      <c r="AD48" s="23">
        <v>8344.518</v>
      </c>
      <c r="AE48" s="23">
        <v>3119.8559700000001</v>
      </c>
      <c r="AF48" s="23">
        <v>2927.93595</v>
      </c>
      <c r="AG48" s="23">
        <f t="shared" si="7"/>
        <v>61209.828760000004</v>
      </c>
      <c r="AH48" s="23">
        <f t="shared" si="8"/>
        <v>77738.628270000001</v>
      </c>
      <c r="AI48" s="23">
        <f t="shared" si="9"/>
        <v>17699.486359999999</v>
      </c>
      <c r="AJ48" s="23">
        <f t="shared" si="10"/>
        <v>23931.208569999999</v>
      </c>
    </row>
    <row r="49" spans="1:36" outlineLevel="1" x14ac:dyDescent="0.25">
      <c r="A49" s="65" t="s">
        <v>319</v>
      </c>
      <c r="B49" s="23">
        <v>44620.424079999997</v>
      </c>
      <c r="C49" s="23">
        <v>50487.804889999999</v>
      </c>
      <c r="D49" s="23">
        <v>50040.888930000001</v>
      </c>
      <c r="E49" s="23">
        <f t="shared" si="1"/>
        <v>-446.91595999999845</v>
      </c>
      <c r="F49" s="24">
        <f t="shared" si="2"/>
        <v>0.99114804137407608</v>
      </c>
      <c r="G49" s="82">
        <f t="shared" si="3"/>
        <v>12.147945614057036</v>
      </c>
      <c r="H49" s="23">
        <v>1199.29204</v>
      </c>
      <c r="I49" s="23">
        <v>1040.84176</v>
      </c>
      <c r="J49" s="23">
        <v>1127.58383</v>
      </c>
      <c r="K49" s="23">
        <v>3303.3111400000003</v>
      </c>
      <c r="L49" s="23">
        <v>1332.0442</v>
      </c>
      <c r="M49" s="23">
        <v>1323.04403</v>
      </c>
      <c r="N49" s="23"/>
      <c r="O49" s="23">
        <v>44121.985829999998</v>
      </c>
      <c r="P49" s="23">
        <v>45806.592979999994</v>
      </c>
      <c r="Q49" s="23">
        <v>45294.364369999996</v>
      </c>
      <c r="R49" s="82">
        <f t="shared" si="11"/>
        <v>-0.51222860999999831</v>
      </c>
      <c r="S49" s="336">
        <v>1444.12986</v>
      </c>
      <c r="T49" s="336">
        <v>4577.64293</v>
      </c>
      <c r="U49" s="336">
        <v>4814.9033600000002</v>
      </c>
      <c r="V49" s="23">
        <f t="shared" si="4"/>
        <v>237.26043000000027</v>
      </c>
      <c r="W49" s="24">
        <f t="shared" si="5"/>
        <v>1.051830261474763</v>
      </c>
      <c r="X49" s="82">
        <f t="shared" si="6"/>
        <v>5.1830261474762978</v>
      </c>
      <c r="Y49" s="23">
        <v>6585.3658599999999</v>
      </c>
      <c r="Z49" s="23">
        <v>6256.0975599999992</v>
      </c>
      <c r="AA49" s="23">
        <v>383.00628999999998</v>
      </c>
      <c r="AB49" s="23">
        <v>215.36323999999999</v>
      </c>
      <c r="AC49" s="23">
        <v>7682.9268300000003</v>
      </c>
      <c r="AD49" s="23">
        <v>7690.8069999999998</v>
      </c>
      <c r="AE49" s="23">
        <v>1052.9077400000001</v>
      </c>
      <c r="AF49" s="23">
        <v>1071.9858999999999</v>
      </c>
      <c r="AG49" s="23">
        <f t="shared" si="7"/>
        <v>64756.097580000001</v>
      </c>
      <c r="AH49" s="23">
        <f t="shared" si="8"/>
        <v>63987.793490000004</v>
      </c>
      <c r="AI49" s="23">
        <f t="shared" si="9"/>
        <v>6013.5569599999999</v>
      </c>
      <c r="AJ49" s="23">
        <f t="shared" si="10"/>
        <v>6102.2524999999996</v>
      </c>
    </row>
    <row r="50" spans="1:36" outlineLevel="1" x14ac:dyDescent="0.25">
      <c r="A50" s="65" t="s">
        <v>320</v>
      </c>
      <c r="B50" s="23">
        <v>12857.793720000001</v>
      </c>
      <c r="C50" s="23">
        <v>14498.11</v>
      </c>
      <c r="D50" s="23">
        <v>13188.26497</v>
      </c>
      <c r="E50" s="23">
        <f t="shared" si="1"/>
        <v>-1309.8450300000004</v>
      </c>
      <c r="F50" s="24">
        <f t="shared" si="2"/>
        <v>0.90965408387713986</v>
      </c>
      <c r="G50" s="82">
        <f t="shared" si="3"/>
        <v>2.5702018339737123</v>
      </c>
      <c r="H50" s="23">
        <v>-1258.0234499999999</v>
      </c>
      <c r="I50" s="23">
        <v>128.76157000000001</v>
      </c>
      <c r="J50" s="23">
        <v>-306.22865000000002</v>
      </c>
      <c r="K50" s="23">
        <v>413.33334000000002</v>
      </c>
      <c r="L50" s="23">
        <v>413.33334000000002</v>
      </c>
      <c r="M50" s="23">
        <v>413.33334000000002</v>
      </c>
      <c r="N50" s="23"/>
      <c r="O50" s="23">
        <v>10699.655470000002</v>
      </c>
      <c r="P50" s="23">
        <v>13535.950359999999</v>
      </c>
      <c r="Q50" s="23">
        <v>11979.296869999998</v>
      </c>
      <c r="R50" s="82">
        <f t="shared" si="11"/>
        <v>-1.5566534900000006</v>
      </c>
      <c r="S50" s="336">
        <v>718.01754000000005</v>
      </c>
      <c r="T50" s="336">
        <v>872.73693999999989</v>
      </c>
      <c r="U50" s="336">
        <v>721.95155</v>
      </c>
      <c r="V50" s="23">
        <f t="shared" si="4"/>
        <v>-150.78538999999989</v>
      </c>
      <c r="W50" s="24">
        <f t="shared" si="5"/>
        <v>0.82722698777938752</v>
      </c>
      <c r="X50" s="82">
        <f t="shared" si="6"/>
        <v>-17.277301222061254</v>
      </c>
      <c r="Y50" s="23">
        <v>2103.5</v>
      </c>
      <c r="Z50" s="23">
        <v>1740.9938100000002</v>
      </c>
      <c r="AA50" s="23">
        <v>152.88013000000001</v>
      </c>
      <c r="AB50" s="23">
        <v>114.74339000000001</v>
      </c>
      <c r="AC50" s="23">
        <v>2008.33</v>
      </c>
      <c r="AD50" s="23">
        <v>1903.64</v>
      </c>
      <c r="AE50" s="23">
        <v>53.218129999999995</v>
      </c>
      <c r="AF50" s="23">
        <v>114.32308</v>
      </c>
      <c r="AG50" s="23">
        <f t="shared" si="7"/>
        <v>18609.940000000002</v>
      </c>
      <c r="AH50" s="23">
        <f t="shared" si="8"/>
        <v>16832.89878</v>
      </c>
      <c r="AI50" s="23">
        <f t="shared" si="9"/>
        <v>1078.8351999999998</v>
      </c>
      <c r="AJ50" s="23">
        <f t="shared" si="10"/>
        <v>951.01801999999998</v>
      </c>
    </row>
    <row r="51" spans="1:36" outlineLevel="1" x14ac:dyDescent="0.25">
      <c r="A51" s="65" t="s">
        <v>321</v>
      </c>
      <c r="B51" s="23">
        <v>8611.0416700000005</v>
      </c>
      <c r="C51" s="23">
        <v>9991.7520000000004</v>
      </c>
      <c r="D51" s="23">
        <v>9435.20363</v>
      </c>
      <c r="E51" s="23">
        <f t="shared" si="1"/>
        <v>-556.54837000000043</v>
      </c>
      <c r="F51" s="24">
        <f t="shared" si="2"/>
        <v>0.94429922099747865</v>
      </c>
      <c r="G51" s="82">
        <f t="shared" si="3"/>
        <v>9.5709902655714245</v>
      </c>
      <c r="H51" s="23">
        <v>1362.5505000000001</v>
      </c>
      <c r="I51" s="23">
        <v>368.82390999999996</v>
      </c>
      <c r="J51" s="23">
        <v>1191.4355399999999</v>
      </c>
      <c r="K51" s="23">
        <v>301.95822999999996</v>
      </c>
      <c r="L51" s="23">
        <v>206.95345999999998</v>
      </c>
      <c r="M51" s="23">
        <v>206.74860999999999</v>
      </c>
      <c r="N51" s="23"/>
      <c r="O51" s="23">
        <v>10546.96996</v>
      </c>
      <c r="P51" s="23">
        <v>10661.091390000001</v>
      </c>
      <c r="Q51" s="23">
        <v>11934.788060000001</v>
      </c>
      <c r="R51" s="82">
        <f t="shared" si="11"/>
        <v>1.2736966699999994</v>
      </c>
      <c r="S51" s="336">
        <v>-968.85256000000004</v>
      </c>
      <c r="T51" s="336">
        <v>-240.41230999999999</v>
      </c>
      <c r="U51" s="336">
        <v>-1115.1911100000002</v>
      </c>
      <c r="V51" s="23">
        <f t="shared" si="4"/>
        <v>-874.77880000000027</v>
      </c>
      <c r="W51" s="24">
        <f t="shared" si="5"/>
        <v>4.6386605993678121</v>
      </c>
      <c r="X51" s="82">
        <f t="shared" si="6"/>
        <v>363.8660599367812</v>
      </c>
      <c r="Y51" s="23">
        <v>1206.7639999999999</v>
      </c>
      <c r="Z51" s="23">
        <v>1145.5150000000001</v>
      </c>
      <c r="AA51" s="23">
        <v>-6.6940100000000005</v>
      </c>
      <c r="AB51" s="23">
        <v>-250.06451000000001</v>
      </c>
      <c r="AC51" s="23">
        <v>1572.0519999999999</v>
      </c>
      <c r="AD51" s="23">
        <v>1572.0519999999999</v>
      </c>
      <c r="AE51" s="23">
        <v>62.723059999999997</v>
      </c>
      <c r="AF51" s="23">
        <v>56.483059999999995</v>
      </c>
      <c r="AG51" s="23">
        <f t="shared" si="7"/>
        <v>12770.567999999999</v>
      </c>
      <c r="AH51" s="23">
        <f t="shared" si="8"/>
        <v>12152.770629999999</v>
      </c>
      <c r="AI51" s="23">
        <f t="shared" si="9"/>
        <v>-184.38325999999998</v>
      </c>
      <c r="AJ51" s="23">
        <f t="shared" si="10"/>
        <v>-1308.7725600000001</v>
      </c>
    </row>
    <row r="52" spans="1:36" outlineLevel="1" x14ac:dyDescent="0.25">
      <c r="A52" s="65" t="s">
        <v>322</v>
      </c>
      <c r="B52" s="23">
        <v>62826.904450000002</v>
      </c>
      <c r="C52" s="23">
        <v>83471.210000000006</v>
      </c>
      <c r="D52" s="23">
        <v>73915.548389999996</v>
      </c>
      <c r="E52" s="23">
        <f t="shared" si="1"/>
        <v>-9555.6616100000101</v>
      </c>
      <c r="F52" s="24">
        <f t="shared" si="2"/>
        <v>0.88552146770125884</v>
      </c>
      <c r="G52" s="82">
        <f t="shared" si="3"/>
        <v>17.649515023973137</v>
      </c>
      <c r="H52" s="23">
        <v>-1023.6781999999999</v>
      </c>
      <c r="I52" s="23">
        <v>143.00432999999998</v>
      </c>
      <c r="J52" s="23">
        <v>6238.4336900000008</v>
      </c>
      <c r="K52" s="23">
        <v>10280.522080000001</v>
      </c>
      <c r="L52" s="23">
        <v>4613.7198699999999</v>
      </c>
      <c r="M52" s="23">
        <v>4721.5810899999997</v>
      </c>
      <c r="N52" s="23"/>
      <c r="O52" s="23">
        <v>76798.197349999988</v>
      </c>
      <c r="P52" s="23">
        <v>81547.167849999998</v>
      </c>
      <c r="Q52" s="23">
        <v>86240.528379999989</v>
      </c>
      <c r="R52" s="82">
        <f t="shared" si="11"/>
        <v>4.6933605299999908</v>
      </c>
      <c r="S52" s="336">
        <v>-12191.985650000001</v>
      </c>
      <c r="T52" s="336">
        <v>1653.6373799999999</v>
      </c>
      <c r="U52" s="336">
        <v>-4869.7989100000004</v>
      </c>
      <c r="V52" s="23">
        <f t="shared" si="4"/>
        <v>-6523.4362900000006</v>
      </c>
      <c r="W52" s="24">
        <f t="shared" si="5"/>
        <v>-2.9449013241343156</v>
      </c>
      <c r="X52" s="90">
        <f>(U52/T52*100-100)*-1</f>
        <v>394.49013241343158</v>
      </c>
      <c r="Y52" s="23">
        <v>12000</v>
      </c>
      <c r="Z52" s="23">
        <v>11973.907999999999</v>
      </c>
      <c r="AA52" s="23">
        <v>507.92960999999997</v>
      </c>
      <c r="AB52" s="23">
        <v>-1571.6059399999999</v>
      </c>
      <c r="AC52" s="23">
        <v>13000</v>
      </c>
      <c r="AD52" s="23">
        <v>12630</v>
      </c>
      <c r="AE52" s="23">
        <v>1006.65889</v>
      </c>
      <c r="AF52" s="23">
        <v>-2072.27691</v>
      </c>
      <c r="AG52" s="23">
        <f t="shared" si="7"/>
        <v>108471.21</v>
      </c>
      <c r="AH52" s="23">
        <f t="shared" si="8"/>
        <v>98519.456389999992</v>
      </c>
      <c r="AI52" s="23">
        <f t="shared" si="9"/>
        <v>3168.22588</v>
      </c>
      <c r="AJ52" s="23">
        <f t="shared" si="10"/>
        <v>-8513.6817600000013</v>
      </c>
    </row>
    <row r="53" spans="1:36" outlineLevel="1" x14ac:dyDescent="0.25">
      <c r="A53" s="65" t="s">
        <v>323</v>
      </c>
      <c r="B53" s="23">
        <v>12401.284109999999</v>
      </c>
      <c r="C53" s="23">
        <v>14624.21999</v>
      </c>
      <c r="D53" s="23">
        <v>12581.973179999999</v>
      </c>
      <c r="E53" s="23">
        <f t="shared" si="1"/>
        <v>-2042.2468100000006</v>
      </c>
      <c r="F53" s="24">
        <f t="shared" si="2"/>
        <v>0.86035174447618523</v>
      </c>
      <c r="G53" s="82">
        <f t="shared" si="3"/>
        <v>1.4570190344586962</v>
      </c>
      <c r="H53" s="23">
        <v>104.93665</v>
      </c>
      <c r="I53" s="23">
        <v>211.96028000000001</v>
      </c>
      <c r="J53" s="23">
        <v>-153.93643</v>
      </c>
      <c r="K53" s="23">
        <v>580.16665</v>
      </c>
      <c r="L53" s="23">
        <v>580.16665</v>
      </c>
      <c r="M53" s="23">
        <v>704.59822999999994</v>
      </c>
      <c r="N53" s="23"/>
      <c r="O53" s="23">
        <v>12379.944820000001</v>
      </c>
      <c r="P53" s="23">
        <v>15077.683789999999</v>
      </c>
      <c r="Q53" s="23">
        <v>13541.181630000001</v>
      </c>
      <c r="R53" s="82">
        <f t="shared" si="11"/>
        <v>-1.5365021599999982</v>
      </c>
      <c r="S53" s="336">
        <v>99.699889999999996</v>
      </c>
      <c r="T53" s="336">
        <v>-193.20273999999998</v>
      </c>
      <c r="U53" s="336">
        <v>-893.79346999999996</v>
      </c>
      <c r="V53" s="23">
        <f t="shared" si="4"/>
        <v>-700.59073000000001</v>
      </c>
      <c r="W53" s="24">
        <f t="shared" si="5"/>
        <v>4.6261945870954007</v>
      </c>
      <c r="X53" s="82">
        <f t="shared" si="6"/>
        <v>362.61945870954008</v>
      </c>
      <c r="Y53" s="23">
        <v>2182.15481</v>
      </c>
      <c r="Z53" s="23">
        <v>1150</v>
      </c>
      <c r="AA53" s="23">
        <v>214.68485999999999</v>
      </c>
      <c r="AB53" s="23">
        <v>-471.14593000000002</v>
      </c>
      <c r="AC53" s="23">
        <v>2288.15481</v>
      </c>
      <c r="AD53" s="23">
        <v>1430</v>
      </c>
      <c r="AE53" s="23">
        <v>106.29607</v>
      </c>
      <c r="AF53" s="23">
        <v>-536.86779000000001</v>
      </c>
      <c r="AG53" s="23">
        <f t="shared" si="7"/>
        <v>19094.529609999998</v>
      </c>
      <c r="AH53" s="23">
        <f t="shared" si="8"/>
        <v>15161.973179999999</v>
      </c>
      <c r="AI53" s="23">
        <f t="shared" si="9"/>
        <v>127.77819000000001</v>
      </c>
      <c r="AJ53" s="23">
        <f t="shared" si="10"/>
        <v>-1901.80719</v>
      </c>
    </row>
    <row r="54" spans="1:36" outlineLevel="1" x14ac:dyDescent="0.25">
      <c r="A54" s="65" t="s">
        <v>324</v>
      </c>
      <c r="B54" s="23">
        <v>64147.792350000003</v>
      </c>
      <c r="C54" s="23">
        <v>74237.522930000006</v>
      </c>
      <c r="D54" s="23">
        <v>79595.742879999991</v>
      </c>
      <c r="E54" s="23">
        <f t="shared" si="1"/>
        <v>5358.2199499999842</v>
      </c>
      <c r="F54" s="24">
        <f t="shared" si="2"/>
        <v>1.0721767071222508</v>
      </c>
      <c r="G54" s="82">
        <f t="shared" si="3"/>
        <v>24.081811647879704</v>
      </c>
      <c r="H54" s="23">
        <v>3883.8537000000001</v>
      </c>
      <c r="I54" s="23">
        <v>2886.2260699999997</v>
      </c>
      <c r="J54" s="23">
        <v>3371.93084</v>
      </c>
      <c r="K54" s="23">
        <v>5905.9996700000002</v>
      </c>
      <c r="L54" s="23">
        <v>1064.9104</v>
      </c>
      <c r="M54" s="23">
        <v>1100.9984099999999</v>
      </c>
      <c r="N54" s="23"/>
      <c r="O54" s="23">
        <v>63484.683779999999</v>
      </c>
      <c r="P54" s="23">
        <v>70383.754499999995</v>
      </c>
      <c r="Q54" s="23">
        <v>72258.402069999996</v>
      </c>
      <c r="R54" s="82">
        <f t="shared" si="11"/>
        <v>1.8746475700000009</v>
      </c>
      <c r="S54" s="336">
        <v>3586.5223799999999</v>
      </c>
      <c r="T54" s="336">
        <v>5391.9955399999999</v>
      </c>
      <c r="U54" s="336">
        <v>8801.6730200000002</v>
      </c>
      <c r="V54" s="23">
        <f t="shared" si="4"/>
        <v>3409.6774800000003</v>
      </c>
      <c r="W54" s="24">
        <f t="shared" si="5"/>
        <v>1.6323591061427325</v>
      </c>
      <c r="X54" s="82">
        <f t="shared" si="6"/>
        <v>63.235910614273251</v>
      </c>
      <c r="Y54" s="23">
        <v>11148.11541</v>
      </c>
      <c r="Z54" s="23">
        <v>8987.0812299999998</v>
      </c>
      <c r="AA54" s="23">
        <v>1022.51739</v>
      </c>
      <c r="AB54" s="23">
        <v>440.11553999999995</v>
      </c>
      <c r="AC54" s="23">
        <v>11373.11541</v>
      </c>
      <c r="AD54" s="23">
        <v>11383.8007</v>
      </c>
      <c r="AE54" s="23">
        <v>1339.3290200000001</v>
      </c>
      <c r="AF54" s="23">
        <v>1302.8982900000001</v>
      </c>
      <c r="AG54" s="23">
        <f t="shared" si="7"/>
        <v>96758.753750000003</v>
      </c>
      <c r="AH54" s="23">
        <f t="shared" si="8"/>
        <v>99966.624809999979</v>
      </c>
      <c r="AI54" s="23">
        <f t="shared" si="9"/>
        <v>7753.84195</v>
      </c>
      <c r="AJ54" s="23">
        <f t="shared" si="10"/>
        <v>10544.686850000002</v>
      </c>
    </row>
    <row r="55" spans="1:36" outlineLevel="1" x14ac:dyDescent="0.25">
      <c r="A55" s="65" t="s">
        <v>325</v>
      </c>
      <c r="B55" s="23">
        <v>58598.233460000003</v>
      </c>
      <c r="C55" s="23">
        <v>52733</v>
      </c>
      <c r="D55" s="23">
        <v>48775.527969999996</v>
      </c>
      <c r="E55" s="23">
        <f t="shared" si="1"/>
        <v>-3957.4720300000045</v>
      </c>
      <c r="F55" s="24">
        <f t="shared" si="2"/>
        <v>0.92495264767792451</v>
      </c>
      <c r="G55" s="82">
        <f t="shared" si="3"/>
        <v>-16.762801384968583</v>
      </c>
      <c r="H55" s="23">
        <v>646.44270999999992</v>
      </c>
      <c r="I55" s="23">
        <v>546.07854000000009</v>
      </c>
      <c r="J55" s="23">
        <v>202.02947</v>
      </c>
      <c r="K55" s="23">
        <v>508.66586999999998</v>
      </c>
      <c r="L55" s="23">
        <v>413.62013000000002</v>
      </c>
      <c r="M55" s="23">
        <v>413.33334000000002</v>
      </c>
      <c r="N55" s="23"/>
      <c r="O55" s="23">
        <v>49590.876950000005</v>
      </c>
      <c r="P55" s="23">
        <v>46585.612299999993</v>
      </c>
      <c r="Q55" s="23">
        <v>40204.656560000003</v>
      </c>
      <c r="R55" s="82">
        <f t="shared" si="11"/>
        <v>-6.3809557399999903</v>
      </c>
      <c r="S55" s="336">
        <v>7744.8208199999999</v>
      </c>
      <c r="T55" s="336">
        <v>5354.7730300000003</v>
      </c>
      <c r="U55" s="336">
        <v>7067.4604300000001</v>
      </c>
      <c r="V55" s="23">
        <f t="shared" si="4"/>
        <v>1712.6873999999998</v>
      </c>
      <c r="W55" s="24">
        <f t="shared" si="5"/>
        <v>1.3198431362832197</v>
      </c>
      <c r="X55" s="82">
        <f t="shared" si="6"/>
        <v>31.984313628321956</v>
      </c>
      <c r="Y55" s="23">
        <v>6888.5</v>
      </c>
      <c r="Z55" s="23">
        <v>5900.2242300000007</v>
      </c>
      <c r="AA55" s="23">
        <v>182.23525000000001</v>
      </c>
      <c r="AB55" s="23">
        <v>452.76251999999999</v>
      </c>
      <c r="AC55" s="23">
        <v>8138.5</v>
      </c>
      <c r="AD55" s="23">
        <v>7488.5</v>
      </c>
      <c r="AE55" s="23">
        <v>1079.6254099999999</v>
      </c>
      <c r="AF55" s="23">
        <v>1070.16895</v>
      </c>
      <c r="AG55" s="23">
        <f t="shared" si="7"/>
        <v>67760</v>
      </c>
      <c r="AH55" s="23">
        <f t="shared" si="8"/>
        <v>62164.252199999995</v>
      </c>
      <c r="AI55" s="23">
        <f t="shared" si="9"/>
        <v>6616.6336899999997</v>
      </c>
      <c r="AJ55" s="23">
        <f t="shared" si="10"/>
        <v>8590.3919000000005</v>
      </c>
    </row>
    <row r="56" spans="1:36" ht="15.75" outlineLevel="1" thickBot="1" x14ac:dyDescent="0.3">
      <c r="A56" s="66" t="s">
        <v>326</v>
      </c>
      <c r="B56" s="72">
        <v>22136.23992</v>
      </c>
      <c r="C56" s="72">
        <v>23855.146000000001</v>
      </c>
      <c r="D56" s="72">
        <v>21275.233579999996</v>
      </c>
      <c r="E56" s="72">
        <f t="shared" si="1"/>
        <v>-2579.9124200000042</v>
      </c>
      <c r="F56" s="73">
        <f t="shared" si="2"/>
        <v>0.89185090629921093</v>
      </c>
      <c r="G56" s="92">
        <f t="shared" si="3"/>
        <v>-3.8895780995854068</v>
      </c>
      <c r="H56" s="72">
        <v>297.28361999999998</v>
      </c>
      <c r="I56" s="72">
        <v>398.48361</v>
      </c>
      <c r="J56" s="72">
        <v>-401.11781999999999</v>
      </c>
      <c r="K56" s="72">
        <v>1545.4275400000001</v>
      </c>
      <c r="L56" s="72">
        <v>1347.6666699999998</v>
      </c>
      <c r="M56" s="72">
        <v>1347.5848000000001</v>
      </c>
      <c r="N56" s="72"/>
      <c r="O56" s="72">
        <v>23071.41978</v>
      </c>
      <c r="P56" s="72">
        <v>22666.230179999999</v>
      </c>
      <c r="Q56" s="72">
        <v>19934.747360000001</v>
      </c>
      <c r="R56" s="92">
        <f t="shared" si="11"/>
        <v>-2.7314828199999974</v>
      </c>
      <c r="S56" s="333">
        <v>-511.70127000000002</v>
      </c>
      <c r="T56" s="333">
        <v>1269.9195500000001</v>
      </c>
      <c r="U56" s="333">
        <v>757.14935000000003</v>
      </c>
      <c r="V56" s="72">
        <f t="shared" si="4"/>
        <v>-512.77020000000005</v>
      </c>
      <c r="W56" s="73">
        <f t="shared" si="5"/>
        <v>0.59621835887163088</v>
      </c>
      <c r="X56" s="92">
        <f t="shared" si="6"/>
        <v>-40.378164112836913</v>
      </c>
      <c r="Y56" s="72">
        <v>3337.75</v>
      </c>
      <c r="Z56" s="72">
        <v>2220</v>
      </c>
      <c r="AA56" s="72">
        <v>251.19658999999999</v>
      </c>
      <c r="AB56" s="72">
        <v>-532.46709999999996</v>
      </c>
      <c r="AC56" s="72">
        <v>3600</v>
      </c>
      <c r="AD56" s="72">
        <v>3610</v>
      </c>
      <c r="AE56" s="72">
        <v>239.72595999999999</v>
      </c>
      <c r="AF56" s="72">
        <v>315.96012000000002</v>
      </c>
      <c r="AG56" s="72">
        <f t="shared" si="7"/>
        <v>30792.896000000001</v>
      </c>
      <c r="AH56" s="72">
        <f t="shared" si="8"/>
        <v>27105.233579999996</v>
      </c>
      <c r="AI56" s="72">
        <f t="shared" si="9"/>
        <v>1760.8421000000001</v>
      </c>
      <c r="AJ56" s="72">
        <f t="shared" si="10"/>
        <v>540.64237000000003</v>
      </c>
    </row>
    <row r="57" spans="1:36" ht="15.75" thickBot="1" x14ac:dyDescent="0.3">
      <c r="A57" s="61" t="s">
        <v>327</v>
      </c>
      <c r="B57" s="74">
        <v>648522.52769000002</v>
      </c>
      <c r="C57" s="74">
        <v>706782.84270000004</v>
      </c>
      <c r="D57" s="74">
        <v>744733.09148000006</v>
      </c>
      <c r="E57" s="75">
        <f t="shared" si="1"/>
        <v>37950.248780000024</v>
      </c>
      <c r="F57" s="76">
        <f t="shared" si="2"/>
        <v>1.0536943548813738</v>
      </c>
      <c r="G57" s="77">
        <f t="shared" si="3"/>
        <v>14.83534645013745</v>
      </c>
      <c r="H57" s="74">
        <v>19105.694350000002</v>
      </c>
      <c r="I57" s="74">
        <v>16762.877179999999</v>
      </c>
      <c r="J57" s="74">
        <v>9094.0311799999999</v>
      </c>
      <c r="K57" s="74">
        <v>43809.193450000006</v>
      </c>
      <c r="L57" s="74">
        <v>30766.703699999998</v>
      </c>
      <c r="M57" s="74">
        <v>30991.29523</v>
      </c>
      <c r="N57" s="74"/>
      <c r="O57" s="74">
        <v>548291.12202000001</v>
      </c>
      <c r="P57" s="74">
        <v>603213.81808</v>
      </c>
      <c r="Q57" s="74">
        <v>613149.77014000004</v>
      </c>
      <c r="R57" s="100">
        <f t="shared" si="11"/>
        <v>9.9359520600000391</v>
      </c>
      <c r="S57" s="334">
        <v>102763.19241</v>
      </c>
      <c r="T57" s="334">
        <v>96280.146819999994</v>
      </c>
      <c r="U57" s="334">
        <v>113637.44145</v>
      </c>
      <c r="V57" s="75">
        <f t="shared" si="4"/>
        <v>17357.294630000004</v>
      </c>
      <c r="W57" s="76">
        <f t="shared" si="5"/>
        <v>1.1802790627485253</v>
      </c>
      <c r="X57" s="77">
        <f t="shared" si="6"/>
        <v>18.02790627485254</v>
      </c>
      <c r="Y57" s="74">
        <v>96794.774160000001</v>
      </c>
      <c r="Z57" s="74">
        <v>99997.388980000003</v>
      </c>
      <c r="AA57" s="74">
        <v>12358.95407</v>
      </c>
      <c r="AB57" s="74">
        <v>8908.0059999999994</v>
      </c>
      <c r="AC57" s="74">
        <v>107374.44527</v>
      </c>
      <c r="AD57" s="74">
        <v>106919.63047</v>
      </c>
      <c r="AE57" s="74">
        <v>19104.77349</v>
      </c>
      <c r="AF57" s="74">
        <v>14529.112529999999</v>
      </c>
      <c r="AG57" s="74">
        <f t="shared" si="7"/>
        <v>910952.06213000009</v>
      </c>
      <c r="AH57" s="74">
        <f t="shared" si="8"/>
        <v>951650.11093000008</v>
      </c>
      <c r="AI57" s="74">
        <f t="shared" si="9"/>
        <v>127743.87437999999</v>
      </c>
      <c r="AJ57" s="74">
        <f t="shared" si="10"/>
        <v>137074.55997999999</v>
      </c>
    </row>
    <row r="58" spans="1:36" outlineLevel="1" x14ac:dyDescent="0.25">
      <c r="A58" s="64" t="s">
        <v>328</v>
      </c>
      <c r="B58" s="59">
        <v>176776.33405999999</v>
      </c>
      <c r="C58" s="59">
        <v>199681.98457</v>
      </c>
      <c r="D58" s="59">
        <v>208467.91209</v>
      </c>
      <c r="E58" s="59">
        <f t="shared" si="1"/>
        <v>8785.9275199999975</v>
      </c>
      <c r="F58" s="58">
        <f t="shared" si="2"/>
        <v>1.0439996003591401</v>
      </c>
      <c r="G58" s="90">
        <f t="shared" si="3"/>
        <v>17.927500419396353</v>
      </c>
      <c r="H58" s="59">
        <v>12821.636</v>
      </c>
      <c r="I58" s="59">
        <v>8781.9465299999993</v>
      </c>
      <c r="J58" s="59">
        <v>1012.8465</v>
      </c>
      <c r="K58" s="59">
        <v>13122.06277</v>
      </c>
      <c r="L58" s="59">
        <v>7990.0276399999993</v>
      </c>
      <c r="M58" s="59">
        <v>8207.6679600000007</v>
      </c>
      <c r="N58" s="59"/>
      <c r="O58" s="59">
        <v>168525.83915000001</v>
      </c>
      <c r="P58" s="59">
        <v>189166.84287999998</v>
      </c>
      <c r="Q58" s="59">
        <v>183406.99688999998</v>
      </c>
      <c r="R58" s="90">
        <f t="shared" si="11"/>
        <v>-5.7598459900000014</v>
      </c>
      <c r="S58" s="335">
        <v>16572.687809999999</v>
      </c>
      <c r="T58" s="335">
        <v>15437.67056</v>
      </c>
      <c r="U58" s="335">
        <v>20932.928090000001</v>
      </c>
      <c r="V58" s="59">
        <f t="shared" si="4"/>
        <v>5495.2575300000008</v>
      </c>
      <c r="W58" s="58">
        <f t="shared" si="5"/>
        <v>1.3559641662673232</v>
      </c>
      <c r="X58" s="90">
        <f t="shared" si="6"/>
        <v>35.596416626732321</v>
      </c>
      <c r="Y58" s="59">
        <v>27451.20033</v>
      </c>
      <c r="Z58" s="59">
        <v>27451.20033</v>
      </c>
      <c r="AA58" s="59">
        <v>1434.76872</v>
      </c>
      <c r="AB58" s="59">
        <v>1721.7716699999999</v>
      </c>
      <c r="AC58" s="59">
        <v>30586.571739999999</v>
      </c>
      <c r="AD58" s="59">
        <v>30586.571739999999</v>
      </c>
      <c r="AE58" s="59">
        <v>4105.9420600000003</v>
      </c>
      <c r="AF58" s="59">
        <v>2980.7093</v>
      </c>
      <c r="AG58" s="59">
        <f t="shared" si="7"/>
        <v>257719.75663999998</v>
      </c>
      <c r="AH58" s="59">
        <f t="shared" si="8"/>
        <v>266505.68416</v>
      </c>
      <c r="AI58" s="59">
        <f t="shared" si="9"/>
        <v>20978.38134</v>
      </c>
      <c r="AJ58" s="59">
        <f t="shared" si="10"/>
        <v>25635.409059999998</v>
      </c>
    </row>
    <row r="59" spans="1:36" outlineLevel="1" x14ac:dyDescent="0.25">
      <c r="A59" s="65" t="s">
        <v>329</v>
      </c>
      <c r="B59" s="23">
        <v>20504.18519</v>
      </c>
      <c r="C59" s="23">
        <v>22664.569210000001</v>
      </c>
      <c r="D59" s="23">
        <v>20981.610820000002</v>
      </c>
      <c r="E59" s="23">
        <f t="shared" si="1"/>
        <v>-1682.9583899999998</v>
      </c>
      <c r="F59" s="24">
        <f t="shared" si="2"/>
        <v>0.92574496455650923</v>
      </c>
      <c r="G59" s="82">
        <f t="shared" si="3"/>
        <v>2.3284301501180522</v>
      </c>
      <c r="H59" s="23">
        <v>1761.7950900000001</v>
      </c>
      <c r="I59" s="23">
        <v>2517.5518199999997</v>
      </c>
      <c r="J59" s="23">
        <v>1439.3118999999999</v>
      </c>
      <c r="K59" s="23">
        <v>1717.43136</v>
      </c>
      <c r="L59" s="23">
        <v>918.36793999999998</v>
      </c>
      <c r="M59" s="23">
        <v>918.36793999999998</v>
      </c>
      <c r="N59" s="23"/>
      <c r="O59" s="23">
        <v>22796.7709</v>
      </c>
      <c r="P59" s="23">
        <v>23974.215329999999</v>
      </c>
      <c r="Q59" s="23">
        <v>22281.773289999997</v>
      </c>
      <c r="R59" s="82">
        <f t="shared" si="11"/>
        <v>-1.6924420400000018</v>
      </c>
      <c r="S59" s="336">
        <v>-452.35503000000006</v>
      </c>
      <c r="T59" s="336">
        <v>966.32456000000002</v>
      </c>
      <c r="U59" s="336">
        <v>180.21482999999998</v>
      </c>
      <c r="V59" s="23">
        <f t="shared" si="4"/>
        <v>-786.10973000000001</v>
      </c>
      <c r="W59" s="24">
        <f t="shared" si="5"/>
        <v>0.18649513575438875</v>
      </c>
      <c r="X59" s="82">
        <f t="shared" si="6"/>
        <v>-81.350486424561126</v>
      </c>
      <c r="Y59" s="23">
        <v>3091.5417599999996</v>
      </c>
      <c r="Z59" s="23">
        <v>2787.9670000000001</v>
      </c>
      <c r="AA59" s="23">
        <v>194.90164000000001</v>
      </c>
      <c r="AB59" s="23">
        <v>15.24386</v>
      </c>
      <c r="AC59" s="23">
        <v>3331.9737500000001</v>
      </c>
      <c r="AD59" s="23">
        <v>3166</v>
      </c>
      <c r="AE59" s="23">
        <v>79.180859999999996</v>
      </c>
      <c r="AF59" s="23">
        <v>113.32414</v>
      </c>
      <c r="AG59" s="23">
        <f t="shared" si="7"/>
        <v>29088.084720000003</v>
      </c>
      <c r="AH59" s="23">
        <f t="shared" si="8"/>
        <v>26935.577820000002</v>
      </c>
      <c r="AI59" s="23">
        <f t="shared" si="9"/>
        <v>1240.40706</v>
      </c>
      <c r="AJ59" s="23">
        <f t="shared" si="10"/>
        <v>308.78282999999999</v>
      </c>
    </row>
    <row r="60" spans="1:36" outlineLevel="1" x14ac:dyDescent="0.25">
      <c r="A60" s="65" t="s">
        <v>330</v>
      </c>
      <c r="B60" s="23">
        <v>28853.497420000003</v>
      </c>
      <c r="C60" s="23">
        <v>30300.585239999997</v>
      </c>
      <c r="D60" s="23">
        <v>29106.649699999998</v>
      </c>
      <c r="E60" s="23">
        <f t="shared" si="1"/>
        <v>-1193.9355399999986</v>
      </c>
      <c r="F60" s="24">
        <f t="shared" si="2"/>
        <v>0.96059694786278005</v>
      </c>
      <c r="G60" s="82">
        <f t="shared" si="3"/>
        <v>0.8773712119367616</v>
      </c>
      <c r="H60" s="23">
        <v>-0.40055000000000002</v>
      </c>
      <c r="I60" s="23">
        <v>74.929539999999989</v>
      </c>
      <c r="J60" s="23">
        <v>182.25345000000002</v>
      </c>
      <c r="K60" s="23">
        <v>1556.6928500000001</v>
      </c>
      <c r="L60" s="23">
        <v>640.35897</v>
      </c>
      <c r="M60" s="23">
        <v>540.58066000000008</v>
      </c>
      <c r="N60" s="23"/>
      <c r="O60" s="23">
        <v>20641.42294</v>
      </c>
      <c r="P60" s="23">
        <v>21238.28369</v>
      </c>
      <c r="Q60" s="23">
        <v>20575.480600000003</v>
      </c>
      <c r="R60" s="82">
        <f t="shared" si="11"/>
        <v>-0.6628030899999976</v>
      </c>
      <c r="S60" s="336">
        <v>6574.1267500000004</v>
      </c>
      <c r="T60" s="336">
        <v>7309.7837300000001</v>
      </c>
      <c r="U60" s="336">
        <v>6975.9631600000002</v>
      </c>
      <c r="V60" s="23">
        <f t="shared" si="4"/>
        <v>-333.82056999999986</v>
      </c>
      <c r="W60" s="24">
        <f t="shared" si="5"/>
        <v>0.95433236025438473</v>
      </c>
      <c r="X60" s="82">
        <f t="shared" si="6"/>
        <v>-4.5667639745615247</v>
      </c>
      <c r="Y60" s="23">
        <v>4439.0939600000002</v>
      </c>
      <c r="Z60" s="23">
        <v>4109.8022599999995</v>
      </c>
      <c r="AA60" s="23">
        <v>1138.6018200000001</v>
      </c>
      <c r="AB60" s="23">
        <v>1107.06755</v>
      </c>
      <c r="AC60" s="23">
        <v>5102.6690499999995</v>
      </c>
      <c r="AD60" s="23">
        <v>5102.6690499999995</v>
      </c>
      <c r="AE60" s="23">
        <v>1541.78232</v>
      </c>
      <c r="AF60" s="23">
        <v>1542.0193100000001</v>
      </c>
      <c r="AG60" s="23">
        <f t="shared" si="7"/>
        <v>39842.348249999995</v>
      </c>
      <c r="AH60" s="23">
        <f t="shared" si="8"/>
        <v>38319.121009999995</v>
      </c>
      <c r="AI60" s="23">
        <f t="shared" si="9"/>
        <v>9990.1678700000011</v>
      </c>
      <c r="AJ60" s="23">
        <f t="shared" si="10"/>
        <v>9625.0500200000006</v>
      </c>
    </row>
    <row r="61" spans="1:36" outlineLevel="1" x14ac:dyDescent="0.25">
      <c r="A61" s="65" t="s">
        <v>331</v>
      </c>
      <c r="B61" s="23">
        <v>35849.505799999999</v>
      </c>
      <c r="C61" s="23">
        <v>35506.672829999996</v>
      </c>
      <c r="D61" s="23">
        <v>36946.061229999999</v>
      </c>
      <c r="E61" s="23">
        <f t="shared" si="1"/>
        <v>1439.3884000000035</v>
      </c>
      <c r="F61" s="24">
        <f t="shared" si="2"/>
        <v>1.0405385322046803</v>
      </c>
      <c r="G61" s="82">
        <f t="shared" si="3"/>
        <v>3.0587741881786314</v>
      </c>
      <c r="H61" s="23">
        <v>1208.3958300000002</v>
      </c>
      <c r="I61" s="23">
        <v>692.44938000000002</v>
      </c>
      <c r="J61" s="23">
        <v>906.65031999999997</v>
      </c>
      <c r="K61" s="23">
        <v>1909.3347800000001</v>
      </c>
      <c r="L61" s="23">
        <v>1526.0728700000002</v>
      </c>
      <c r="M61" s="23">
        <v>1565.80654</v>
      </c>
      <c r="N61" s="23"/>
      <c r="O61" s="23">
        <v>28843.9961</v>
      </c>
      <c r="P61" s="23">
        <v>29380.049070000001</v>
      </c>
      <c r="Q61" s="23">
        <v>31133.069950000001</v>
      </c>
      <c r="R61" s="82">
        <f t="shared" si="11"/>
        <v>1.75302088</v>
      </c>
      <c r="S61" s="336">
        <v>6514.8774899999999</v>
      </c>
      <c r="T61" s="336">
        <v>5455.2585199999994</v>
      </c>
      <c r="U61" s="336">
        <v>5430.8607099999999</v>
      </c>
      <c r="V61" s="23">
        <f t="shared" si="4"/>
        <v>-24.397809999999481</v>
      </c>
      <c r="W61" s="24">
        <f t="shared" si="5"/>
        <v>0.99552765283064903</v>
      </c>
      <c r="X61" s="82">
        <f t="shared" si="6"/>
        <v>-0.44723471693509964</v>
      </c>
      <c r="Y61" s="23">
        <v>4549.5236299999997</v>
      </c>
      <c r="Z61" s="23">
        <v>4687</v>
      </c>
      <c r="AA61" s="23">
        <v>479.99626000000001</v>
      </c>
      <c r="AB61" s="23">
        <v>478.65717000000001</v>
      </c>
      <c r="AC61" s="23">
        <v>5579.4462000000003</v>
      </c>
      <c r="AD61" s="23">
        <v>5021</v>
      </c>
      <c r="AE61" s="23">
        <v>1195.68334</v>
      </c>
      <c r="AF61" s="23">
        <v>409.11590000000001</v>
      </c>
      <c r="AG61" s="23">
        <f t="shared" si="7"/>
        <v>45635.64265999999</v>
      </c>
      <c r="AH61" s="23">
        <f t="shared" si="8"/>
        <v>46654.061229999999</v>
      </c>
      <c r="AI61" s="23">
        <f t="shared" si="9"/>
        <v>7130.9381199999989</v>
      </c>
      <c r="AJ61" s="23">
        <f t="shared" si="10"/>
        <v>6318.6337800000001</v>
      </c>
    </row>
    <row r="62" spans="1:36" outlineLevel="1" x14ac:dyDescent="0.25">
      <c r="A62" s="65" t="s">
        <v>332</v>
      </c>
      <c r="B62" s="23">
        <v>176831.88503</v>
      </c>
      <c r="C62" s="23">
        <v>192768.704</v>
      </c>
      <c r="D62" s="23">
        <v>202315.43202000001</v>
      </c>
      <c r="E62" s="23">
        <f t="shared" si="1"/>
        <v>9546.7280200000096</v>
      </c>
      <c r="F62" s="24">
        <f t="shared" si="2"/>
        <v>1.0495242631293511</v>
      </c>
      <c r="G62" s="82">
        <f t="shared" si="3"/>
        <v>14.411171936371446</v>
      </c>
      <c r="H62" s="23">
        <v>2606.5885800000001</v>
      </c>
      <c r="I62" s="23">
        <v>984.20958999999993</v>
      </c>
      <c r="J62" s="23">
        <v>-270.01790999999997</v>
      </c>
      <c r="K62" s="23">
        <v>15342.4506</v>
      </c>
      <c r="L62" s="23">
        <v>14265.88824</v>
      </c>
      <c r="M62" s="23">
        <v>14365.501279999999</v>
      </c>
      <c r="N62" s="23"/>
      <c r="O62" s="23">
        <v>126573.66419</v>
      </c>
      <c r="P62" s="23">
        <v>138213.57431999999</v>
      </c>
      <c r="Q62" s="23">
        <v>141705.44515000001</v>
      </c>
      <c r="R62" s="82">
        <f t="shared" si="11"/>
        <v>3.4918708300000287</v>
      </c>
      <c r="S62" s="336">
        <v>49726.848619999997</v>
      </c>
      <c r="T62" s="336">
        <v>44431.471409999998</v>
      </c>
      <c r="U62" s="336">
        <v>48989.005720000001</v>
      </c>
      <c r="V62" s="23">
        <f t="shared" si="4"/>
        <v>4557.5343100000027</v>
      </c>
      <c r="W62" s="24">
        <f t="shared" si="5"/>
        <v>1.1025744627708696</v>
      </c>
      <c r="X62" s="82">
        <f t="shared" si="6"/>
        <v>10.257446277086956</v>
      </c>
      <c r="Y62" s="23">
        <v>27675.793000000001</v>
      </c>
      <c r="Z62" s="23">
        <v>29137.109</v>
      </c>
      <c r="AA62" s="23">
        <v>7102.7424299999993</v>
      </c>
      <c r="AB62" s="23">
        <v>4363.4552000000003</v>
      </c>
      <c r="AC62" s="23">
        <v>29401.505000000001</v>
      </c>
      <c r="AD62" s="23">
        <v>29631</v>
      </c>
      <c r="AE62" s="23">
        <v>7760.2072500000004</v>
      </c>
      <c r="AF62" s="23">
        <v>7786.06</v>
      </c>
      <c r="AG62" s="23">
        <f t="shared" si="7"/>
        <v>249846.00200000001</v>
      </c>
      <c r="AH62" s="23">
        <f t="shared" si="8"/>
        <v>261083.54102</v>
      </c>
      <c r="AI62" s="23">
        <f t="shared" si="9"/>
        <v>59294.421089999996</v>
      </c>
      <c r="AJ62" s="23">
        <f t="shared" si="10"/>
        <v>61138.520919999995</v>
      </c>
    </row>
    <row r="63" spans="1:36" outlineLevel="1" x14ac:dyDescent="0.25">
      <c r="A63" s="65" t="s">
        <v>333</v>
      </c>
      <c r="B63" s="23">
        <v>18378.927889999999</v>
      </c>
      <c r="C63" s="23">
        <v>19156.293010000001</v>
      </c>
      <c r="D63" s="23">
        <v>18423.898579999997</v>
      </c>
      <c r="E63" s="23">
        <f t="shared" si="1"/>
        <v>-732.39443000000392</v>
      </c>
      <c r="F63" s="24">
        <f t="shared" si="2"/>
        <v>0.96176742391559378</v>
      </c>
      <c r="G63" s="82">
        <f t="shared" si="3"/>
        <v>0.24468614420358392</v>
      </c>
      <c r="H63" s="23">
        <v>523.90935999999999</v>
      </c>
      <c r="I63" s="23">
        <v>1500.7211100000002</v>
      </c>
      <c r="J63" s="23">
        <v>672.48644999999999</v>
      </c>
      <c r="K63" s="23">
        <v>509.53399000000002</v>
      </c>
      <c r="L63" s="23">
        <v>413.60865000000001</v>
      </c>
      <c r="M63" s="23">
        <v>413.33334000000002</v>
      </c>
      <c r="N63" s="23"/>
      <c r="O63" s="23">
        <v>18203.55991</v>
      </c>
      <c r="P63" s="23">
        <v>19387.59635</v>
      </c>
      <c r="Q63" s="23">
        <v>18630.74613</v>
      </c>
      <c r="R63" s="82">
        <f t="shared" si="11"/>
        <v>-0.75685022000000024</v>
      </c>
      <c r="S63" s="336">
        <v>504.83843999999999</v>
      </c>
      <c r="T63" s="336">
        <v>1015.5341999999999</v>
      </c>
      <c r="U63" s="336">
        <v>370.75972999999999</v>
      </c>
      <c r="V63" s="23">
        <f t="shared" si="4"/>
        <v>-644.77446999999995</v>
      </c>
      <c r="W63" s="24">
        <f t="shared" si="5"/>
        <v>0.36508837417784651</v>
      </c>
      <c r="X63" s="82">
        <f t="shared" si="6"/>
        <v>-63.491162582215352</v>
      </c>
      <c r="Y63" s="23">
        <v>2663.51</v>
      </c>
      <c r="Z63" s="23">
        <v>2677.8817799999997</v>
      </c>
      <c r="AA63" s="23">
        <v>189.85410999999999</v>
      </c>
      <c r="AB63" s="23">
        <v>97.171139999999994</v>
      </c>
      <c r="AC63" s="23">
        <v>2804.194</v>
      </c>
      <c r="AD63" s="23">
        <v>2844.3041499999999</v>
      </c>
      <c r="AE63" s="23">
        <v>136.71173999999999</v>
      </c>
      <c r="AF63" s="23">
        <v>67.812149999999988</v>
      </c>
      <c r="AG63" s="23">
        <f t="shared" si="7"/>
        <v>24623.997010000003</v>
      </c>
      <c r="AH63" s="23">
        <f t="shared" si="8"/>
        <v>23946.084509999997</v>
      </c>
      <c r="AI63" s="23">
        <f t="shared" si="9"/>
        <v>1342.1000499999998</v>
      </c>
      <c r="AJ63" s="23">
        <f t="shared" si="10"/>
        <v>535.74302</v>
      </c>
    </row>
    <row r="64" spans="1:36" outlineLevel="1" x14ac:dyDescent="0.25">
      <c r="A64" s="65" t="s">
        <v>334</v>
      </c>
      <c r="B64" s="23">
        <v>71081.333060000004</v>
      </c>
      <c r="C64" s="23">
        <v>76509.259000000005</v>
      </c>
      <c r="D64" s="23">
        <v>73128.73878</v>
      </c>
      <c r="E64" s="23">
        <f t="shared" si="1"/>
        <v>-3380.5202200000058</v>
      </c>
      <c r="F64" s="24">
        <f t="shared" si="2"/>
        <v>0.955815540966094</v>
      </c>
      <c r="G64" s="82">
        <f t="shared" si="3"/>
        <v>2.8803704599515356</v>
      </c>
      <c r="H64" s="23">
        <v>2313.6454199999998</v>
      </c>
      <c r="I64" s="23">
        <v>2118.8222299999998</v>
      </c>
      <c r="J64" s="23">
        <v>4417.13645</v>
      </c>
      <c r="K64" s="23">
        <v>4531.62374</v>
      </c>
      <c r="L64" s="23">
        <v>1434.08222</v>
      </c>
      <c r="M64" s="23">
        <v>1467.64402</v>
      </c>
      <c r="N64" s="23"/>
      <c r="O64" s="23">
        <v>70109.672409999999</v>
      </c>
      <c r="P64" s="23">
        <v>72118.77996</v>
      </c>
      <c r="Q64" s="23">
        <v>69186.891090000005</v>
      </c>
      <c r="R64" s="82">
        <f t="shared" si="11"/>
        <v>-2.9318888699999954</v>
      </c>
      <c r="S64" s="336">
        <v>2880.1900099999998</v>
      </c>
      <c r="T64" s="336">
        <v>5222.0682699999998</v>
      </c>
      <c r="U64" s="336">
        <v>6669.2641299999996</v>
      </c>
      <c r="V64" s="23">
        <f t="shared" si="4"/>
        <v>1447.1958599999998</v>
      </c>
      <c r="W64" s="24">
        <f t="shared" si="5"/>
        <v>1.2771307813637602</v>
      </c>
      <c r="X64" s="82">
        <f t="shared" si="6"/>
        <v>27.713078136376026</v>
      </c>
      <c r="Y64" s="23">
        <v>11036.112999999999</v>
      </c>
      <c r="Z64" s="23">
        <v>10035.50261</v>
      </c>
      <c r="AA64" s="23">
        <v>827.32884999999999</v>
      </c>
      <c r="AB64" s="23">
        <v>54.092160000000007</v>
      </c>
      <c r="AC64" s="23">
        <v>11596.323</v>
      </c>
      <c r="AD64" s="23">
        <v>11596.323</v>
      </c>
      <c r="AE64" s="23">
        <v>1146.6178799999998</v>
      </c>
      <c r="AF64" s="23">
        <v>56.876139999999999</v>
      </c>
      <c r="AG64" s="23">
        <f t="shared" si="7"/>
        <v>99141.695000000007</v>
      </c>
      <c r="AH64" s="23">
        <f t="shared" si="8"/>
        <v>94760.56439</v>
      </c>
      <c r="AI64" s="23">
        <f t="shared" si="9"/>
        <v>7196.0149999999994</v>
      </c>
      <c r="AJ64" s="23">
        <f t="shared" si="10"/>
        <v>6780.23243</v>
      </c>
    </row>
    <row r="65" spans="1:36" outlineLevel="1" x14ac:dyDescent="0.25">
      <c r="A65" s="65" t="s">
        <v>335</v>
      </c>
      <c r="B65" s="23">
        <v>52559.12444</v>
      </c>
      <c r="C65" s="23">
        <v>56348.818500000001</v>
      </c>
      <c r="D65" s="23">
        <v>76423.371680000011</v>
      </c>
      <c r="E65" s="23">
        <f t="shared" si="1"/>
        <v>20074.55318000001</v>
      </c>
      <c r="F65" s="24">
        <f t="shared" si="2"/>
        <v>1.3562550859872955</v>
      </c>
      <c r="G65" s="82">
        <f t="shared" si="3"/>
        <v>45.404575312594403</v>
      </c>
      <c r="H65" s="23">
        <v>-2773.0041099999999</v>
      </c>
      <c r="I65" s="23">
        <v>-773.70803999999998</v>
      </c>
      <c r="J65" s="23">
        <v>38.410330000000002</v>
      </c>
      <c r="K65" s="23">
        <v>2672.6064200000001</v>
      </c>
      <c r="L65" s="23">
        <v>979.49793</v>
      </c>
      <c r="M65" s="23">
        <v>979.19203000000005</v>
      </c>
      <c r="N65" s="23"/>
      <c r="O65" s="23">
        <v>43592.762490000001</v>
      </c>
      <c r="P65" s="23">
        <v>49684.21243</v>
      </c>
      <c r="Q65" s="23">
        <v>66222.874240000005</v>
      </c>
      <c r="R65" s="82">
        <f t="shared" si="11"/>
        <v>16.538661810000004</v>
      </c>
      <c r="S65" s="336">
        <v>4991.34861</v>
      </c>
      <c r="T65" s="336">
        <v>4712.7184699999998</v>
      </c>
      <c r="U65" s="336">
        <v>8351.6076799999992</v>
      </c>
      <c r="V65" s="23">
        <f t="shared" si="4"/>
        <v>3638.8892099999994</v>
      </c>
      <c r="W65" s="24">
        <f t="shared" si="5"/>
        <v>1.772142285427035</v>
      </c>
      <c r="X65" s="82">
        <f t="shared" si="6"/>
        <v>77.214228542703495</v>
      </c>
      <c r="Y65" s="23">
        <v>6777.0724800000007</v>
      </c>
      <c r="Z65" s="23">
        <v>10000</v>
      </c>
      <c r="AA65" s="23">
        <v>281.79930000000002</v>
      </c>
      <c r="AB65" s="23">
        <v>494.52572999999995</v>
      </c>
      <c r="AC65" s="23">
        <v>8259.9965300000003</v>
      </c>
      <c r="AD65" s="23">
        <v>8259.9965300000003</v>
      </c>
      <c r="AE65" s="23">
        <v>811.11073999999996</v>
      </c>
      <c r="AF65" s="23">
        <v>11.23968</v>
      </c>
      <c r="AG65" s="23">
        <f t="shared" si="7"/>
        <v>71385.88751</v>
      </c>
      <c r="AH65" s="23">
        <f t="shared" si="8"/>
        <v>94683.368210000015</v>
      </c>
      <c r="AI65" s="23">
        <f t="shared" si="9"/>
        <v>5805.6285099999996</v>
      </c>
      <c r="AJ65" s="23">
        <f t="shared" si="10"/>
        <v>8857.3730899999991</v>
      </c>
    </row>
    <row r="66" spans="1:36" ht="15.75" outlineLevel="1" thickBot="1" x14ac:dyDescent="0.3">
      <c r="A66" s="66" t="s">
        <v>336</v>
      </c>
      <c r="B66" s="72">
        <v>67687.734799999991</v>
      </c>
      <c r="C66" s="72">
        <v>73845.956340000004</v>
      </c>
      <c r="D66" s="72">
        <v>78939.416580000005</v>
      </c>
      <c r="E66" s="72">
        <f t="shared" si="1"/>
        <v>5093.4602400000003</v>
      </c>
      <c r="F66" s="73">
        <f t="shared" si="2"/>
        <v>1.0689741252256089</v>
      </c>
      <c r="G66" s="92">
        <f t="shared" si="3"/>
        <v>16.622925576171028</v>
      </c>
      <c r="H66" s="72">
        <v>643.12873000000002</v>
      </c>
      <c r="I66" s="72">
        <v>865.95501999999999</v>
      </c>
      <c r="J66" s="72">
        <v>694.95368999999994</v>
      </c>
      <c r="K66" s="72">
        <v>2447.45694</v>
      </c>
      <c r="L66" s="72">
        <v>2598.7992400000003</v>
      </c>
      <c r="M66" s="72">
        <v>2533.2014599999998</v>
      </c>
      <c r="N66" s="72"/>
      <c r="O66" s="72">
        <v>49003.433929999999</v>
      </c>
      <c r="P66" s="72">
        <v>60050.264049999998</v>
      </c>
      <c r="Q66" s="72">
        <v>60006.4928</v>
      </c>
      <c r="R66" s="92">
        <f t="shared" si="11"/>
        <v>-4.3771249999997965E-2</v>
      </c>
      <c r="S66" s="333">
        <v>15450.629710000001</v>
      </c>
      <c r="T66" s="333">
        <v>11729.3171</v>
      </c>
      <c r="U66" s="333">
        <v>15736.8374</v>
      </c>
      <c r="V66" s="72">
        <f t="shared" si="4"/>
        <v>4007.5203000000001</v>
      </c>
      <c r="W66" s="73">
        <f t="shared" si="5"/>
        <v>1.3416669756502704</v>
      </c>
      <c r="X66" s="92">
        <f t="shared" si="6"/>
        <v>34.16669756502705</v>
      </c>
      <c r="Y66" s="72">
        <v>9110.9259999999995</v>
      </c>
      <c r="Z66" s="72">
        <v>9110.9259999999995</v>
      </c>
      <c r="AA66" s="72">
        <v>708.96093999999994</v>
      </c>
      <c r="AB66" s="72">
        <v>576.02152000000001</v>
      </c>
      <c r="AC66" s="72">
        <v>10711.766</v>
      </c>
      <c r="AD66" s="72">
        <v>10711.766</v>
      </c>
      <c r="AE66" s="72">
        <v>2327.5373</v>
      </c>
      <c r="AF66" s="72">
        <v>1561.9559099999999</v>
      </c>
      <c r="AG66" s="72">
        <f t="shared" si="7"/>
        <v>93668.648340000014</v>
      </c>
      <c r="AH66" s="72">
        <f t="shared" si="8"/>
        <v>98762.10858</v>
      </c>
      <c r="AI66" s="72">
        <f t="shared" si="9"/>
        <v>14765.815340000001</v>
      </c>
      <c r="AJ66" s="72">
        <f t="shared" si="10"/>
        <v>17874.814829999999</v>
      </c>
    </row>
    <row r="67" spans="1:36" ht="15.75" thickBot="1" x14ac:dyDescent="0.3">
      <c r="A67" s="61" t="s">
        <v>337</v>
      </c>
      <c r="B67" s="74">
        <v>563751.70570000005</v>
      </c>
      <c r="C67" s="74">
        <v>601620.10514999996</v>
      </c>
      <c r="D67" s="74">
        <v>570520.16610999999</v>
      </c>
      <c r="E67" s="75">
        <f t="shared" si="1"/>
        <v>-31099.939039999968</v>
      </c>
      <c r="F67" s="76">
        <f t="shared" si="2"/>
        <v>0.94830635018049148</v>
      </c>
      <c r="G67" s="77">
        <f t="shared" si="3"/>
        <v>1.2006101873511312</v>
      </c>
      <c r="H67" s="74">
        <v>5608.20903</v>
      </c>
      <c r="I67" s="74">
        <v>4902.4729600000001</v>
      </c>
      <c r="J67" s="74">
        <v>1033.30303</v>
      </c>
      <c r="K67" s="74">
        <v>35005.766280000003</v>
      </c>
      <c r="L67" s="74">
        <v>29966.481540000001</v>
      </c>
      <c r="M67" s="74">
        <v>29015.19499</v>
      </c>
      <c r="N67" s="74"/>
      <c r="O67" s="74">
        <v>553970.04579</v>
      </c>
      <c r="P67" s="74">
        <v>591783.65197000001</v>
      </c>
      <c r="Q67" s="74">
        <v>573203.44053000002</v>
      </c>
      <c r="R67" s="100">
        <f t="shared" si="11"/>
        <v>-18.580211439999985</v>
      </c>
      <c r="S67" s="334">
        <v>12306.831749999999</v>
      </c>
      <c r="T67" s="334">
        <v>11421.419959999999</v>
      </c>
      <c r="U67" s="334">
        <v>-1338.0232699999999</v>
      </c>
      <c r="V67" s="75">
        <f t="shared" si="4"/>
        <v>-12759.443229999999</v>
      </c>
      <c r="W67" s="76">
        <f t="shared" si="5"/>
        <v>-0.11715034336238521</v>
      </c>
      <c r="X67" s="90">
        <f t="shared" ref="X67:X72" si="12">(U67/T67*100-100)*-1</f>
        <v>111.71503433623852</v>
      </c>
      <c r="Y67" s="74">
        <v>82882.051390000008</v>
      </c>
      <c r="Z67" s="74">
        <v>74795.06753</v>
      </c>
      <c r="AA67" s="74">
        <v>67.697419999999994</v>
      </c>
      <c r="AB67" s="74">
        <v>-2849.9001899999998</v>
      </c>
      <c r="AC67" s="74">
        <v>99333.925959999993</v>
      </c>
      <c r="AD67" s="74">
        <v>93307.02953</v>
      </c>
      <c r="AE67" s="74">
        <v>10665.997429999999</v>
      </c>
      <c r="AF67" s="74">
        <v>8878.4918300000008</v>
      </c>
      <c r="AG67" s="74">
        <f t="shared" si="7"/>
        <v>783836.08250000002</v>
      </c>
      <c r="AH67" s="74">
        <f t="shared" si="8"/>
        <v>738622.26316999993</v>
      </c>
      <c r="AI67" s="74">
        <f t="shared" si="9"/>
        <v>22155.114809999999</v>
      </c>
      <c r="AJ67" s="74">
        <f t="shared" si="10"/>
        <v>4690.5683700000009</v>
      </c>
    </row>
    <row r="68" spans="1:36" outlineLevel="1" x14ac:dyDescent="0.25">
      <c r="A68" s="64" t="s">
        <v>338</v>
      </c>
      <c r="B68" s="59">
        <v>112646.27195000001</v>
      </c>
      <c r="C68" s="59">
        <v>114461.34</v>
      </c>
      <c r="D68" s="59">
        <v>109371.73556</v>
      </c>
      <c r="E68" s="59">
        <f t="shared" si="1"/>
        <v>-5089.6044399999955</v>
      </c>
      <c r="F68" s="58">
        <f t="shared" si="2"/>
        <v>0.95553429271402912</v>
      </c>
      <c r="G68" s="90">
        <f t="shared" si="3"/>
        <v>-2.9069194508749234</v>
      </c>
      <c r="H68" s="59">
        <v>239.18446</v>
      </c>
      <c r="I68" s="59">
        <v>-602.08897000000002</v>
      </c>
      <c r="J68" s="59">
        <v>4050.7760699999999</v>
      </c>
      <c r="K68" s="59">
        <v>10130.471150000001</v>
      </c>
      <c r="L68" s="59">
        <v>7311.9141200000004</v>
      </c>
      <c r="M68" s="59">
        <v>7228.7212800000007</v>
      </c>
      <c r="N68" s="59"/>
      <c r="O68" s="59">
        <v>116355.82484999999</v>
      </c>
      <c r="P68" s="59">
        <v>119719.41876999999</v>
      </c>
      <c r="Q68" s="59">
        <v>115258.48233</v>
      </c>
      <c r="R68" s="90">
        <f t="shared" si="11"/>
        <v>-4.4609364399999905</v>
      </c>
      <c r="S68" s="335">
        <v>-2306.6869900000002</v>
      </c>
      <c r="T68" s="335">
        <v>-4688.1341199999997</v>
      </c>
      <c r="U68" s="335">
        <v>-1906.4026899999999</v>
      </c>
      <c r="V68" s="59">
        <f t="shared" si="4"/>
        <v>2781.7314299999998</v>
      </c>
      <c r="W68" s="58">
        <f t="shared" si="5"/>
        <v>0.40664423013563444</v>
      </c>
      <c r="X68" s="90">
        <f t="shared" si="12"/>
        <v>59.335576986436557</v>
      </c>
      <c r="Y68" s="59">
        <v>15240.726000000001</v>
      </c>
      <c r="Z68" s="59">
        <v>14008.352999999999</v>
      </c>
      <c r="AA68" s="59">
        <v>-1546.9338500000001</v>
      </c>
      <c r="AB68" s="59">
        <v>-920.47050000000002</v>
      </c>
      <c r="AC68" s="59">
        <v>17395.432000000001</v>
      </c>
      <c r="AD68" s="59">
        <v>16628.352999999999</v>
      </c>
      <c r="AE68" s="59">
        <v>-41.482939999999999</v>
      </c>
      <c r="AF68" s="59">
        <v>500.39096000000001</v>
      </c>
      <c r="AG68" s="59">
        <f t="shared" si="7"/>
        <v>147097.49799999999</v>
      </c>
      <c r="AH68" s="59">
        <f t="shared" si="8"/>
        <v>140008.44156000001</v>
      </c>
      <c r="AI68" s="59">
        <f t="shared" si="9"/>
        <v>-6276.5509099999999</v>
      </c>
      <c r="AJ68" s="59">
        <f t="shared" si="10"/>
        <v>-2326.4822299999996</v>
      </c>
    </row>
    <row r="69" spans="1:36" outlineLevel="1" x14ac:dyDescent="0.25">
      <c r="A69" s="65" t="s">
        <v>339</v>
      </c>
      <c r="B69" s="23">
        <v>33906.802200000006</v>
      </c>
      <c r="C69" s="23">
        <v>39355.309930000003</v>
      </c>
      <c r="D69" s="23">
        <v>35306.832729999995</v>
      </c>
      <c r="E69" s="23">
        <f t="shared" si="1"/>
        <v>-4048.4772000000085</v>
      </c>
      <c r="F69" s="24">
        <f t="shared" si="2"/>
        <v>0.8971300897591481</v>
      </c>
      <c r="G69" s="82">
        <f t="shared" si="3"/>
        <v>4.1290550543276794</v>
      </c>
      <c r="H69" s="23">
        <v>558.10824000000002</v>
      </c>
      <c r="I69" s="23">
        <v>503.20256000000001</v>
      </c>
      <c r="J69" s="23">
        <v>875.4214300000001</v>
      </c>
      <c r="K69" s="23">
        <v>2813.4220299999997</v>
      </c>
      <c r="L69" s="23">
        <v>1968.46092</v>
      </c>
      <c r="M69" s="23">
        <v>1886.1855500000001</v>
      </c>
      <c r="N69" s="23"/>
      <c r="O69" s="23">
        <v>36406.495670000004</v>
      </c>
      <c r="P69" s="23">
        <v>41226.757359999996</v>
      </c>
      <c r="Q69" s="23">
        <v>37986.995840000003</v>
      </c>
      <c r="R69" s="82">
        <f t="shared" si="11"/>
        <v>-3.239761519999993</v>
      </c>
      <c r="S69" s="336">
        <v>-1555.7171899999998</v>
      </c>
      <c r="T69" s="336">
        <v>-1094.5959599999999</v>
      </c>
      <c r="U69" s="336">
        <v>-1465.8292200000001</v>
      </c>
      <c r="V69" s="23">
        <f t="shared" si="4"/>
        <v>-371.2332600000002</v>
      </c>
      <c r="W69" s="24">
        <f t="shared" si="5"/>
        <v>1.3391509502739261</v>
      </c>
      <c r="X69" s="90">
        <f t="shared" si="12"/>
        <v>-33.915095027392596</v>
      </c>
      <c r="Y69" s="23">
        <v>5107.3299900000002</v>
      </c>
      <c r="Z69" s="23">
        <v>4900</v>
      </c>
      <c r="AA69" s="23">
        <v>-72.184339999999992</v>
      </c>
      <c r="AB69" s="23">
        <v>-209.65199999999999</v>
      </c>
      <c r="AC69" s="23">
        <v>6607.3300099999997</v>
      </c>
      <c r="AD69" s="23">
        <v>6000</v>
      </c>
      <c r="AE69" s="23">
        <v>972.92994999999996</v>
      </c>
      <c r="AF69" s="23">
        <v>953.3048</v>
      </c>
      <c r="AG69" s="23">
        <f t="shared" si="7"/>
        <v>51069.969929999999</v>
      </c>
      <c r="AH69" s="23">
        <f t="shared" si="8"/>
        <v>46206.832729999995</v>
      </c>
      <c r="AI69" s="23">
        <f t="shared" si="9"/>
        <v>-193.85034999999993</v>
      </c>
      <c r="AJ69" s="23">
        <f t="shared" si="10"/>
        <v>-722.17642000000012</v>
      </c>
    </row>
    <row r="70" spans="1:36" outlineLevel="1" x14ac:dyDescent="0.25">
      <c r="A70" s="65" t="s">
        <v>340</v>
      </c>
      <c r="B70" s="23">
        <v>65159.335270000003</v>
      </c>
      <c r="C70" s="23">
        <v>61670.39</v>
      </c>
      <c r="D70" s="23">
        <v>54861.026130000006</v>
      </c>
      <c r="E70" s="23">
        <f t="shared" si="1"/>
        <v>-6809.3638699999938</v>
      </c>
      <c r="F70" s="24">
        <f t="shared" si="2"/>
        <v>0.88958454989501456</v>
      </c>
      <c r="G70" s="82">
        <f t="shared" si="3"/>
        <v>-15.804810005085244</v>
      </c>
      <c r="H70" s="23">
        <v>-1137.77649</v>
      </c>
      <c r="I70" s="23">
        <v>-544.06567000000007</v>
      </c>
      <c r="J70" s="23">
        <v>-424.72904</v>
      </c>
      <c r="K70" s="23">
        <v>2510.1559999999999</v>
      </c>
      <c r="L70" s="23">
        <v>3902.0582100000001</v>
      </c>
      <c r="M70" s="23">
        <v>3368.0953799999997</v>
      </c>
      <c r="N70" s="23"/>
      <c r="O70" s="23">
        <v>58792.315459999998</v>
      </c>
      <c r="P70" s="23">
        <v>59565.355109999997</v>
      </c>
      <c r="Q70" s="23">
        <v>56046.378530000002</v>
      </c>
      <c r="R70" s="82">
        <f t="shared" si="11"/>
        <v>-3.518976579999995</v>
      </c>
      <c r="S70" s="336">
        <v>4092.4029100000002</v>
      </c>
      <c r="T70" s="336">
        <v>1248.7753400000001</v>
      </c>
      <c r="U70" s="336">
        <v>-1034.2309499999999</v>
      </c>
      <c r="V70" s="23">
        <f t="shared" si="4"/>
        <v>-2283.0062900000003</v>
      </c>
      <c r="W70" s="24">
        <f t="shared" si="5"/>
        <v>-0.82819616697427723</v>
      </c>
      <c r="X70" s="90">
        <f t="shared" si="12"/>
        <v>182.8196166974277</v>
      </c>
      <c r="Y70" s="23">
        <v>7786.7359999999999</v>
      </c>
      <c r="Z70" s="23">
        <v>6434.6</v>
      </c>
      <c r="AA70" s="23">
        <v>-160.77564000000001</v>
      </c>
      <c r="AB70" s="23">
        <v>-1495.0633</v>
      </c>
      <c r="AC70" s="23">
        <v>10187.315000000001</v>
      </c>
      <c r="AD70" s="23">
        <v>8883.73</v>
      </c>
      <c r="AE70" s="23">
        <v>1234.09887</v>
      </c>
      <c r="AF70" s="23">
        <v>369.08057000000002</v>
      </c>
      <c r="AG70" s="23">
        <f t="shared" si="7"/>
        <v>79644.441000000006</v>
      </c>
      <c r="AH70" s="23">
        <f t="shared" si="8"/>
        <v>70179.35613</v>
      </c>
      <c r="AI70" s="23">
        <f t="shared" si="9"/>
        <v>2322.0985700000001</v>
      </c>
      <c r="AJ70" s="23">
        <f t="shared" si="10"/>
        <v>-2160.2136799999998</v>
      </c>
    </row>
    <row r="71" spans="1:36" outlineLevel="1" x14ac:dyDescent="0.25">
      <c r="A71" s="65" t="s">
        <v>341</v>
      </c>
      <c r="B71" s="23">
        <v>61924.146840000001</v>
      </c>
      <c r="C71" s="23">
        <v>77486.11</v>
      </c>
      <c r="D71" s="23">
        <v>76524.769349999988</v>
      </c>
      <c r="E71" s="23">
        <f t="shared" ref="E71:E95" si="13">(D71-C71)</f>
        <v>-961.34065000001283</v>
      </c>
      <c r="F71" s="24">
        <f t="shared" ref="F71:F95" si="14">(IFERROR(D71/C71,0))</f>
        <v>0.98759338092982063</v>
      </c>
      <c r="G71" s="82">
        <f t="shared" ref="G71:G95" si="15">(D71/B71*100-100)</f>
        <v>23.578237658607023</v>
      </c>
      <c r="H71" s="23">
        <v>3510.96317</v>
      </c>
      <c r="I71" s="23">
        <v>1340.4180100000001</v>
      </c>
      <c r="J71" s="23">
        <v>78.945179999999993</v>
      </c>
      <c r="K71" s="23">
        <v>5531.6120799999999</v>
      </c>
      <c r="L71" s="23">
        <v>5472.7810899999995</v>
      </c>
      <c r="M71" s="23">
        <v>5367.5045399999999</v>
      </c>
      <c r="N71" s="23"/>
      <c r="O71" s="23">
        <v>68349.027329999997</v>
      </c>
      <c r="P71" s="23">
        <v>77129.667849999998</v>
      </c>
      <c r="Q71" s="23">
        <v>78594.8986</v>
      </c>
      <c r="R71" s="82">
        <f t="shared" si="11"/>
        <v>1.4652307500000024</v>
      </c>
      <c r="S71" s="336">
        <v>-2400.1211600000001</v>
      </c>
      <c r="T71" s="336">
        <v>1357.48813</v>
      </c>
      <c r="U71" s="336">
        <v>-1502.37436</v>
      </c>
      <c r="V71" s="23">
        <f t="shared" si="4"/>
        <v>-2859.86249</v>
      </c>
      <c r="W71" s="24">
        <f t="shared" si="5"/>
        <v>-1.1067311211037993</v>
      </c>
      <c r="X71" s="90">
        <f t="shared" si="12"/>
        <v>210.67311211037992</v>
      </c>
      <c r="Y71" s="23">
        <v>10469.032999999999</v>
      </c>
      <c r="Z71" s="23">
        <v>8542.0830000000005</v>
      </c>
      <c r="AA71" s="23">
        <v>-407.31383</v>
      </c>
      <c r="AB71" s="23">
        <v>-1161.93976</v>
      </c>
      <c r="AC71" s="23">
        <v>13633.9</v>
      </c>
      <c r="AD71" s="23">
        <v>11550</v>
      </c>
      <c r="AE71" s="23">
        <v>2005.0284299999998</v>
      </c>
      <c r="AF71" s="23">
        <v>1373.7883300000001</v>
      </c>
      <c r="AG71" s="23">
        <f t="shared" si="7"/>
        <v>101589.04299999999</v>
      </c>
      <c r="AH71" s="23">
        <f t="shared" si="8"/>
        <v>96616.852349999986</v>
      </c>
      <c r="AI71" s="23">
        <f t="shared" si="9"/>
        <v>2955.20273</v>
      </c>
      <c r="AJ71" s="23">
        <f t="shared" si="10"/>
        <v>-1290.5257899999999</v>
      </c>
    </row>
    <row r="72" spans="1:36" outlineLevel="1" x14ac:dyDescent="0.25">
      <c r="A72" s="65" t="s">
        <v>342</v>
      </c>
      <c r="B72" s="23">
        <v>36032.691789999997</v>
      </c>
      <c r="C72" s="23">
        <v>40380.38697</v>
      </c>
      <c r="D72" s="23">
        <v>31439.313340000001</v>
      </c>
      <c r="E72" s="23">
        <f t="shared" si="13"/>
        <v>-8941.073629999999</v>
      </c>
      <c r="F72" s="24">
        <f t="shared" si="14"/>
        <v>0.77857880270828916</v>
      </c>
      <c r="G72" s="82">
        <f t="shared" si="15"/>
        <v>-12.747808231398295</v>
      </c>
      <c r="H72" s="23">
        <v>890.18618000000004</v>
      </c>
      <c r="I72" s="23">
        <v>955.11632999999995</v>
      </c>
      <c r="J72" s="23">
        <v>1745.74855</v>
      </c>
      <c r="K72" s="23">
        <v>2573.4752400000002</v>
      </c>
      <c r="L72" s="23">
        <v>1762.2787700000001</v>
      </c>
      <c r="M72" s="23">
        <v>1607.6642099999999</v>
      </c>
      <c r="N72" s="23"/>
      <c r="O72" s="23">
        <v>41186.968689999994</v>
      </c>
      <c r="P72" s="23">
        <v>43052.855819999997</v>
      </c>
      <c r="Q72" s="23">
        <v>37976.072340000006</v>
      </c>
      <c r="R72" s="82">
        <f t="shared" ref="R72:R95" si="16">(Q72-P72)/1000</f>
        <v>-5.0767834799999907</v>
      </c>
      <c r="S72" s="336">
        <v>-3694.1983500000001</v>
      </c>
      <c r="T72" s="336">
        <v>-1373.8820600000001</v>
      </c>
      <c r="U72" s="336">
        <v>-3771.1681100000001</v>
      </c>
      <c r="V72" s="23">
        <f t="shared" si="4"/>
        <v>-2397.2860499999997</v>
      </c>
      <c r="W72" s="24">
        <f t="shared" si="5"/>
        <v>2.7448994493748611</v>
      </c>
      <c r="X72" s="90">
        <f t="shared" si="12"/>
        <v>-174.48994493748609</v>
      </c>
      <c r="Y72" s="23">
        <v>4670.8983499999995</v>
      </c>
      <c r="Z72" s="23">
        <v>3865</v>
      </c>
      <c r="AA72" s="23">
        <v>-844.14979000000005</v>
      </c>
      <c r="AB72" s="23">
        <v>-930.68959999999993</v>
      </c>
      <c r="AC72" s="23">
        <v>7212.0907500000003</v>
      </c>
      <c r="AD72" s="23">
        <v>4970</v>
      </c>
      <c r="AE72" s="23">
        <v>1253.3108400000001</v>
      </c>
      <c r="AF72" s="23">
        <v>-127.82524000000001</v>
      </c>
      <c r="AG72" s="23">
        <f t="shared" si="7"/>
        <v>52263.376069999998</v>
      </c>
      <c r="AH72" s="23">
        <f t="shared" si="8"/>
        <v>40274.313340000001</v>
      </c>
      <c r="AI72" s="23">
        <f t="shared" si="9"/>
        <v>-964.72101000000021</v>
      </c>
      <c r="AJ72" s="23">
        <f t="shared" si="10"/>
        <v>-4829.6829500000003</v>
      </c>
    </row>
    <row r="73" spans="1:36" outlineLevel="1" x14ac:dyDescent="0.25">
      <c r="A73" s="65" t="s">
        <v>343</v>
      </c>
      <c r="B73" s="23">
        <v>136635.48611000003</v>
      </c>
      <c r="C73" s="23">
        <v>143755.45264999999</v>
      </c>
      <c r="D73" s="23">
        <v>137646.67550000001</v>
      </c>
      <c r="E73" s="23">
        <f t="shared" si="13"/>
        <v>-6108.7771499999799</v>
      </c>
      <c r="F73" s="24">
        <f t="shared" si="14"/>
        <v>0.95750577082545207</v>
      </c>
      <c r="G73" s="82">
        <f t="shared" si="15"/>
        <v>0.74006352140901299</v>
      </c>
      <c r="H73" s="23">
        <v>1915.6982399999999</v>
      </c>
      <c r="I73" s="23">
        <v>2058.73675</v>
      </c>
      <c r="J73" s="23">
        <v>-1679.02143</v>
      </c>
      <c r="K73" s="23">
        <v>3363.9566500000001</v>
      </c>
      <c r="L73" s="23">
        <v>2649.08241</v>
      </c>
      <c r="M73" s="23">
        <v>2737.4989799999998</v>
      </c>
      <c r="N73" s="23"/>
      <c r="O73" s="23">
        <v>113314.60419</v>
      </c>
      <c r="P73" s="23">
        <v>122864.14345999999</v>
      </c>
      <c r="Q73" s="23">
        <v>115485.34142</v>
      </c>
      <c r="R73" s="82">
        <f t="shared" si="16"/>
        <v>-7.3788020399999947</v>
      </c>
      <c r="S73" s="336">
        <v>20218.234420000001</v>
      </c>
      <c r="T73" s="336">
        <v>17990.315839999999</v>
      </c>
      <c r="U73" s="336">
        <v>16337.88537</v>
      </c>
      <c r="V73" s="23">
        <f t="shared" ref="V73:V95" si="17">U73-T73</f>
        <v>-1652.4304699999993</v>
      </c>
      <c r="W73" s="24">
        <f t="shared" ref="W73:W95" si="18">IFERROR(U73/T73,0)</f>
        <v>0.90814889050886172</v>
      </c>
      <c r="X73" s="82">
        <f t="shared" ref="X73:X95" si="19">U73/T73*100-100</f>
        <v>-9.1851109491138345</v>
      </c>
      <c r="Y73" s="23">
        <v>21756.222850000002</v>
      </c>
      <c r="Z73" s="23">
        <v>20685</v>
      </c>
      <c r="AA73" s="23">
        <v>4065.24179</v>
      </c>
      <c r="AB73" s="23">
        <v>3328.6944199999998</v>
      </c>
      <c r="AC73" s="23">
        <v>23440.274000000001</v>
      </c>
      <c r="AD73" s="23">
        <v>22296</v>
      </c>
      <c r="AE73" s="23">
        <v>3518.8970800000002</v>
      </c>
      <c r="AF73" s="23">
        <v>2633.3846899999999</v>
      </c>
      <c r="AG73" s="23">
        <f t="shared" ref="AG73:AG95" si="20">C73+Y73+AC73</f>
        <v>188951.94949999999</v>
      </c>
      <c r="AH73" s="23">
        <f t="shared" ref="AH73:AH95" si="21">D73+Z73+AD73</f>
        <v>180627.67550000001</v>
      </c>
      <c r="AI73" s="23">
        <f t="shared" ref="AI73:AI95" si="22">T73+AA73+AE73</f>
        <v>25574.454709999998</v>
      </c>
      <c r="AJ73" s="23">
        <f t="shared" ref="AJ73:AJ95" si="23">U73+AB73+AF73</f>
        <v>22299.964479999999</v>
      </c>
    </row>
    <row r="74" spans="1:36" outlineLevel="1" x14ac:dyDescent="0.25">
      <c r="A74" s="65" t="s">
        <v>344</v>
      </c>
      <c r="B74" s="23">
        <v>45481.833630000001</v>
      </c>
      <c r="C74" s="23">
        <v>44039.036999999997</v>
      </c>
      <c r="D74" s="23">
        <v>44035.960599999999</v>
      </c>
      <c r="E74" s="23">
        <f t="shared" si="13"/>
        <v>-3.0763999999981024</v>
      </c>
      <c r="F74" s="24">
        <f t="shared" si="14"/>
        <v>0.99993014379492451</v>
      </c>
      <c r="G74" s="82">
        <f t="shared" si="15"/>
        <v>-3.1790121782739647</v>
      </c>
      <c r="H74" s="23">
        <v>306.69610999999998</v>
      </c>
      <c r="I74" s="23">
        <v>638.32306999999992</v>
      </c>
      <c r="J74" s="23">
        <v>-569.06931999999995</v>
      </c>
      <c r="K74" s="23">
        <v>2021.49407</v>
      </c>
      <c r="L74" s="23">
        <v>1823.6999900000001</v>
      </c>
      <c r="M74" s="23">
        <v>1839.4775500000001</v>
      </c>
      <c r="N74" s="23"/>
      <c r="O74" s="23">
        <v>35532.315210000001</v>
      </c>
      <c r="P74" s="23">
        <v>37689.421190000001</v>
      </c>
      <c r="Q74" s="23">
        <v>36098.174610000002</v>
      </c>
      <c r="R74" s="82">
        <f t="shared" si="16"/>
        <v>-1.5912465799999991</v>
      </c>
      <c r="S74" s="336">
        <v>8320.7910900000006</v>
      </c>
      <c r="T74" s="336">
        <v>5590.3510900000001</v>
      </c>
      <c r="U74" s="336">
        <v>5924.5595700000003</v>
      </c>
      <c r="V74" s="23">
        <f t="shared" si="17"/>
        <v>334.20848000000024</v>
      </c>
      <c r="W74" s="24">
        <f t="shared" si="18"/>
        <v>1.059783093158108</v>
      </c>
      <c r="X74" s="82">
        <f t="shared" si="19"/>
        <v>5.9783093158108045</v>
      </c>
      <c r="Y74" s="23">
        <v>6820.9840000000004</v>
      </c>
      <c r="Z74" s="23">
        <v>6200.9080000000004</v>
      </c>
      <c r="AA74" s="23">
        <v>572.08690000000001</v>
      </c>
      <c r="AB74" s="23">
        <v>534.42329000000007</v>
      </c>
      <c r="AC74" s="23">
        <v>7881.8950000000004</v>
      </c>
      <c r="AD74" s="23">
        <v>8764.3220000000001</v>
      </c>
      <c r="AE74" s="23">
        <v>1325.1196100000002</v>
      </c>
      <c r="AF74" s="23">
        <v>1345.9371999999998</v>
      </c>
      <c r="AG74" s="23">
        <f t="shared" si="20"/>
        <v>58741.915999999997</v>
      </c>
      <c r="AH74" s="23">
        <f t="shared" si="21"/>
        <v>59001.190600000002</v>
      </c>
      <c r="AI74" s="23">
        <f t="shared" si="22"/>
        <v>7487.5576000000001</v>
      </c>
      <c r="AJ74" s="23">
        <f t="shared" si="23"/>
        <v>7804.9200600000004</v>
      </c>
    </row>
    <row r="75" spans="1:36" outlineLevel="1" x14ac:dyDescent="0.25">
      <c r="A75" s="65" t="s">
        <v>345</v>
      </c>
      <c r="B75" s="23">
        <v>12693.0679</v>
      </c>
      <c r="C75" s="23">
        <v>14029.238599999999</v>
      </c>
      <c r="D75" s="23">
        <v>15863.573609999999</v>
      </c>
      <c r="E75" s="23">
        <f t="shared" si="13"/>
        <v>1834.3350100000007</v>
      </c>
      <c r="F75" s="24">
        <f t="shared" si="14"/>
        <v>1.130750859850655</v>
      </c>
      <c r="G75" s="82">
        <f t="shared" si="15"/>
        <v>24.978245881754077</v>
      </c>
      <c r="H75" s="23">
        <v>-623.49815000000001</v>
      </c>
      <c r="I75" s="23">
        <v>11.06231</v>
      </c>
      <c r="J75" s="23">
        <v>-2584.2438299999999</v>
      </c>
      <c r="K75" s="23">
        <v>413.33334000000002</v>
      </c>
      <c r="L75" s="23">
        <v>413.33334000000002</v>
      </c>
      <c r="M75" s="23">
        <v>413.33334000000002</v>
      </c>
      <c r="N75" s="23"/>
      <c r="O75" s="23">
        <v>12173.005160000001</v>
      </c>
      <c r="P75" s="23">
        <v>14430.80234</v>
      </c>
      <c r="Q75" s="23">
        <v>13846.53736</v>
      </c>
      <c r="R75" s="82">
        <f t="shared" si="16"/>
        <v>-0.58426497999999993</v>
      </c>
      <c r="S75" s="336">
        <v>-100.72599000000001</v>
      </c>
      <c r="T75" s="336">
        <v>-312.40115999999995</v>
      </c>
      <c r="U75" s="336">
        <v>-466.90474999999998</v>
      </c>
      <c r="V75" s="23">
        <f t="shared" si="17"/>
        <v>-154.50359000000003</v>
      </c>
      <c r="W75" s="24">
        <f t="shared" si="18"/>
        <v>1.4945679138963506</v>
      </c>
      <c r="X75" s="90">
        <f>(U75/T75*100-100)*-1</f>
        <v>-49.456791389635043</v>
      </c>
      <c r="Y75" s="23">
        <v>1832.0431999999998</v>
      </c>
      <c r="Z75" s="23">
        <v>1833.6235300000001</v>
      </c>
      <c r="AA75" s="23">
        <v>-188.08170999999999</v>
      </c>
      <c r="AB75" s="23">
        <v>-140.34607</v>
      </c>
      <c r="AC75" s="23">
        <v>2388.0442000000003</v>
      </c>
      <c r="AD75" s="23">
        <v>2389.6245299999996</v>
      </c>
      <c r="AE75" s="23">
        <v>291.44246999999996</v>
      </c>
      <c r="AF75" s="23">
        <v>258.73671000000002</v>
      </c>
      <c r="AG75" s="23">
        <f t="shared" si="20"/>
        <v>18249.326000000001</v>
      </c>
      <c r="AH75" s="23">
        <f t="shared" si="21"/>
        <v>20086.821670000001</v>
      </c>
      <c r="AI75" s="23">
        <f t="shared" si="22"/>
        <v>-209.04039999999998</v>
      </c>
      <c r="AJ75" s="23">
        <f t="shared" si="23"/>
        <v>-348.51410999999996</v>
      </c>
    </row>
    <row r="76" spans="1:36" outlineLevel="1" x14ac:dyDescent="0.25">
      <c r="A76" s="65" t="s">
        <v>346</v>
      </c>
      <c r="B76" s="23">
        <v>38739.896359999999</v>
      </c>
      <c r="C76" s="23">
        <v>42688.934999999998</v>
      </c>
      <c r="D76" s="23">
        <v>39029.297310000002</v>
      </c>
      <c r="E76" s="23">
        <f t="shared" si="13"/>
        <v>-3659.6376899999959</v>
      </c>
      <c r="F76" s="24">
        <f t="shared" si="14"/>
        <v>0.91427198429757039</v>
      </c>
      <c r="G76" s="82">
        <f t="shared" si="15"/>
        <v>0.74703594276729746</v>
      </c>
      <c r="H76" s="23">
        <v>316.91696000000002</v>
      </c>
      <c r="I76" s="23">
        <v>196.65268</v>
      </c>
      <c r="J76" s="23">
        <v>-906.75194999999997</v>
      </c>
      <c r="K76" s="23">
        <v>3542.8184900000001</v>
      </c>
      <c r="L76" s="23">
        <v>2871.9848500000003</v>
      </c>
      <c r="M76" s="23">
        <v>2967.5963099999999</v>
      </c>
      <c r="N76" s="23"/>
      <c r="O76" s="23">
        <v>43659.535210000002</v>
      </c>
      <c r="P76" s="23">
        <v>45558.822209999998</v>
      </c>
      <c r="Q76" s="23">
        <v>48299.069739999999</v>
      </c>
      <c r="R76" s="82">
        <f t="shared" si="16"/>
        <v>2.7402475300000004</v>
      </c>
      <c r="S76" s="336">
        <v>-4104.16525</v>
      </c>
      <c r="T76" s="336">
        <v>-2138.5875799999999</v>
      </c>
      <c r="U76" s="336">
        <v>-8044.4633800000001</v>
      </c>
      <c r="V76" s="23">
        <f t="shared" si="17"/>
        <v>-5905.8757999999998</v>
      </c>
      <c r="W76" s="24">
        <f t="shared" si="18"/>
        <v>3.761577713829237</v>
      </c>
      <c r="X76" s="90">
        <f>(U76/T76*100-100)*-1</f>
        <v>-276.15777138292373</v>
      </c>
      <c r="Y76" s="23">
        <v>5997.6450000000004</v>
      </c>
      <c r="Z76" s="23">
        <v>5125</v>
      </c>
      <c r="AA76" s="23">
        <v>-387.51471999999995</v>
      </c>
      <c r="AB76" s="23">
        <v>-781.04043000000001</v>
      </c>
      <c r="AC76" s="23">
        <v>6657.6450000000004</v>
      </c>
      <c r="AD76" s="23">
        <v>5885</v>
      </c>
      <c r="AE76" s="23">
        <v>164.89443</v>
      </c>
      <c r="AF76" s="23">
        <v>168.30437000000001</v>
      </c>
      <c r="AG76" s="23">
        <f t="shared" si="20"/>
        <v>55344.225000000006</v>
      </c>
      <c r="AH76" s="23">
        <f t="shared" si="21"/>
        <v>50039.297310000002</v>
      </c>
      <c r="AI76" s="23">
        <f t="shared" si="22"/>
        <v>-2361.2078700000002</v>
      </c>
      <c r="AJ76" s="23">
        <f t="shared" si="23"/>
        <v>-8657.1994400000003</v>
      </c>
    </row>
    <row r="77" spans="1:36" ht="15.75" outlineLevel="1" thickBot="1" x14ac:dyDescent="0.3">
      <c r="A77" s="66" t="s">
        <v>347</v>
      </c>
      <c r="B77" s="72">
        <v>20532.173649999997</v>
      </c>
      <c r="C77" s="72">
        <v>23753.904999999999</v>
      </c>
      <c r="D77" s="72">
        <v>26440.98198</v>
      </c>
      <c r="E77" s="72">
        <f t="shared" si="13"/>
        <v>2687.0769800000016</v>
      </c>
      <c r="F77" s="73">
        <f t="shared" si="14"/>
        <v>1.113121483814977</v>
      </c>
      <c r="G77" s="92">
        <f t="shared" si="15"/>
        <v>28.778289287456943</v>
      </c>
      <c r="H77" s="72">
        <v>-368.26969000000003</v>
      </c>
      <c r="I77" s="72">
        <v>345.11589000000004</v>
      </c>
      <c r="J77" s="72">
        <v>446.22737000000001</v>
      </c>
      <c r="K77" s="72">
        <v>2105.0272300000001</v>
      </c>
      <c r="L77" s="72">
        <v>1790.8878400000001</v>
      </c>
      <c r="M77" s="72">
        <v>1599.1178500000001</v>
      </c>
      <c r="N77" s="72"/>
      <c r="O77" s="72">
        <v>28199.954020000001</v>
      </c>
      <c r="P77" s="72">
        <v>30546.407859999999</v>
      </c>
      <c r="Q77" s="72">
        <v>33611.489759999997</v>
      </c>
      <c r="R77" s="92">
        <f t="shared" si="16"/>
        <v>3.0650818999999974</v>
      </c>
      <c r="S77" s="333">
        <v>-6162.9817400000002</v>
      </c>
      <c r="T77" s="333">
        <v>-5157.9095599999991</v>
      </c>
      <c r="U77" s="333">
        <v>-5409.0947500000002</v>
      </c>
      <c r="V77" s="72">
        <f t="shared" si="17"/>
        <v>-251.18519000000106</v>
      </c>
      <c r="W77" s="73">
        <f t="shared" si="18"/>
        <v>1.0486990295347485</v>
      </c>
      <c r="X77" s="92">
        <f t="shared" si="19"/>
        <v>4.869902953474849</v>
      </c>
      <c r="Y77" s="72">
        <v>3200.433</v>
      </c>
      <c r="Z77" s="72">
        <v>3200.5</v>
      </c>
      <c r="AA77" s="72">
        <v>-962.67739000000006</v>
      </c>
      <c r="AB77" s="72">
        <v>-1073.8162399999999</v>
      </c>
      <c r="AC77" s="72">
        <v>3930</v>
      </c>
      <c r="AD77" s="72">
        <v>5940</v>
      </c>
      <c r="AE77" s="72">
        <v>-58.241309999999999</v>
      </c>
      <c r="AF77" s="72">
        <v>1403.3894399999999</v>
      </c>
      <c r="AG77" s="72">
        <f t="shared" si="20"/>
        <v>30884.338</v>
      </c>
      <c r="AH77" s="72">
        <f t="shared" si="21"/>
        <v>35581.481979999997</v>
      </c>
      <c r="AI77" s="72">
        <f t="shared" si="22"/>
        <v>-6178.8282599999993</v>
      </c>
      <c r="AJ77" s="72">
        <f t="shared" si="23"/>
        <v>-5079.5215500000004</v>
      </c>
    </row>
    <row r="78" spans="1:36" ht="15.75" thickBot="1" x14ac:dyDescent="0.3">
      <c r="A78" s="61" t="s">
        <v>348</v>
      </c>
      <c r="B78" s="74">
        <v>407989.49579000002</v>
      </c>
      <c r="C78" s="74">
        <v>461149.35232000001</v>
      </c>
      <c r="D78" s="74">
        <v>453099.64322000003</v>
      </c>
      <c r="E78" s="75">
        <f t="shared" si="13"/>
        <v>-8049.7090999999782</v>
      </c>
      <c r="F78" s="76">
        <f t="shared" si="14"/>
        <v>0.98254424719561539</v>
      </c>
      <c r="G78" s="77">
        <f t="shared" si="15"/>
        <v>11.05669334516864</v>
      </c>
      <c r="H78" s="74">
        <v>5893.84717</v>
      </c>
      <c r="I78" s="74">
        <v>3470.8953999999999</v>
      </c>
      <c r="J78" s="74">
        <v>2744.61724</v>
      </c>
      <c r="K78" s="74">
        <v>16484.565200000001</v>
      </c>
      <c r="L78" s="74">
        <v>12816.546619999999</v>
      </c>
      <c r="M78" s="74">
        <v>13720.155990000001</v>
      </c>
      <c r="N78" s="74"/>
      <c r="O78" s="74">
        <v>401895.65057</v>
      </c>
      <c r="P78" s="74">
        <v>439055.85616000002</v>
      </c>
      <c r="Q78" s="74">
        <v>409756.06851000001</v>
      </c>
      <c r="R78" s="100">
        <f t="shared" si="16"/>
        <v>-29.299787650000013</v>
      </c>
      <c r="S78" s="334">
        <v>9848.1376799999998</v>
      </c>
      <c r="T78" s="334">
        <v>20453.0488</v>
      </c>
      <c r="U78" s="334">
        <v>38023.199329999996</v>
      </c>
      <c r="V78" s="75">
        <f t="shared" si="17"/>
        <v>17570.150529999995</v>
      </c>
      <c r="W78" s="76">
        <f t="shared" si="18"/>
        <v>1.8590479933729975</v>
      </c>
      <c r="X78" s="77">
        <f t="shared" si="19"/>
        <v>85.90479933729975</v>
      </c>
      <c r="Y78" s="74">
        <v>58017.334049999998</v>
      </c>
      <c r="Z78" s="74">
        <v>60898.555249999998</v>
      </c>
      <c r="AA78" s="74">
        <v>-1663.3847700000001</v>
      </c>
      <c r="AB78" s="74">
        <v>-1444.0977600000001</v>
      </c>
      <c r="AC78" s="74">
        <v>80489.644799999995</v>
      </c>
      <c r="AD78" s="74">
        <v>77186.956420000002</v>
      </c>
      <c r="AE78" s="74">
        <v>12116.88715</v>
      </c>
      <c r="AF78" s="74">
        <v>10256.89709</v>
      </c>
      <c r="AG78" s="74">
        <f t="shared" si="20"/>
        <v>599656.33117000002</v>
      </c>
      <c r="AH78" s="74">
        <f t="shared" si="21"/>
        <v>591185.15489000001</v>
      </c>
      <c r="AI78" s="74">
        <f t="shared" si="22"/>
        <v>30906.551180000002</v>
      </c>
      <c r="AJ78" s="74">
        <f t="shared" si="23"/>
        <v>46835.998659999997</v>
      </c>
    </row>
    <row r="79" spans="1:36" outlineLevel="1" x14ac:dyDescent="0.25">
      <c r="A79" s="64" t="s">
        <v>349</v>
      </c>
      <c r="B79" s="59">
        <v>115856.06108</v>
      </c>
      <c r="C79" s="59">
        <v>107372.57784999999</v>
      </c>
      <c r="D79" s="59">
        <v>105468.8572</v>
      </c>
      <c r="E79" s="59">
        <f t="shared" si="13"/>
        <v>-1903.7206499999884</v>
      </c>
      <c r="F79" s="58">
        <f t="shared" si="14"/>
        <v>0.98226995487935942</v>
      </c>
      <c r="G79" s="90">
        <f t="shared" si="15"/>
        <v>-8.9656111067227755</v>
      </c>
      <c r="H79" s="59">
        <v>961.30196999999998</v>
      </c>
      <c r="I79" s="59">
        <v>748.95450000000005</v>
      </c>
      <c r="J79" s="59">
        <v>622.39168000000006</v>
      </c>
      <c r="K79" s="59">
        <v>4623.61492</v>
      </c>
      <c r="L79" s="59">
        <v>3737.2335200000002</v>
      </c>
      <c r="M79" s="59">
        <v>3876.5762999999997</v>
      </c>
      <c r="N79" s="59"/>
      <c r="O79" s="59">
        <v>101359.82193000001</v>
      </c>
      <c r="P79" s="59">
        <v>96801.54002</v>
      </c>
      <c r="Q79" s="59">
        <v>92316.571110000004</v>
      </c>
      <c r="R79" s="90">
        <f t="shared" si="16"/>
        <v>-4.4849689099999956</v>
      </c>
      <c r="S79" s="335">
        <v>11875.169960000001</v>
      </c>
      <c r="T79" s="335">
        <v>9055.9939300000005</v>
      </c>
      <c r="U79" s="335">
        <v>11316.749619999999</v>
      </c>
      <c r="V79" s="59">
        <f t="shared" si="17"/>
        <v>2260.7556899999981</v>
      </c>
      <c r="W79" s="58">
        <f t="shared" si="18"/>
        <v>1.2496419175492974</v>
      </c>
      <c r="X79" s="90">
        <f t="shared" si="19"/>
        <v>24.964191754929743</v>
      </c>
      <c r="Y79" s="59">
        <v>12030.232470000001</v>
      </c>
      <c r="Z79" s="59">
        <v>15049.73827</v>
      </c>
      <c r="AA79" s="59">
        <v>-1235.47694</v>
      </c>
      <c r="AB79" s="59">
        <v>-839.11431999999991</v>
      </c>
      <c r="AC79" s="59">
        <v>19316.974249999999</v>
      </c>
      <c r="AD79" s="59">
        <v>19316.971750000001</v>
      </c>
      <c r="AE79" s="59">
        <v>4254.5901699999995</v>
      </c>
      <c r="AF79" s="59">
        <v>4181.2193399999996</v>
      </c>
      <c r="AG79" s="59">
        <f t="shared" si="20"/>
        <v>138719.78456999999</v>
      </c>
      <c r="AH79" s="59">
        <f t="shared" si="21"/>
        <v>139835.56722</v>
      </c>
      <c r="AI79" s="59">
        <f t="shared" si="22"/>
        <v>12075.10716</v>
      </c>
      <c r="AJ79" s="59">
        <f t="shared" si="23"/>
        <v>14658.854639999998</v>
      </c>
    </row>
    <row r="80" spans="1:36" outlineLevel="1" x14ac:dyDescent="0.25">
      <c r="A80" s="65" t="s">
        <v>350</v>
      </c>
      <c r="B80" s="23">
        <v>37420.18866</v>
      </c>
      <c r="C80" s="23">
        <v>46632.598479999993</v>
      </c>
      <c r="D80" s="23">
        <v>43230.279590000006</v>
      </c>
      <c r="E80" s="23">
        <f t="shared" si="13"/>
        <v>-3402.3188899999877</v>
      </c>
      <c r="F80" s="24">
        <f t="shared" si="14"/>
        <v>0.92703990339592179</v>
      </c>
      <c r="G80" s="82">
        <f t="shared" si="15"/>
        <v>15.526621158408688</v>
      </c>
      <c r="H80" s="23">
        <v>537.60156000000006</v>
      </c>
      <c r="I80" s="23">
        <v>298.39340999999996</v>
      </c>
      <c r="J80" s="23">
        <v>-424.26684</v>
      </c>
      <c r="K80" s="23">
        <v>1507.2564399999999</v>
      </c>
      <c r="L80" s="23">
        <v>1360.7076499999998</v>
      </c>
      <c r="M80" s="23">
        <v>1571.13842</v>
      </c>
      <c r="N80" s="23"/>
      <c r="O80" s="23">
        <v>31161.627379999998</v>
      </c>
      <c r="P80" s="23">
        <v>36740.586929999998</v>
      </c>
      <c r="Q80" s="23">
        <v>34527.402009999998</v>
      </c>
      <c r="R80" s="82">
        <f t="shared" si="16"/>
        <v>-2.2131849199999998</v>
      </c>
      <c r="S80" s="336">
        <v>5411.5414000000001</v>
      </c>
      <c r="T80" s="336">
        <v>8152.3239899999999</v>
      </c>
      <c r="U80" s="336">
        <v>6582.8132599999999</v>
      </c>
      <c r="V80" s="23">
        <f t="shared" si="17"/>
        <v>-1569.51073</v>
      </c>
      <c r="W80" s="24">
        <f t="shared" si="18"/>
        <v>0.80747689469588901</v>
      </c>
      <c r="X80" s="82">
        <f t="shared" si="19"/>
        <v>-19.252310530411094</v>
      </c>
      <c r="Y80" s="23">
        <v>7513.4591799999998</v>
      </c>
      <c r="Z80" s="23">
        <v>7248.4407699999992</v>
      </c>
      <c r="AA80" s="23">
        <v>1674.1023300000002</v>
      </c>
      <c r="AB80" s="23">
        <v>1265.0361200000002</v>
      </c>
      <c r="AC80" s="23">
        <v>8078.3259500000004</v>
      </c>
      <c r="AD80" s="23">
        <v>7658.3185400000002</v>
      </c>
      <c r="AE80" s="23">
        <v>2273.5954100000004</v>
      </c>
      <c r="AF80" s="23">
        <v>1597.90625</v>
      </c>
      <c r="AG80" s="23">
        <f t="shared" si="20"/>
        <v>62224.38360999999</v>
      </c>
      <c r="AH80" s="23">
        <f t="shared" si="21"/>
        <v>58137.038900000007</v>
      </c>
      <c r="AI80" s="23">
        <f t="shared" si="22"/>
        <v>12100.02173</v>
      </c>
      <c r="AJ80" s="23">
        <f t="shared" si="23"/>
        <v>9445.7556299999997</v>
      </c>
    </row>
    <row r="81" spans="1:36" outlineLevel="1" x14ac:dyDescent="0.25">
      <c r="A81" s="65" t="s">
        <v>351</v>
      </c>
      <c r="B81" s="23">
        <v>38446.237090000002</v>
      </c>
      <c r="C81" s="23">
        <v>39048.752270000005</v>
      </c>
      <c r="D81" s="23">
        <v>40274.863899999997</v>
      </c>
      <c r="E81" s="23">
        <f t="shared" si="13"/>
        <v>1226.1116299999921</v>
      </c>
      <c r="F81" s="24">
        <f t="shared" si="14"/>
        <v>1.0313995085303143</v>
      </c>
      <c r="G81" s="82">
        <f t="shared" si="15"/>
        <v>4.7563219404783439</v>
      </c>
      <c r="H81" s="23">
        <v>114.17778999999999</v>
      </c>
      <c r="I81" s="23">
        <v>316.68048999999996</v>
      </c>
      <c r="J81" s="23">
        <v>-32.106700000000004</v>
      </c>
      <c r="K81" s="23">
        <v>2758.5172499999999</v>
      </c>
      <c r="L81" s="23">
        <v>0</v>
      </c>
      <c r="M81" s="23">
        <v>0</v>
      </c>
      <c r="N81" s="23"/>
      <c r="O81" s="23">
        <v>39997.464520000001</v>
      </c>
      <c r="P81" s="23">
        <v>41383.877829999998</v>
      </c>
      <c r="Q81" s="23">
        <v>38857.256399999998</v>
      </c>
      <c r="R81" s="82">
        <f t="shared" si="16"/>
        <v>-2.5266214299999992</v>
      </c>
      <c r="S81" s="336">
        <v>-925.91958999999997</v>
      </c>
      <c r="T81" s="336">
        <v>-1613.67569</v>
      </c>
      <c r="U81" s="336">
        <v>1119.4661000000001</v>
      </c>
      <c r="V81" s="23">
        <f t="shared" si="17"/>
        <v>2733.1417900000001</v>
      </c>
      <c r="W81" s="24">
        <f t="shared" si="18"/>
        <v>-0.69373673219307164</v>
      </c>
      <c r="X81" s="90">
        <f>(U81/T81*100-100)*-1</f>
        <v>169.37367321930716</v>
      </c>
      <c r="Y81" s="23">
        <v>5260.5066500000003</v>
      </c>
      <c r="Z81" s="23">
        <v>5557.1180000000004</v>
      </c>
      <c r="AA81" s="23">
        <v>-292.63418999999999</v>
      </c>
      <c r="AB81" s="23">
        <v>-71.047449999999998</v>
      </c>
      <c r="AC81" s="23">
        <v>6143.2456199999997</v>
      </c>
      <c r="AD81" s="23">
        <v>5905.0000199999995</v>
      </c>
      <c r="AE81" s="23">
        <v>-47.856859999999998</v>
      </c>
      <c r="AF81" s="23">
        <v>-543.75757999999996</v>
      </c>
      <c r="AG81" s="23">
        <f t="shared" si="20"/>
        <v>50452.504540000009</v>
      </c>
      <c r="AH81" s="23">
        <f t="shared" si="21"/>
        <v>51736.981919999998</v>
      </c>
      <c r="AI81" s="23">
        <f t="shared" si="22"/>
        <v>-1954.1667400000001</v>
      </c>
      <c r="AJ81" s="23">
        <f t="shared" si="23"/>
        <v>504.66107000000011</v>
      </c>
    </row>
    <row r="82" spans="1:36" outlineLevel="1" x14ac:dyDescent="0.25">
      <c r="A82" s="65" t="s">
        <v>353</v>
      </c>
      <c r="B82" s="23">
        <v>58937.910469999995</v>
      </c>
      <c r="C82" s="23">
        <v>67042.245810000008</v>
      </c>
      <c r="D82" s="23">
        <v>55941.721939999996</v>
      </c>
      <c r="E82" s="23">
        <f t="shared" si="13"/>
        <v>-11100.523870000012</v>
      </c>
      <c r="F82" s="24">
        <f t="shared" si="14"/>
        <v>0.83442494003767009</v>
      </c>
      <c r="G82" s="82">
        <f t="shared" si="15"/>
        <v>-5.083635483692774</v>
      </c>
      <c r="H82" s="23">
        <v>1643.15561</v>
      </c>
      <c r="I82" s="23">
        <v>2071.3973700000001</v>
      </c>
      <c r="J82" s="23">
        <v>2229.2065600000001</v>
      </c>
      <c r="K82" s="23">
        <v>2758.5172499999999</v>
      </c>
      <c r="L82" s="23">
        <v>1482.4498899999999</v>
      </c>
      <c r="M82" s="23">
        <v>1484.41644</v>
      </c>
      <c r="N82" s="23"/>
      <c r="O82" s="23">
        <v>53592.906299999995</v>
      </c>
      <c r="P82" s="23">
        <v>58589.746869999995</v>
      </c>
      <c r="Q82" s="23">
        <v>51551.03183</v>
      </c>
      <c r="R82" s="82">
        <f t="shared" si="16"/>
        <v>-7.0387150399999951</v>
      </c>
      <c r="S82" s="336">
        <v>6098.6710800000001</v>
      </c>
      <c r="T82" s="336">
        <v>8419.1170500000007</v>
      </c>
      <c r="U82" s="336">
        <v>5859.4907800000001</v>
      </c>
      <c r="V82" s="23">
        <f t="shared" si="17"/>
        <v>-2559.6262700000007</v>
      </c>
      <c r="W82" s="24">
        <f t="shared" si="18"/>
        <v>0.69597450008133566</v>
      </c>
      <c r="X82" s="82">
        <f t="shared" si="19"/>
        <v>-30.402549991866437</v>
      </c>
      <c r="Y82" s="23">
        <v>7607.8329599999997</v>
      </c>
      <c r="Z82" s="23">
        <v>5885.0745700000007</v>
      </c>
      <c r="AA82" s="23">
        <v>63.36459</v>
      </c>
      <c r="AB82" s="23">
        <v>-523.02566999999999</v>
      </c>
      <c r="AC82" s="23">
        <v>11669.84383</v>
      </c>
      <c r="AD82" s="23">
        <v>9271.1379499999985</v>
      </c>
      <c r="AE82" s="23">
        <v>1688.04835</v>
      </c>
      <c r="AF82" s="23">
        <v>1961.6272200000001</v>
      </c>
      <c r="AG82" s="23">
        <f t="shared" si="20"/>
        <v>86319.922600000005</v>
      </c>
      <c r="AH82" s="23">
        <f t="shared" si="21"/>
        <v>71097.934460000004</v>
      </c>
      <c r="AI82" s="23">
        <f t="shared" si="22"/>
        <v>10170.529989999999</v>
      </c>
      <c r="AJ82" s="23">
        <f t="shared" si="23"/>
        <v>7298.0923300000004</v>
      </c>
    </row>
    <row r="83" spans="1:36" outlineLevel="1" x14ac:dyDescent="0.25">
      <c r="A83" s="65" t="s">
        <v>352</v>
      </c>
      <c r="B83" s="23">
        <v>28225.750410000001</v>
      </c>
      <c r="C83" s="23">
        <v>35129.105920000002</v>
      </c>
      <c r="D83" s="23">
        <v>34339.569609999999</v>
      </c>
      <c r="E83" s="23">
        <f t="shared" si="13"/>
        <v>-789.53631000000314</v>
      </c>
      <c r="F83" s="24">
        <f t="shared" si="14"/>
        <v>0.97752472517239619</v>
      </c>
      <c r="G83" s="82">
        <f t="shared" si="15"/>
        <v>21.66043102908597</v>
      </c>
      <c r="H83" s="23">
        <v>235.46520000000001</v>
      </c>
      <c r="I83" s="23">
        <v>-308.93610999999999</v>
      </c>
      <c r="J83" s="23">
        <v>-309.97510999999997</v>
      </c>
      <c r="K83" s="23">
        <v>1515.0253600000001</v>
      </c>
      <c r="L83" s="23">
        <v>1470.6848</v>
      </c>
      <c r="M83" s="23">
        <v>1493.65201</v>
      </c>
      <c r="N83" s="23"/>
      <c r="O83" s="23">
        <v>32295.167819999999</v>
      </c>
      <c r="P83" s="23">
        <v>35361.685400000002</v>
      </c>
      <c r="Q83" s="23">
        <v>33614.341890000003</v>
      </c>
      <c r="R83" s="82">
        <f t="shared" si="16"/>
        <v>-1.7473435099999988</v>
      </c>
      <c r="S83" s="336">
        <v>-3051.89977</v>
      </c>
      <c r="T83" s="336">
        <v>-433.21242999999998</v>
      </c>
      <c r="U83" s="336">
        <v>327.79838000000001</v>
      </c>
      <c r="V83" s="23">
        <f t="shared" si="17"/>
        <v>761.01080999999999</v>
      </c>
      <c r="W83" s="24">
        <f t="shared" si="18"/>
        <v>-0.75666891644821921</v>
      </c>
      <c r="X83" s="90">
        <f>(U83/T83*100-100)*-1</f>
        <v>175.66689164482193</v>
      </c>
      <c r="Y83" s="23">
        <v>4312.0597400000006</v>
      </c>
      <c r="Z83" s="23">
        <v>5064.933</v>
      </c>
      <c r="AA83" s="23">
        <v>-579.68538999999998</v>
      </c>
      <c r="AB83" s="23">
        <v>-547.82278000000008</v>
      </c>
      <c r="AC83" s="23">
        <v>10073.658740000001</v>
      </c>
      <c r="AD83" s="23">
        <v>11040.732</v>
      </c>
      <c r="AE83" s="23">
        <v>3471.2034700000004</v>
      </c>
      <c r="AF83" s="23">
        <v>3170.1793600000001</v>
      </c>
      <c r="AG83" s="23">
        <f t="shared" si="20"/>
        <v>49514.824399999998</v>
      </c>
      <c r="AH83" s="23">
        <f t="shared" si="21"/>
        <v>50445.23461</v>
      </c>
      <c r="AI83" s="23">
        <f t="shared" si="22"/>
        <v>2458.3056500000002</v>
      </c>
      <c r="AJ83" s="23">
        <f t="shared" si="23"/>
        <v>2950.1549599999998</v>
      </c>
    </row>
    <row r="84" spans="1:36" outlineLevel="1" x14ac:dyDescent="0.25">
      <c r="A84" s="65" t="s">
        <v>354</v>
      </c>
      <c r="B84" s="23">
        <v>38151.994429999999</v>
      </c>
      <c r="C84" s="23">
        <v>39675.195310000003</v>
      </c>
      <c r="D84" s="23">
        <v>36267.191930000001</v>
      </c>
      <c r="E84" s="23">
        <f t="shared" si="13"/>
        <v>-3408.0033800000019</v>
      </c>
      <c r="F84" s="24">
        <f t="shared" si="14"/>
        <v>0.91410241705499495</v>
      </c>
      <c r="G84" s="82">
        <f t="shared" si="15"/>
        <v>-4.9402463178122247</v>
      </c>
      <c r="H84" s="23">
        <v>139.43648999999999</v>
      </c>
      <c r="I84" s="23">
        <v>141.48904000000002</v>
      </c>
      <c r="J84" s="23">
        <v>140.29737</v>
      </c>
      <c r="K84" s="23">
        <v>1611.87266</v>
      </c>
      <c r="L84" s="23">
        <v>335.50747999999999</v>
      </c>
      <c r="M84" s="23">
        <v>650.39331000000004</v>
      </c>
      <c r="N84" s="23"/>
      <c r="O84" s="23">
        <v>39641.893210000002</v>
      </c>
      <c r="P84" s="23">
        <v>41886.104789999998</v>
      </c>
      <c r="Q84" s="23">
        <v>36235.590469999996</v>
      </c>
      <c r="R84" s="82">
        <f t="shared" si="16"/>
        <v>-5.6505143200000019</v>
      </c>
      <c r="S84" s="336">
        <v>-1153.1488300000001</v>
      </c>
      <c r="T84" s="336">
        <v>-1655.0813000000001</v>
      </c>
      <c r="U84" s="336">
        <v>178.12469000000002</v>
      </c>
      <c r="V84" s="23">
        <f t="shared" si="17"/>
        <v>1833.2059900000002</v>
      </c>
      <c r="W84" s="24">
        <f t="shared" si="18"/>
        <v>-0.10762292462611958</v>
      </c>
      <c r="X84" s="90">
        <f>(U84/T84*100-100)*-1</f>
        <v>110.76229246261195</v>
      </c>
      <c r="Y84" s="23">
        <v>6037.46929</v>
      </c>
      <c r="Z84" s="23">
        <v>4467.2925100000002</v>
      </c>
      <c r="AA84" s="23">
        <v>136.68063000000001</v>
      </c>
      <c r="AB84" s="23">
        <v>-425.45017999999999</v>
      </c>
      <c r="AC84" s="23">
        <v>6371.8687099999997</v>
      </c>
      <c r="AD84" s="23">
        <v>5174.2088899999999</v>
      </c>
      <c r="AE84" s="23">
        <v>235.25304</v>
      </c>
      <c r="AF84" s="23">
        <v>-85.735060000000004</v>
      </c>
      <c r="AG84" s="23">
        <f t="shared" si="20"/>
        <v>52084.533310000006</v>
      </c>
      <c r="AH84" s="23">
        <f t="shared" si="21"/>
        <v>45908.693330000002</v>
      </c>
      <c r="AI84" s="23">
        <f t="shared" si="22"/>
        <v>-1283.1476299999999</v>
      </c>
      <c r="AJ84" s="23">
        <f t="shared" si="23"/>
        <v>-333.06054999999998</v>
      </c>
    </row>
    <row r="85" spans="1:36" outlineLevel="1" x14ac:dyDescent="0.25">
      <c r="A85" s="65" t="s">
        <v>355</v>
      </c>
      <c r="B85" s="23">
        <v>21717.205280000002</v>
      </c>
      <c r="C85" s="23">
        <v>28634.673329999998</v>
      </c>
      <c r="D85" s="23">
        <v>27089.606399999997</v>
      </c>
      <c r="E85" s="23">
        <f t="shared" si="13"/>
        <v>-1545.0669300000009</v>
      </c>
      <c r="F85" s="24">
        <f t="shared" si="14"/>
        <v>0.94604209685949991</v>
      </c>
      <c r="G85" s="82">
        <f t="shared" si="15"/>
        <v>24.737994832823148</v>
      </c>
      <c r="H85" s="23">
        <v>286.56561999999997</v>
      </c>
      <c r="I85" s="23">
        <v>-0.34566000000000002</v>
      </c>
      <c r="J85" s="23">
        <v>540.00401999999997</v>
      </c>
      <c r="K85" s="23">
        <v>2208.7084399999999</v>
      </c>
      <c r="L85" s="23">
        <v>2708.8268900000003</v>
      </c>
      <c r="M85" s="23">
        <v>2734.08772</v>
      </c>
      <c r="N85" s="23"/>
      <c r="O85" s="23">
        <v>26541.931559999997</v>
      </c>
      <c r="P85" s="23">
        <v>33924.676500000001</v>
      </c>
      <c r="Q85" s="23">
        <v>29731.646140000001</v>
      </c>
      <c r="R85" s="82">
        <f t="shared" si="16"/>
        <v>-4.1930303600000007</v>
      </c>
      <c r="S85" s="336">
        <v>-3631.9519300000002</v>
      </c>
      <c r="T85" s="336">
        <v>-4232.2790700000005</v>
      </c>
      <c r="U85" s="336">
        <v>-1674.4240500000001</v>
      </c>
      <c r="V85" s="23">
        <f t="shared" si="17"/>
        <v>2557.8550200000004</v>
      </c>
      <c r="W85" s="24">
        <f t="shared" si="18"/>
        <v>0.3956317677321784</v>
      </c>
      <c r="X85" s="90">
        <f>(U85/T85*100-100)*-1</f>
        <v>60.43682322678216</v>
      </c>
      <c r="Y85" s="23">
        <v>3432.2619199999999</v>
      </c>
      <c r="Z85" s="23">
        <v>3388.0840099999996</v>
      </c>
      <c r="AA85" s="23">
        <v>-1434.0106599999999</v>
      </c>
      <c r="AB85" s="23">
        <v>-973.22914000000003</v>
      </c>
      <c r="AC85" s="23">
        <v>4132.2618999999995</v>
      </c>
      <c r="AD85" s="23">
        <v>4088.0839900000001</v>
      </c>
      <c r="AE85" s="23">
        <v>-405.88521999999995</v>
      </c>
      <c r="AF85" s="23">
        <v>-698.31131000000005</v>
      </c>
      <c r="AG85" s="23">
        <f t="shared" si="20"/>
        <v>36199.19715</v>
      </c>
      <c r="AH85" s="23">
        <f t="shared" si="21"/>
        <v>34565.774399999995</v>
      </c>
      <c r="AI85" s="23">
        <f t="shared" si="22"/>
        <v>-6072.1749500000005</v>
      </c>
      <c r="AJ85" s="23">
        <f t="shared" si="23"/>
        <v>-3345.9645</v>
      </c>
    </row>
    <row r="86" spans="1:36" ht="15.75" outlineLevel="1" thickBot="1" x14ac:dyDescent="0.3">
      <c r="A86" s="66" t="s">
        <v>356</v>
      </c>
      <c r="B86" s="72">
        <v>69234.14837000001</v>
      </c>
      <c r="C86" s="72">
        <v>97614.203349999996</v>
      </c>
      <c r="D86" s="72">
        <v>110487.55265000001</v>
      </c>
      <c r="E86" s="72">
        <f t="shared" si="13"/>
        <v>12873.349300000016</v>
      </c>
      <c r="F86" s="73">
        <f t="shared" si="14"/>
        <v>1.1318798787287343</v>
      </c>
      <c r="G86" s="92">
        <f t="shared" si="15"/>
        <v>59.585342278689154</v>
      </c>
      <c r="H86" s="72">
        <v>1976.14293</v>
      </c>
      <c r="I86" s="72">
        <v>203.26235999999997</v>
      </c>
      <c r="J86" s="72">
        <v>-20.93374</v>
      </c>
      <c r="K86" s="72">
        <v>2259.5701300000001</v>
      </c>
      <c r="L86" s="72">
        <v>1721.1363899999999</v>
      </c>
      <c r="M86" s="72">
        <v>1909.8917900000001</v>
      </c>
      <c r="N86" s="72"/>
      <c r="O86" s="72">
        <v>77304.837849999996</v>
      </c>
      <c r="P86" s="72">
        <v>94367.637819999989</v>
      </c>
      <c r="Q86" s="72">
        <v>92922.228659999993</v>
      </c>
      <c r="R86" s="92">
        <f t="shared" si="16"/>
        <v>-1.4454091599999956</v>
      </c>
      <c r="S86" s="333">
        <v>-4774.3246399999998</v>
      </c>
      <c r="T86" s="333">
        <v>2759.8623199999997</v>
      </c>
      <c r="U86" s="333">
        <v>14313.180550000001</v>
      </c>
      <c r="V86" s="72">
        <f t="shared" si="17"/>
        <v>11553.318230000001</v>
      </c>
      <c r="W86" s="73">
        <f t="shared" si="18"/>
        <v>5.1861936902707528</v>
      </c>
      <c r="X86" s="92">
        <f t="shared" si="19"/>
        <v>418.61936902707532</v>
      </c>
      <c r="Y86" s="72">
        <v>11823.511839999999</v>
      </c>
      <c r="Z86" s="72">
        <v>14237.874119999999</v>
      </c>
      <c r="AA86" s="72">
        <v>4.2748599999999994</v>
      </c>
      <c r="AB86" s="72">
        <v>670.55565999999999</v>
      </c>
      <c r="AC86" s="72">
        <v>14703.4658</v>
      </c>
      <c r="AD86" s="72">
        <v>14732.503279999999</v>
      </c>
      <c r="AE86" s="72">
        <v>647.93879000000004</v>
      </c>
      <c r="AF86" s="72">
        <v>673.76886999999999</v>
      </c>
      <c r="AG86" s="72">
        <f t="shared" si="20"/>
        <v>124141.18098999999</v>
      </c>
      <c r="AH86" s="72">
        <f t="shared" si="21"/>
        <v>139457.93005</v>
      </c>
      <c r="AI86" s="72">
        <f t="shared" si="22"/>
        <v>3412.0759699999999</v>
      </c>
      <c r="AJ86" s="72">
        <f t="shared" si="23"/>
        <v>15657.505080000001</v>
      </c>
    </row>
    <row r="87" spans="1:36" ht="28.5" x14ac:dyDescent="0.25">
      <c r="A87" s="67" t="s">
        <v>357</v>
      </c>
      <c r="B87" s="78">
        <v>1154371.5107400001</v>
      </c>
      <c r="C87" s="78">
        <v>1624282.1954899998</v>
      </c>
      <c r="D87" s="78">
        <v>1944103.9206899998</v>
      </c>
      <c r="E87" s="79">
        <f t="shared" si="13"/>
        <v>319821.72519999999</v>
      </c>
      <c r="F87" s="80">
        <f t="shared" si="14"/>
        <v>1.1969003453267053</v>
      </c>
      <c r="G87" s="81">
        <f t="shared" si="15"/>
        <v>68.412326759844291</v>
      </c>
      <c r="H87" s="78">
        <v>17521.01238</v>
      </c>
      <c r="I87" s="78">
        <v>-36494.714619999999</v>
      </c>
      <c r="J87" s="78">
        <v>-65395.130079999995</v>
      </c>
      <c r="K87" s="78">
        <f>((-28439866.84-9601577.41)/1000)*-1</f>
        <v>38041.44425</v>
      </c>
      <c r="L87" s="78">
        <v>35524.944530000001</v>
      </c>
      <c r="M87" s="78">
        <v>36211.644789999998</v>
      </c>
      <c r="N87" s="78"/>
      <c r="O87" s="78">
        <v>1217192.41768</v>
      </c>
      <c r="P87" s="78">
        <v>1545169.8327000001</v>
      </c>
      <c r="Q87" s="78">
        <v>1746542.3968399998</v>
      </c>
      <c r="R87" s="101">
        <f t="shared" si="16"/>
        <v>201.3725641399997</v>
      </c>
      <c r="S87" s="338">
        <v>17370.32502</v>
      </c>
      <c r="T87" s="338">
        <v>111209.58968999999</v>
      </c>
      <c r="U87" s="338">
        <v>182899.70074999999</v>
      </c>
      <c r="V87" s="79">
        <f t="shared" si="17"/>
        <v>71690.111059999996</v>
      </c>
      <c r="W87" s="80">
        <f t="shared" si="18"/>
        <v>1.644639650769671</v>
      </c>
      <c r="X87" s="81">
        <f t="shared" si="19"/>
        <v>64.463965076967099</v>
      </c>
      <c r="Y87" s="78">
        <v>199714.11812</v>
      </c>
      <c r="Z87" s="78">
        <v>244836.79800000001</v>
      </c>
      <c r="AA87" s="78">
        <v>8835.1564499999986</v>
      </c>
      <c r="AB87" s="78">
        <v>10624.263429999999</v>
      </c>
      <c r="AC87" s="78">
        <v>252133.61050000001</v>
      </c>
      <c r="AD87" s="78">
        <v>252133.61050000001</v>
      </c>
      <c r="AE87" s="78">
        <v>6914.1256800000001</v>
      </c>
      <c r="AF87" s="78">
        <v>6821.0884400000004</v>
      </c>
      <c r="AG87" s="78">
        <f t="shared" si="20"/>
        <v>2076129.9241099998</v>
      </c>
      <c r="AH87" s="78">
        <f t="shared" si="21"/>
        <v>2441074.32919</v>
      </c>
      <c r="AI87" s="78">
        <f t="shared" si="22"/>
        <v>126958.87181999999</v>
      </c>
      <c r="AJ87" s="78">
        <f t="shared" si="23"/>
        <v>200345.05261999997</v>
      </c>
    </row>
    <row r="88" spans="1:36" x14ac:dyDescent="0.25">
      <c r="A88" s="70" t="s">
        <v>358</v>
      </c>
      <c r="B88" s="62">
        <v>306084.42949000001</v>
      </c>
      <c r="C88" s="62">
        <v>0</v>
      </c>
      <c r="D88" s="62">
        <v>0</v>
      </c>
      <c r="E88" s="63">
        <f t="shared" si="13"/>
        <v>0</v>
      </c>
      <c r="F88" s="24">
        <f t="shared" si="14"/>
        <v>0</v>
      </c>
      <c r="G88" s="82">
        <f t="shared" si="15"/>
        <v>-100</v>
      </c>
      <c r="H88" s="62">
        <v>-49855.840149999996</v>
      </c>
      <c r="I88" s="62">
        <v>0</v>
      </c>
      <c r="J88" s="62">
        <v>0</v>
      </c>
      <c r="K88" s="62"/>
      <c r="L88" s="62"/>
      <c r="M88" s="62"/>
      <c r="N88" s="62"/>
      <c r="O88" s="62">
        <v>264837.71412999998</v>
      </c>
      <c r="P88" s="62">
        <v>0</v>
      </c>
      <c r="Q88" s="62">
        <v>60.290999999999997</v>
      </c>
      <c r="R88" s="102">
        <f t="shared" si="16"/>
        <v>6.0290999999999997E-2</v>
      </c>
      <c r="S88" s="339">
        <v>-2799.4326599999999</v>
      </c>
      <c r="T88" s="339">
        <v>0</v>
      </c>
      <c r="U88" s="339">
        <v>-54.755830000000003</v>
      </c>
      <c r="V88" s="63">
        <f t="shared" si="17"/>
        <v>-54.755830000000003</v>
      </c>
      <c r="W88" s="24">
        <f t="shared" si="18"/>
        <v>0</v>
      </c>
      <c r="X88" s="82" t="e">
        <f t="shared" si="19"/>
        <v>#DIV/0!</v>
      </c>
      <c r="Y88" s="62">
        <v>0</v>
      </c>
      <c r="Z88" s="62">
        <v>0</v>
      </c>
      <c r="AA88" s="62">
        <v>0</v>
      </c>
      <c r="AB88" s="62">
        <v>0</v>
      </c>
      <c r="AC88" s="62">
        <v>0</v>
      </c>
      <c r="AD88" s="62">
        <v>0</v>
      </c>
      <c r="AE88" s="62">
        <v>0</v>
      </c>
      <c r="AF88" s="62">
        <v>0</v>
      </c>
      <c r="AG88" s="62">
        <f t="shared" si="20"/>
        <v>0</v>
      </c>
      <c r="AH88" s="62">
        <f t="shared" si="21"/>
        <v>0</v>
      </c>
      <c r="AI88" s="62">
        <f t="shared" si="22"/>
        <v>0</v>
      </c>
      <c r="AJ88" s="62">
        <f t="shared" si="23"/>
        <v>-54.755830000000003</v>
      </c>
    </row>
    <row r="89" spans="1:36" x14ac:dyDescent="0.25">
      <c r="A89" s="68" t="s">
        <v>359</v>
      </c>
      <c r="B89" s="23">
        <v>306084.42949000001</v>
      </c>
      <c r="C89" s="23">
        <v>0</v>
      </c>
      <c r="D89" s="23">
        <v>0</v>
      </c>
      <c r="E89" s="23">
        <f t="shared" si="13"/>
        <v>0</v>
      </c>
      <c r="F89" s="24">
        <f t="shared" si="14"/>
        <v>0</v>
      </c>
      <c r="G89" s="82">
        <f t="shared" si="15"/>
        <v>-100</v>
      </c>
      <c r="H89" s="23">
        <v>-49855.840149999996</v>
      </c>
      <c r="I89" s="23">
        <v>0</v>
      </c>
      <c r="J89" s="23">
        <v>0</v>
      </c>
      <c r="K89" s="23"/>
      <c r="L89" s="23"/>
      <c r="M89" s="23"/>
      <c r="N89" s="23"/>
      <c r="O89" s="23">
        <v>240230.69891000001</v>
      </c>
      <c r="P89" s="23">
        <v>0</v>
      </c>
      <c r="Q89" s="23">
        <v>56.232999999999997</v>
      </c>
      <c r="R89" s="82">
        <f t="shared" si="16"/>
        <v>5.6232999999999998E-2</v>
      </c>
      <c r="S89" s="336">
        <v>17833.517459999999</v>
      </c>
      <c r="T89" s="336">
        <v>0</v>
      </c>
      <c r="U89" s="336">
        <v>-51.510199999999998</v>
      </c>
      <c r="V89" s="23">
        <f t="shared" si="17"/>
        <v>-51.510199999999998</v>
      </c>
      <c r="W89" s="24">
        <f t="shared" si="18"/>
        <v>0</v>
      </c>
      <c r="X89" s="82" t="e">
        <f t="shared" si="19"/>
        <v>#DIV/0!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f t="shared" si="20"/>
        <v>0</v>
      </c>
      <c r="AH89" s="23">
        <f t="shared" si="21"/>
        <v>0</v>
      </c>
      <c r="AI89" s="23">
        <f t="shared" si="22"/>
        <v>0</v>
      </c>
      <c r="AJ89" s="23">
        <f t="shared" si="23"/>
        <v>-51.510199999999998</v>
      </c>
    </row>
    <row r="90" spans="1:36" x14ac:dyDescent="0.25">
      <c r="A90" s="68" t="s">
        <v>358</v>
      </c>
      <c r="B90" s="69">
        <v>0</v>
      </c>
      <c r="C90" s="69">
        <v>0</v>
      </c>
      <c r="D90" s="69">
        <v>0</v>
      </c>
      <c r="E90" s="23">
        <f t="shared" si="13"/>
        <v>0</v>
      </c>
      <c r="F90" s="24">
        <f t="shared" si="14"/>
        <v>0</v>
      </c>
      <c r="G90" s="82" t="e">
        <f t="shared" si="15"/>
        <v>#DIV/0!</v>
      </c>
      <c r="H90" s="69">
        <v>0</v>
      </c>
      <c r="I90" s="69">
        <v>0</v>
      </c>
      <c r="J90" s="69">
        <v>0</v>
      </c>
      <c r="K90" s="69"/>
      <c r="L90" s="69"/>
      <c r="M90" s="69"/>
      <c r="N90" s="69"/>
      <c r="O90" s="340">
        <v>24607.015219999997</v>
      </c>
      <c r="P90" s="69">
        <v>0</v>
      </c>
      <c r="Q90" s="69">
        <v>4.0579999999999998</v>
      </c>
      <c r="R90" s="82">
        <f t="shared" si="16"/>
        <v>4.058E-3</v>
      </c>
      <c r="S90" s="340">
        <v>-20632.950120000001</v>
      </c>
      <c r="T90" s="340">
        <v>0</v>
      </c>
      <c r="U90" s="340">
        <v>-3.2456300000000002</v>
      </c>
      <c r="V90" s="23">
        <f t="shared" si="17"/>
        <v>-3.2456300000000002</v>
      </c>
      <c r="W90" s="24">
        <f t="shared" si="18"/>
        <v>0</v>
      </c>
      <c r="X90" s="82" t="e">
        <f t="shared" si="19"/>
        <v>#DIV/0!</v>
      </c>
      <c r="Y90" s="69">
        <v>0</v>
      </c>
      <c r="Z90" s="69">
        <v>0</v>
      </c>
      <c r="AA90" s="69">
        <v>0</v>
      </c>
      <c r="AB90" s="69">
        <v>0</v>
      </c>
      <c r="AC90" s="69">
        <v>0</v>
      </c>
      <c r="AD90" s="69">
        <v>0</v>
      </c>
      <c r="AE90" s="69">
        <v>0</v>
      </c>
      <c r="AF90" s="69">
        <v>0</v>
      </c>
      <c r="AG90" s="69">
        <f t="shared" si="20"/>
        <v>0</v>
      </c>
      <c r="AH90" s="69">
        <f t="shared" si="21"/>
        <v>0</v>
      </c>
      <c r="AI90" s="69">
        <f t="shared" si="22"/>
        <v>0</v>
      </c>
      <c r="AJ90" s="69">
        <f t="shared" si="23"/>
        <v>-3.2456300000000002</v>
      </c>
    </row>
    <row r="91" spans="1:36" x14ac:dyDescent="0.25">
      <c r="A91" s="70" t="s">
        <v>360</v>
      </c>
      <c r="B91" s="62">
        <v>67260.843500000003</v>
      </c>
      <c r="C91" s="62">
        <v>90791.989099999992</v>
      </c>
      <c r="D91" s="62">
        <v>124338.77287999999</v>
      </c>
      <c r="E91" s="63">
        <f t="shared" si="13"/>
        <v>33546.783779999998</v>
      </c>
      <c r="F91" s="24">
        <f t="shared" si="14"/>
        <v>1.3694905697357389</v>
      </c>
      <c r="G91" s="82">
        <f t="shared" si="15"/>
        <v>84.860561375505171</v>
      </c>
      <c r="H91" s="62">
        <v>-22095.81911</v>
      </c>
      <c r="I91" s="62">
        <v>-4830.1959999999999</v>
      </c>
      <c r="J91" s="62">
        <v>-5100.8919500000002</v>
      </c>
      <c r="K91" s="62"/>
      <c r="L91" s="62"/>
      <c r="M91" s="62"/>
      <c r="N91" s="62"/>
      <c r="O91" s="62">
        <v>653342.46577000001</v>
      </c>
      <c r="P91" s="62">
        <v>749108.17911999999</v>
      </c>
      <c r="Q91" s="62">
        <v>782520.76035999996</v>
      </c>
      <c r="R91" s="102">
        <f t="shared" si="16"/>
        <v>33.412581239999973</v>
      </c>
      <c r="S91" s="339">
        <v>-494717.56449000002</v>
      </c>
      <c r="T91" s="339">
        <v>-522448.26733999996</v>
      </c>
      <c r="U91" s="339">
        <v>-515036.38407999999</v>
      </c>
      <c r="V91" s="63">
        <f t="shared" si="17"/>
        <v>7411.8832599999732</v>
      </c>
      <c r="W91" s="24">
        <f t="shared" si="18"/>
        <v>0.98581317285683245</v>
      </c>
      <c r="X91" s="90">
        <f>(U91/T91*100-100)*-1</f>
        <v>1.4186827143167591</v>
      </c>
      <c r="Y91" s="62">
        <v>3416.04135</v>
      </c>
      <c r="Z91" s="62">
        <v>3416.0410000000002</v>
      </c>
      <c r="AA91" s="62">
        <v>-91042.629290000012</v>
      </c>
      <c r="AB91" s="62">
        <v>-79448.490000000005</v>
      </c>
      <c r="AC91" s="62">
        <v>3419.29135</v>
      </c>
      <c r="AD91" s="62">
        <v>3419.2910000000002</v>
      </c>
      <c r="AE91" s="62">
        <v>-112967.41226000001</v>
      </c>
      <c r="AF91" s="62">
        <v>-84616.615999999995</v>
      </c>
      <c r="AG91" s="62">
        <f t="shared" si="20"/>
        <v>97627.321799999991</v>
      </c>
      <c r="AH91" s="62">
        <f t="shared" si="21"/>
        <v>131174.10488</v>
      </c>
      <c r="AI91" s="62">
        <f t="shared" si="22"/>
        <v>-726458.30888999999</v>
      </c>
      <c r="AJ91" s="62">
        <f t="shared" si="23"/>
        <v>-679101.49008000002</v>
      </c>
    </row>
    <row r="92" spans="1:36" x14ac:dyDescent="0.25">
      <c r="A92" s="70" t="s">
        <v>361</v>
      </c>
      <c r="B92" s="62">
        <v>0</v>
      </c>
      <c r="C92" s="62">
        <v>0</v>
      </c>
      <c r="D92" s="62">
        <v>0</v>
      </c>
      <c r="E92" s="63">
        <f t="shared" si="13"/>
        <v>0</v>
      </c>
      <c r="F92" s="24">
        <f t="shared" si="14"/>
        <v>0</v>
      </c>
      <c r="G92" s="82" t="e">
        <f t="shared" si="15"/>
        <v>#DIV/0!</v>
      </c>
      <c r="H92" s="62">
        <v>0</v>
      </c>
      <c r="I92" s="62">
        <v>0</v>
      </c>
      <c r="J92" s="62">
        <v>0</v>
      </c>
      <c r="K92" s="62"/>
      <c r="L92" s="62"/>
      <c r="M92" s="62"/>
      <c r="N92" s="62"/>
      <c r="O92" s="62">
        <v>5683.1452499999996</v>
      </c>
      <c r="P92" s="62">
        <v>9135.9088200000006</v>
      </c>
      <c r="Q92" s="62">
        <v>8392.2908100000004</v>
      </c>
      <c r="R92" s="102">
        <f t="shared" si="16"/>
        <v>-0.74361801000000016</v>
      </c>
      <c r="S92" s="339">
        <v>-3824.5495899999996</v>
      </c>
      <c r="T92" s="339">
        <v>-294.72704999999996</v>
      </c>
      <c r="U92" s="339">
        <v>-6744.4107899999999</v>
      </c>
      <c r="V92" s="63">
        <f t="shared" si="17"/>
        <v>-6449.6837400000004</v>
      </c>
      <c r="W92" s="24">
        <f t="shared" si="18"/>
        <v>22.883582589382279</v>
      </c>
      <c r="X92" s="90">
        <f>(U92/T92*100-100)*-1</f>
        <v>-2188.3582589382277</v>
      </c>
      <c r="Y92" s="62">
        <v>0</v>
      </c>
      <c r="Z92" s="62">
        <v>0</v>
      </c>
      <c r="AA92" s="62">
        <v>1225.86005</v>
      </c>
      <c r="AB92" s="62">
        <v>0</v>
      </c>
      <c r="AC92" s="62">
        <v>0</v>
      </c>
      <c r="AD92" s="62">
        <v>0</v>
      </c>
      <c r="AE92" s="62">
        <v>1421.6139800000001</v>
      </c>
      <c r="AF92" s="62">
        <v>0</v>
      </c>
      <c r="AG92" s="62">
        <f t="shared" si="20"/>
        <v>0</v>
      </c>
      <c r="AH92" s="62">
        <f t="shared" si="21"/>
        <v>0</v>
      </c>
      <c r="AI92" s="62">
        <f t="shared" si="22"/>
        <v>2352.7469799999999</v>
      </c>
      <c r="AJ92" s="62">
        <f t="shared" si="23"/>
        <v>-6744.4107899999999</v>
      </c>
    </row>
    <row r="93" spans="1:36" x14ac:dyDescent="0.25">
      <c r="A93" s="70" t="s">
        <v>362</v>
      </c>
      <c r="B93" s="62">
        <v>0</v>
      </c>
      <c r="C93" s="62">
        <v>0</v>
      </c>
      <c r="D93" s="62">
        <v>0</v>
      </c>
      <c r="E93" s="63">
        <f t="shared" si="13"/>
        <v>0</v>
      </c>
      <c r="F93" s="24">
        <f t="shared" si="14"/>
        <v>0</v>
      </c>
      <c r="G93" s="82" t="e">
        <f t="shared" si="15"/>
        <v>#DIV/0!</v>
      </c>
      <c r="H93" s="62">
        <v>0</v>
      </c>
      <c r="I93" s="62">
        <v>0</v>
      </c>
      <c r="J93" s="62">
        <v>0</v>
      </c>
      <c r="K93" s="62"/>
      <c r="L93" s="62"/>
      <c r="M93" s="62"/>
      <c r="N93" s="62"/>
      <c r="O93" s="62">
        <v>0</v>
      </c>
      <c r="P93" s="62">
        <v>0</v>
      </c>
      <c r="Q93" s="62">
        <v>0</v>
      </c>
      <c r="R93" s="102">
        <f t="shared" si="16"/>
        <v>0</v>
      </c>
      <c r="S93" s="339">
        <v>0</v>
      </c>
      <c r="T93" s="339">
        <v>0</v>
      </c>
      <c r="U93" s="339">
        <v>0</v>
      </c>
      <c r="V93" s="63">
        <f t="shared" si="17"/>
        <v>0</v>
      </c>
      <c r="W93" s="24">
        <f t="shared" si="18"/>
        <v>0</v>
      </c>
      <c r="X93" s="82" t="e">
        <f t="shared" si="19"/>
        <v>#DIV/0!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f t="shared" si="20"/>
        <v>0</v>
      </c>
      <c r="AH93" s="62">
        <f t="shared" si="21"/>
        <v>0</v>
      </c>
      <c r="AI93" s="62">
        <f t="shared" si="22"/>
        <v>0</v>
      </c>
      <c r="AJ93" s="62">
        <f t="shared" si="23"/>
        <v>0</v>
      </c>
    </row>
    <row r="94" spans="1:36" ht="28.5" x14ac:dyDescent="0.25">
      <c r="A94" s="70" t="s">
        <v>363</v>
      </c>
      <c r="B94" s="62">
        <v>0</v>
      </c>
      <c r="C94" s="62">
        <v>0</v>
      </c>
      <c r="D94" s="62">
        <v>0</v>
      </c>
      <c r="E94" s="63">
        <f t="shared" si="13"/>
        <v>0</v>
      </c>
      <c r="F94" s="24">
        <f t="shared" si="14"/>
        <v>0</v>
      </c>
      <c r="G94" s="82" t="e">
        <f t="shared" si="15"/>
        <v>#DIV/0!</v>
      </c>
      <c r="H94" s="62">
        <v>0</v>
      </c>
      <c r="I94" s="62">
        <v>0</v>
      </c>
      <c r="J94" s="62">
        <v>0</v>
      </c>
      <c r="K94" s="62"/>
      <c r="L94" s="62"/>
      <c r="M94" s="62"/>
      <c r="N94" s="62"/>
      <c r="O94" s="62">
        <v>30402.490539999999</v>
      </c>
      <c r="P94" s="62">
        <v>95229.235379999998</v>
      </c>
      <c r="Q94" s="62">
        <v>93069.064379999996</v>
      </c>
      <c r="R94" s="102">
        <f t="shared" si="16"/>
        <v>-2.1601710000000023</v>
      </c>
      <c r="S94" s="339">
        <v>-24321.993539999999</v>
      </c>
      <c r="T94" s="339">
        <v>-76090.727769999998</v>
      </c>
      <c r="U94" s="339">
        <v>-74459.544989999995</v>
      </c>
      <c r="V94" s="63">
        <f t="shared" si="17"/>
        <v>1631.1827800000028</v>
      </c>
      <c r="W94" s="24">
        <f t="shared" si="18"/>
        <v>0.97856266028982408</v>
      </c>
      <c r="X94" s="90">
        <f>(U94/T94*100-100)*-1</f>
        <v>2.1437339710175962</v>
      </c>
      <c r="Y94" s="62">
        <v>0</v>
      </c>
      <c r="Z94" s="62">
        <v>0</v>
      </c>
      <c r="AA94" s="62">
        <v>-10874.98504</v>
      </c>
      <c r="AB94" s="62">
        <v>-13564.219090000001</v>
      </c>
      <c r="AC94" s="62">
        <v>0</v>
      </c>
      <c r="AD94" s="62">
        <v>0</v>
      </c>
      <c r="AE94" s="62">
        <v>-10853.64898</v>
      </c>
      <c r="AF94" s="62">
        <v>-13564.219090000001</v>
      </c>
      <c r="AG94" s="62">
        <f t="shared" si="20"/>
        <v>0</v>
      </c>
      <c r="AH94" s="62">
        <f t="shared" si="21"/>
        <v>0</v>
      </c>
      <c r="AI94" s="62">
        <f t="shared" si="22"/>
        <v>-97819.361789999995</v>
      </c>
      <c r="AJ94" s="62">
        <f t="shared" si="23"/>
        <v>-101587.98316999999</v>
      </c>
    </row>
    <row r="95" spans="1:36" ht="15.75" thickBot="1" x14ac:dyDescent="0.3">
      <c r="A95" s="71" t="s">
        <v>364</v>
      </c>
      <c r="B95" s="83">
        <v>0</v>
      </c>
      <c r="C95" s="83">
        <v>0</v>
      </c>
      <c r="D95" s="83">
        <v>0</v>
      </c>
      <c r="E95" s="84">
        <f t="shared" si="13"/>
        <v>0</v>
      </c>
      <c r="F95" s="85">
        <f t="shared" si="14"/>
        <v>0</v>
      </c>
      <c r="G95" s="86" t="e">
        <f t="shared" si="15"/>
        <v>#DIV/0!</v>
      </c>
      <c r="H95" s="83">
        <v>0</v>
      </c>
      <c r="I95" s="83">
        <v>0</v>
      </c>
      <c r="J95" s="83">
        <v>0</v>
      </c>
      <c r="K95" s="83"/>
      <c r="L95" s="83"/>
      <c r="M95" s="83"/>
      <c r="N95" s="83"/>
      <c r="O95" s="83">
        <v>1.9732100000000002E-12</v>
      </c>
      <c r="P95" s="83">
        <v>0</v>
      </c>
      <c r="Q95" s="83">
        <v>0</v>
      </c>
      <c r="R95" s="103">
        <f t="shared" si="16"/>
        <v>0</v>
      </c>
      <c r="S95" s="341">
        <v>0</v>
      </c>
      <c r="T95" s="341">
        <v>0</v>
      </c>
      <c r="U95" s="341">
        <v>0</v>
      </c>
      <c r="V95" s="84">
        <f t="shared" si="17"/>
        <v>0</v>
      </c>
      <c r="W95" s="85">
        <f t="shared" si="18"/>
        <v>0</v>
      </c>
      <c r="X95" s="86" t="e">
        <f t="shared" si="19"/>
        <v>#DIV/0!</v>
      </c>
      <c r="Y95" s="83">
        <v>0</v>
      </c>
      <c r="Z95" s="83">
        <v>0</v>
      </c>
      <c r="AA95" s="83">
        <v>0</v>
      </c>
      <c r="AB95" s="83">
        <v>0</v>
      </c>
      <c r="AC95" s="83">
        <v>0</v>
      </c>
      <c r="AD95" s="83">
        <v>0</v>
      </c>
      <c r="AE95" s="83">
        <v>0</v>
      </c>
      <c r="AF95" s="83">
        <v>0</v>
      </c>
      <c r="AG95" s="83">
        <f t="shared" si="20"/>
        <v>0</v>
      </c>
      <c r="AH95" s="83">
        <f t="shared" si="21"/>
        <v>0</v>
      </c>
      <c r="AI95" s="83">
        <f t="shared" si="22"/>
        <v>0</v>
      </c>
      <c r="AJ95" s="83">
        <f t="shared" si="23"/>
        <v>0</v>
      </c>
    </row>
  </sheetData>
  <autoFilter ref="A5:X95"/>
  <customSheetViews>
    <customSheetView guid="{38D37C3F-FD9B-4DF6-A86F-8343B05C36EA}" scale="80" showPageBreaks="1" printArea="1" showAutoFilter="1" hiddenColumns="1" view="pageBreakPreview">
      <pane xSplit="1" ySplit="5" topLeftCell="B67" activePane="bottomRight" state="frozen"/>
      <selection pane="bottomRight" activeCell="A83" sqref="A83"/>
      <rowBreaks count="1" manualBreakCount="1">
        <brk id="54" max="19" man="1"/>
      </rowBreaks>
      <pageMargins left="0" right="0" top="0" bottom="0" header="0" footer="0.31496062992125984"/>
      <printOptions horizontalCentered="1"/>
      <pageSetup paperSize="9" scale="59" orientation="landscape" r:id="rId1"/>
      <autoFilter ref="A5:T93"/>
    </customSheetView>
  </customSheetViews>
  <mergeCells count="12">
    <mergeCell ref="AC4:AD4"/>
    <mergeCell ref="AE4:AF4"/>
    <mergeCell ref="AI4:AJ4"/>
    <mergeCell ref="AG4:AH4"/>
    <mergeCell ref="A4:A5"/>
    <mergeCell ref="B4:G4"/>
    <mergeCell ref="H4:J4"/>
    <mergeCell ref="O4:R4"/>
    <mergeCell ref="S4:X4"/>
    <mergeCell ref="Y4:Z4"/>
    <mergeCell ref="AA4:AB4"/>
    <mergeCell ref="K4:N4"/>
  </mergeCells>
  <conditionalFormatting sqref="E6:G95 V6:X95">
    <cfRule type="cellIs" dxfId="113" priority="19" operator="greaterThan">
      <formula>0</formula>
    </cfRule>
    <cfRule type="cellIs" dxfId="112" priority="20" operator="lessThan">
      <formula>0</formula>
    </cfRule>
  </conditionalFormatting>
  <conditionalFormatting sqref="R6:R95">
    <cfRule type="cellIs" dxfId="111" priority="15" operator="lessThan">
      <formula>0</formula>
    </cfRule>
    <cfRule type="cellIs" dxfId="110" priority="16" operator="greaterThan">
      <formula>0</formula>
    </cfRule>
    <cfRule type="cellIs" dxfId="109" priority="17" operator="greaterThan">
      <formula>0</formula>
    </cfRule>
    <cfRule type="cellIs" dxfId="108" priority="18" operator="lessThan">
      <formula>0</formula>
    </cfRule>
  </conditionalFormatting>
  <conditionalFormatting sqref="F6:F95 W6:W95">
    <cfRule type="cellIs" dxfId="107" priority="5" operator="lessThan">
      <formula>1</formula>
    </cfRule>
    <cfRule type="cellIs" dxfId="106" priority="6" operator="greaterThan">
      <formula>1</formula>
    </cfRule>
  </conditionalFormatting>
  <printOptions horizontalCentered="1"/>
  <pageMargins left="0" right="0" top="0" bottom="0" header="0" footer="0.31496062992125984"/>
  <pageSetup paperSize="9" scale="39" orientation="landscape" r:id="rId2"/>
  <rowBreaks count="1" manualBreakCount="1"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view="pageBreakPreview" zoomScale="80" zoomScaleNormal="100" zoomScaleSheetLayoutView="80" workbookViewId="0">
      <pane xSplit="1" ySplit="5" topLeftCell="B57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15" outlineLevelRow="1" x14ac:dyDescent="0.25"/>
  <cols>
    <col min="1" max="1" width="48.28515625" style="49" customWidth="1"/>
    <col min="2" max="3" width="12" style="49" customWidth="1"/>
    <col min="4" max="5" width="12.140625" style="49" customWidth="1"/>
    <col min="6" max="6" width="12.140625" style="49" hidden="1" customWidth="1"/>
    <col min="7" max="7" width="13.42578125" style="49" customWidth="1"/>
    <col min="8" max="8" width="12.140625" style="49" hidden="1" customWidth="1"/>
    <col min="9" max="9" width="22" style="49" hidden="1" customWidth="1"/>
    <col min="10" max="10" width="12.140625" style="49" hidden="1" customWidth="1"/>
    <col min="11" max="14" width="12.140625" style="49" customWidth="1"/>
    <col min="15" max="15" width="12.140625" style="49" hidden="1" customWidth="1"/>
    <col min="16" max="16" width="13.7109375" style="49" customWidth="1"/>
    <col min="17" max="19" width="17.140625" style="49" hidden="1" customWidth="1"/>
    <col min="20" max="20" width="12.140625" style="49" hidden="1" customWidth="1"/>
    <col min="21" max="24" width="12.140625" style="49" customWidth="1"/>
    <col min="25" max="25" width="12.140625" style="49" hidden="1" customWidth="1"/>
    <col min="26" max="26" width="14.85546875" style="49" customWidth="1"/>
    <col min="27" max="30" width="12.140625" style="49" customWidth="1"/>
    <col min="31" max="31" width="12.140625" style="49" hidden="1" customWidth="1"/>
    <col min="32" max="32" width="12.140625" style="49" customWidth="1"/>
    <col min="33" max="34" width="16.140625" style="49" hidden="1" customWidth="1"/>
    <col min="35" max="36" width="16.7109375" style="49" hidden="1" customWidth="1"/>
    <col min="37" max="38" width="16.140625" style="49" hidden="1" customWidth="1"/>
    <col min="39" max="40" width="16.7109375" style="49" hidden="1" customWidth="1"/>
    <col min="41" max="42" width="16.140625" style="49" hidden="1" customWidth="1"/>
    <col min="43" max="44" width="16.7109375" style="49" hidden="1" customWidth="1"/>
    <col min="45" max="16384" width="9.140625" style="49"/>
  </cols>
  <sheetData>
    <row r="1" spans="1:44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9">
        <v>1000</v>
      </c>
      <c r="AK1" s="49">
        <v>1000</v>
      </c>
      <c r="AO1" s="49">
        <v>1000</v>
      </c>
    </row>
    <row r="2" spans="1:44" x14ac:dyDescent="0.25">
      <c r="A2" s="51" t="s">
        <v>773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44" ht="15.75" thickBo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>
        <v>-1</v>
      </c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</row>
    <row r="4" spans="1:44" ht="15" customHeight="1" x14ac:dyDescent="0.25">
      <c r="A4" s="413" t="s">
        <v>277</v>
      </c>
      <c r="B4" s="411" t="s">
        <v>365</v>
      </c>
      <c r="C4" s="415"/>
      <c r="D4" s="415"/>
      <c r="E4" s="415"/>
      <c r="F4" s="415"/>
      <c r="G4" s="417"/>
      <c r="H4" s="418" t="s">
        <v>59</v>
      </c>
      <c r="I4" s="419"/>
      <c r="J4" s="420"/>
      <c r="K4" s="418" t="s">
        <v>882</v>
      </c>
      <c r="L4" s="419"/>
      <c r="M4" s="419"/>
      <c r="N4" s="419"/>
      <c r="O4" s="419"/>
      <c r="P4" s="420"/>
      <c r="Q4" s="421" t="s">
        <v>366</v>
      </c>
      <c r="R4" s="422"/>
      <c r="S4" s="422"/>
      <c r="T4" s="423"/>
      <c r="U4" s="413" t="s">
        <v>7</v>
      </c>
      <c r="V4" s="414"/>
      <c r="W4" s="414"/>
      <c r="X4" s="414"/>
      <c r="Y4" s="414"/>
      <c r="Z4" s="424"/>
      <c r="AA4" s="413" t="s">
        <v>884</v>
      </c>
      <c r="AB4" s="414"/>
      <c r="AC4" s="414"/>
      <c r="AD4" s="414"/>
      <c r="AE4" s="414"/>
      <c r="AF4" s="424"/>
      <c r="AG4" s="411" t="s">
        <v>774</v>
      </c>
      <c r="AH4" s="415"/>
      <c r="AI4" s="413" t="s">
        <v>775</v>
      </c>
      <c r="AJ4" s="414"/>
      <c r="AK4" s="411" t="s">
        <v>776</v>
      </c>
      <c r="AL4" s="412"/>
      <c r="AM4" s="413" t="s">
        <v>777</v>
      </c>
      <c r="AN4" s="414"/>
      <c r="AO4" s="411" t="s">
        <v>771</v>
      </c>
      <c r="AP4" s="415"/>
      <c r="AQ4" s="413" t="s">
        <v>772</v>
      </c>
      <c r="AR4" s="414"/>
    </row>
    <row r="5" spans="1:44" ht="45.75" thickBot="1" x14ac:dyDescent="0.3">
      <c r="A5" s="416"/>
      <c r="B5" s="52" t="s">
        <v>389</v>
      </c>
      <c r="C5" s="52" t="s">
        <v>414</v>
      </c>
      <c r="D5" s="52" t="s">
        <v>754</v>
      </c>
      <c r="E5" s="52" t="s">
        <v>759</v>
      </c>
      <c r="F5" s="52" t="s">
        <v>760</v>
      </c>
      <c r="G5" s="88" t="s">
        <v>761</v>
      </c>
      <c r="H5" s="104" t="s">
        <v>389</v>
      </c>
      <c r="I5" s="105" t="s">
        <v>414</v>
      </c>
      <c r="J5" s="105" t="s">
        <v>754</v>
      </c>
      <c r="K5" s="104" t="s">
        <v>389</v>
      </c>
      <c r="L5" s="105" t="s">
        <v>414</v>
      </c>
      <c r="M5" s="105" t="s">
        <v>754</v>
      </c>
      <c r="N5" s="105" t="s">
        <v>759</v>
      </c>
      <c r="O5" s="105" t="s">
        <v>760</v>
      </c>
      <c r="P5" s="105" t="s">
        <v>761</v>
      </c>
      <c r="Q5" s="53" t="s">
        <v>389</v>
      </c>
      <c r="R5" s="53" t="s">
        <v>414</v>
      </c>
      <c r="S5" s="53" t="s">
        <v>754</v>
      </c>
      <c r="T5" s="98" t="s">
        <v>759</v>
      </c>
      <c r="U5" s="54" t="s">
        <v>389</v>
      </c>
      <c r="V5" s="54" t="s">
        <v>414</v>
      </c>
      <c r="W5" s="54" t="s">
        <v>754</v>
      </c>
      <c r="X5" s="54" t="s">
        <v>759</v>
      </c>
      <c r="Y5" s="54" t="s">
        <v>368</v>
      </c>
      <c r="Z5" s="55" t="s">
        <v>761</v>
      </c>
      <c r="AA5" s="54" t="s">
        <v>389</v>
      </c>
      <c r="AB5" s="54" t="s">
        <v>414</v>
      </c>
      <c r="AC5" s="54" t="s">
        <v>754</v>
      </c>
      <c r="AD5" s="54" t="s">
        <v>759</v>
      </c>
      <c r="AE5" s="54" t="s">
        <v>368</v>
      </c>
      <c r="AF5" s="55" t="s">
        <v>761</v>
      </c>
      <c r="AG5" s="52" t="s">
        <v>408</v>
      </c>
      <c r="AH5" s="52" t="s">
        <v>770</v>
      </c>
      <c r="AI5" s="54" t="s">
        <v>408</v>
      </c>
      <c r="AJ5" s="54" t="s">
        <v>770</v>
      </c>
      <c r="AK5" s="52" t="s">
        <v>408</v>
      </c>
      <c r="AL5" s="52" t="s">
        <v>770</v>
      </c>
      <c r="AM5" s="54" t="s">
        <v>408</v>
      </c>
      <c r="AN5" s="54" t="s">
        <v>770</v>
      </c>
      <c r="AO5" s="52" t="s">
        <v>408</v>
      </c>
      <c r="AP5" s="52" t="s">
        <v>770</v>
      </c>
      <c r="AQ5" s="54" t="s">
        <v>408</v>
      </c>
      <c r="AR5" s="54" t="s">
        <v>770</v>
      </c>
    </row>
    <row r="6" spans="1:44" x14ac:dyDescent="0.25">
      <c r="A6" s="56" t="s">
        <v>278</v>
      </c>
      <c r="B6" s="57">
        <v>4556519.1601400003</v>
      </c>
      <c r="C6" s="57">
        <v>5086810.9361399999</v>
      </c>
      <c r="D6" s="57">
        <v>5338714.4427100001</v>
      </c>
      <c r="E6" s="57">
        <f>(D6-C6)</f>
        <v>251903.5065700002</v>
      </c>
      <c r="F6" s="58">
        <f>(IFERROR(D6/C6,0))</f>
        <v>1.04952091000283</v>
      </c>
      <c r="G6" s="189">
        <f>(D6/B6*100-100)</f>
        <v>17.166509238292477</v>
      </c>
      <c r="H6" s="57">
        <v>0</v>
      </c>
      <c r="I6" s="57">
        <v>0</v>
      </c>
      <c r="J6" s="57">
        <v>0</v>
      </c>
      <c r="K6" s="57">
        <v>63763.123049999995</v>
      </c>
      <c r="L6" s="57">
        <v>71470.826959999991</v>
      </c>
      <c r="M6" s="57">
        <v>76852.577319999997</v>
      </c>
      <c r="N6" s="57">
        <f>(M6-L6)</f>
        <v>5381.7503600000055</v>
      </c>
      <c r="O6" s="58">
        <f>(IFERROR(M6/L6,0))</f>
        <v>1.0752999592828554</v>
      </c>
      <c r="P6" s="189">
        <f>(M6/K6*100-100)</f>
        <v>20.52825150947497</v>
      </c>
      <c r="Q6" s="272">
        <v>4882105.0623399997</v>
      </c>
      <c r="R6" s="272">
        <v>5358976.0366099998</v>
      </c>
      <c r="S6" s="272">
        <v>5458744.9610699983</v>
      </c>
      <c r="T6" s="99">
        <f t="shared" ref="T6:T69" si="0">(S6-R6)/1000</f>
        <v>99.768924459998502</v>
      </c>
      <c r="U6" s="57">
        <v>-196535.88751</v>
      </c>
      <c r="V6" s="57">
        <v>-125390.2853</v>
      </c>
      <c r="W6" s="57">
        <v>4314.5564999999997</v>
      </c>
      <c r="X6" s="57">
        <f>W6-V6</f>
        <v>129704.84180000001</v>
      </c>
      <c r="Y6" s="58">
        <f>IFERROR(W6/V6,0)</f>
        <v>-3.4409017330786787E-2</v>
      </c>
      <c r="Z6" s="90">
        <f>(W6/U6*100-100)*-1</f>
        <v>102.19530211742142</v>
      </c>
      <c r="AA6" s="57">
        <f>данные!S6+данные!K6</f>
        <v>-25711.087110000008</v>
      </c>
      <c r="AB6" s="57">
        <f>данные!T6+данные!L6</f>
        <v>30311.158979999993</v>
      </c>
      <c r="AC6" s="57">
        <f>данные!U6+данные!M6</f>
        <v>151358.56899</v>
      </c>
      <c r="AD6" s="57">
        <f>AC6-AB6</f>
        <v>121047.41001000001</v>
      </c>
      <c r="AE6" s="58">
        <f>IFERROR(AC6/AB6,0)</f>
        <v>4.9934932903710445</v>
      </c>
      <c r="AF6" s="90">
        <f>(AC6/AA6*100-100)*-1</f>
        <v>688.68988441617057</v>
      </c>
      <c r="AG6" s="57">
        <v>774520.59282000002</v>
      </c>
      <c r="AH6" s="57">
        <v>807508.25579999993</v>
      </c>
      <c r="AI6" s="57">
        <v>-55567.155960000004</v>
      </c>
      <c r="AJ6" s="57">
        <v>-55852.625479999995</v>
      </c>
      <c r="AK6" s="57">
        <v>945250.82559000002</v>
      </c>
      <c r="AL6" s="57">
        <v>893550.8070700001</v>
      </c>
      <c r="AM6" s="57">
        <v>-10169.783529999999</v>
      </c>
      <c r="AN6" s="57">
        <v>-8719.2666199999985</v>
      </c>
      <c r="AO6" s="57">
        <f t="shared" ref="AO6:AO38" si="1">C6+AG6+AK6</f>
        <v>6806582.3545500003</v>
      </c>
      <c r="AP6" s="57">
        <f t="shared" ref="AP6:AP38" si="2">D6+AH6+AL6</f>
        <v>7039773.5055800006</v>
      </c>
      <c r="AQ6" s="57">
        <f>AB6+AI6+AM6</f>
        <v>-35425.780510000011</v>
      </c>
      <c r="AR6" s="57">
        <f>AC6+AJ6+AN6</f>
        <v>86786.676890000017</v>
      </c>
    </row>
    <row r="7" spans="1:44" ht="15.75" thickBot="1" x14ac:dyDescent="0.3">
      <c r="A7" s="60" t="s">
        <v>279</v>
      </c>
      <c r="B7" s="72">
        <v>3273131.8903800002</v>
      </c>
      <c r="C7" s="72">
        <v>3612282.6267399997</v>
      </c>
      <c r="D7" s="72">
        <v>3563191.1164899999</v>
      </c>
      <c r="E7" s="72">
        <f t="shared" ref="E7:E70" si="3">(D7-C7)</f>
        <v>-49091.510249999817</v>
      </c>
      <c r="F7" s="73">
        <f t="shared" ref="F7:F70" si="4">(IFERROR(D7/C7,0))</f>
        <v>0.98640983684759354</v>
      </c>
      <c r="G7" s="92">
        <f t="shared" ref="G7:G70" si="5">(D7/B7*100-100)</f>
        <v>8.8618251822515219</v>
      </c>
      <c r="H7" s="72">
        <v>43160.455860000002</v>
      </c>
      <c r="I7" s="72">
        <v>35605.037960000001</v>
      </c>
      <c r="J7" s="72">
        <v>57413.671780000004</v>
      </c>
      <c r="K7" s="72">
        <v>189938.69677000001</v>
      </c>
      <c r="L7" s="72">
        <v>132298.30940999999</v>
      </c>
      <c r="M7" s="72">
        <v>135133.33473</v>
      </c>
      <c r="N7" s="72">
        <f t="shared" ref="N7:N70" si="6">(M7-L7)</f>
        <v>2835.0253200000152</v>
      </c>
      <c r="O7" s="73">
        <f t="shared" ref="O7:O70" si="7">(IFERROR(M7/L7,0))</f>
        <v>1.0214290366418373</v>
      </c>
      <c r="P7" s="92">
        <f t="shared" ref="P7:P70" si="8">(M7/K7*100-100)</f>
        <v>-28.854237168092581</v>
      </c>
      <c r="Q7" s="273">
        <v>2991944.6558599998</v>
      </c>
      <c r="R7" s="273">
        <v>3280152.7002500002</v>
      </c>
      <c r="S7" s="273">
        <v>3177248.6897799997</v>
      </c>
      <c r="T7" s="92">
        <f t="shared" si="0"/>
        <v>-102.90401047000056</v>
      </c>
      <c r="U7" s="72">
        <v>279894.82892</v>
      </c>
      <c r="V7" s="72">
        <v>308105.36755999998</v>
      </c>
      <c r="W7" s="72">
        <v>374131.52649999998</v>
      </c>
      <c r="X7" s="72">
        <f t="shared" ref="X7:X72" si="9">W7-V7</f>
        <v>66026.158939999994</v>
      </c>
      <c r="Y7" s="73">
        <f t="shared" ref="Y7:Y72" si="10">IFERROR(W7/V7,0)</f>
        <v>1.2142973342622541</v>
      </c>
      <c r="Z7" s="92">
        <f t="shared" ref="Z7:Z70" si="11">(W7/U7*100-100)</f>
        <v>33.66860972159472</v>
      </c>
      <c r="AA7" s="72">
        <f>данные!S7+данные!K7</f>
        <v>624391.55048999994</v>
      </c>
      <c r="AB7" s="72">
        <f>данные!T7+данные!L7</f>
        <v>585398.86314000003</v>
      </c>
      <c r="AC7" s="72">
        <f>данные!U7+данные!M7</f>
        <v>629914.34530000004</v>
      </c>
      <c r="AD7" s="72">
        <f t="shared" ref="AD7:AD72" si="12">AC7-AB7</f>
        <v>44515.482160000014</v>
      </c>
      <c r="AE7" s="73">
        <f t="shared" ref="AE7:AE72" si="13">IFERROR(AC7/AB7,0)</f>
        <v>1.0760429938678477</v>
      </c>
      <c r="AF7" s="92">
        <f t="shared" ref="AF7:AF70" si="14">(AC7/AA7*100-100)</f>
        <v>0.88450825538335209</v>
      </c>
      <c r="AG7" s="72">
        <v>571390.43335000006</v>
      </c>
      <c r="AH7" s="72">
        <v>559255.41680000001</v>
      </c>
      <c r="AI7" s="72">
        <v>36289.441869999995</v>
      </c>
      <c r="AJ7" s="72">
        <v>26535.820179999999</v>
      </c>
      <c r="AK7" s="72">
        <v>689697.92374</v>
      </c>
      <c r="AL7" s="72">
        <v>637997.90557000006</v>
      </c>
      <c r="AM7" s="72">
        <v>105315.53805</v>
      </c>
      <c r="AN7" s="72">
        <v>82640.480030000006</v>
      </c>
      <c r="AO7" s="72">
        <f t="shared" si="1"/>
        <v>4873370.9838299993</v>
      </c>
      <c r="AP7" s="72">
        <f t="shared" si="2"/>
        <v>4760444.4388600001</v>
      </c>
      <c r="AQ7" s="72">
        <f t="shared" ref="AQ7:AR72" si="15">AB7+AI7+AM7</f>
        <v>727003.84305999998</v>
      </c>
      <c r="AR7" s="72">
        <f t="shared" si="15"/>
        <v>739090.64551000006</v>
      </c>
    </row>
    <row r="8" spans="1:44" ht="22.5" customHeight="1" thickBot="1" x14ac:dyDescent="0.3">
      <c r="A8" s="61" t="s">
        <v>280</v>
      </c>
      <c r="B8" s="74">
        <v>498061.94495999999</v>
      </c>
      <c r="C8" s="74">
        <v>540006.66295999999</v>
      </c>
      <c r="D8" s="74">
        <v>551023.16252999997</v>
      </c>
      <c r="E8" s="75">
        <f t="shared" si="3"/>
        <v>11016.499569999985</v>
      </c>
      <c r="F8" s="76">
        <f t="shared" si="4"/>
        <v>1.0204006734094984</v>
      </c>
      <c r="G8" s="77">
        <f t="shared" si="5"/>
        <v>10.633459975395908</v>
      </c>
      <c r="H8" s="74">
        <v>7431.16237</v>
      </c>
      <c r="I8" s="74">
        <v>2559.6734200000001</v>
      </c>
      <c r="J8" s="74">
        <v>14941.614970000001</v>
      </c>
      <c r="K8" s="74">
        <v>25326.526129999998</v>
      </c>
      <c r="L8" s="74">
        <v>21885.156190000002</v>
      </c>
      <c r="M8" s="74">
        <v>22634.333559999999</v>
      </c>
      <c r="N8" s="75">
        <f t="shared" si="6"/>
        <v>749.17736999999761</v>
      </c>
      <c r="O8" s="76">
        <f t="shared" si="7"/>
        <v>1.0342322149084007</v>
      </c>
      <c r="P8" s="77">
        <f t="shared" si="8"/>
        <v>-10.629932254352951</v>
      </c>
      <c r="Q8" s="274">
        <v>403674.56448</v>
      </c>
      <c r="R8" s="274">
        <v>451152.5062</v>
      </c>
      <c r="S8" s="274">
        <v>460138.94543999998</v>
      </c>
      <c r="T8" s="100">
        <f t="shared" si="0"/>
        <v>8.986439239999978</v>
      </c>
      <c r="U8" s="74">
        <v>82217.653390000007</v>
      </c>
      <c r="V8" s="74">
        <v>73131.064150000006</v>
      </c>
      <c r="W8" s="74">
        <v>86171.484519999998</v>
      </c>
      <c r="X8" s="75">
        <f t="shared" si="9"/>
        <v>13040.420369999993</v>
      </c>
      <c r="Y8" s="76">
        <f t="shared" si="10"/>
        <v>1.1783157475085093</v>
      </c>
      <c r="Z8" s="77">
        <f t="shared" si="11"/>
        <v>4.8089807565353055</v>
      </c>
      <c r="AA8" s="74">
        <f>данные!S8+данные!K8</f>
        <v>135967.06586999999</v>
      </c>
      <c r="AB8" s="74">
        <f>данные!T8+данные!L8</f>
        <v>123496.08478999999</v>
      </c>
      <c r="AC8" s="74">
        <f>данные!U8+данные!M8</f>
        <v>130124.20684</v>
      </c>
      <c r="AD8" s="75">
        <f t="shared" si="12"/>
        <v>6628.1220500000054</v>
      </c>
      <c r="AE8" s="76">
        <f t="shared" si="13"/>
        <v>1.0536707059278103</v>
      </c>
      <c r="AF8" s="77">
        <f t="shared" si="14"/>
        <v>-4.2972605112964857</v>
      </c>
      <c r="AG8" s="74">
        <v>83486.629199999996</v>
      </c>
      <c r="AH8" s="74">
        <v>84925.138599999991</v>
      </c>
      <c r="AI8" s="74">
        <v>9250.1641400000008</v>
      </c>
      <c r="AJ8" s="74">
        <v>8920.3717899999992</v>
      </c>
      <c r="AK8" s="74">
        <v>99649.851689999996</v>
      </c>
      <c r="AL8" s="74">
        <v>87791.050930000012</v>
      </c>
      <c r="AM8" s="74">
        <v>20646.128430000001</v>
      </c>
      <c r="AN8" s="74">
        <v>12206.893380000001</v>
      </c>
      <c r="AO8" s="74">
        <f t="shared" si="1"/>
        <v>723143.14384999999</v>
      </c>
      <c r="AP8" s="74">
        <f t="shared" si="2"/>
        <v>723739.35205999995</v>
      </c>
      <c r="AQ8" s="74">
        <f t="shared" si="15"/>
        <v>153392.37736000001</v>
      </c>
      <c r="AR8" s="74">
        <f t="shared" si="15"/>
        <v>151251.47201</v>
      </c>
    </row>
    <row r="9" spans="1:44" outlineLevel="1" x14ac:dyDescent="0.25">
      <c r="A9" s="64" t="s">
        <v>281</v>
      </c>
      <c r="B9" s="59">
        <v>38980.286310000003</v>
      </c>
      <c r="C9" s="59">
        <v>54297.479039999998</v>
      </c>
      <c r="D9" s="59">
        <v>57721.115520000007</v>
      </c>
      <c r="E9" s="59">
        <f t="shared" si="3"/>
        <v>3423.6364800000083</v>
      </c>
      <c r="F9" s="58">
        <f t="shared" si="4"/>
        <v>1.0630533229264267</v>
      </c>
      <c r="G9" s="90">
        <f t="shared" si="5"/>
        <v>48.077710514897433</v>
      </c>
      <c r="H9" s="59">
        <v>9844.6874900000003</v>
      </c>
      <c r="I9" s="59">
        <v>1398.6471999999999</v>
      </c>
      <c r="J9" s="59">
        <v>13201.76259</v>
      </c>
      <c r="K9" s="59">
        <v>1871.59476</v>
      </c>
      <c r="L9" s="59">
        <v>1047.28964</v>
      </c>
      <c r="M9" s="59">
        <v>1163.6118300000001</v>
      </c>
      <c r="N9" s="59">
        <f t="shared" si="6"/>
        <v>116.32219000000009</v>
      </c>
      <c r="O9" s="58">
        <f t="shared" si="7"/>
        <v>1.111069741891078</v>
      </c>
      <c r="P9" s="90">
        <f t="shared" si="8"/>
        <v>-37.827789708066931</v>
      </c>
      <c r="Q9" s="275">
        <v>43635.330170000001</v>
      </c>
      <c r="R9" s="275">
        <v>56100.466990000001</v>
      </c>
      <c r="S9" s="275">
        <v>67619.196469999995</v>
      </c>
      <c r="T9" s="90">
        <f t="shared" si="0"/>
        <v>11.518729479999994</v>
      </c>
      <c r="U9" s="59">
        <v>4172.5532899999998</v>
      </c>
      <c r="V9" s="59">
        <v>-323.47262000000001</v>
      </c>
      <c r="W9" s="59">
        <v>3313.4400900000001</v>
      </c>
      <c r="X9" s="59">
        <f t="shared" si="9"/>
        <v>3636.9127100000001</v>
      </c>
      <c r="Y9" s="58">
        <f t="shared" si="10"/>
        <v>-10.24334019367698</v>
      </c>
      <c r="Z9" s="90">
        <f t="shared" si="11"/>
        <v>-20.589627987711083</v>
      </c>
      <c r="AA9" s="59">
        <f>данные!S9+данные!K9</f>
        <v>8561.1095700000005</v>
      </c>
      <c r="AB9" s="59">
        <f>данные!T9+данные!L9</f>
        <v>2402.6719999999996</v>
      </c>
      <c r="AC9" s="59">
        <f>данные!U9+данные!M9</f>
        <v>5663.6905300000008</v>
      </c>
      <c r="AD9" s="59">
        <f t="shared" si="12"/>
        <v>3261.0185300000012</v>
      </c>
      <c r="AE9" s="58">
        <f t="shared" si="13"/>
        <v>2.3572466528931129</v>
      </c>
      <c r="AF9" s="90">
        <f t="shared" si="14"/>
        <v>-33.843966325967713</v>
      </c>
      <c r="AG9" s="59">
        <v>8091.7774800000007</v>
      </c>
      <c r="AH9" s="59">
        <v>10508.009470000001</v>
      </c>
      <c r="AI9" s="59">
        <v>-182.33058</v>
      </c>
      <c r="AJ9" s="59">
        <v>598.77706999999998</v>
      </c>
      <c r="AK9" s="59">
        <v>9624.5649000000012</v>
      </c>
      <c r="AL9" s="59">
        <v>7224.3239999999996</v>
      </c>
      <c r="AM9" s="59">
        <v>1551.3683500000002</v>
      </c>
      <c r="AN9" s="59">
        <v>579.41428000000008</v>
      </c>
      <c r="AO9" s="59">
        <f t="shared" si="1"/>
        <v>72013.821419999993</v>
      </c>
      <c r="AP9" s="59">
        <f t="shared" si="2"/>
        <v>75453.448990000004</v>
      </c>
      <c r="AQ9" s="59">
        <f t="shared" si="15"/>
        <v>3771.7097699999999</v>
      </c>
      <c r="AR9" s="59">
        <f t="shared" si="15"/>
        <v>6841.8818800000008</v>
      </c>
    </row>
    <row r="10" spans="1:44" outlineLevel="1" x14ac:dyDescent="0.25">
      <c r="A10" s="65" t="s">
        <v>282</v>
      </c>
      <c r="B10" s="23">
        <v>27373.11794</v>
      </c>
      <c r="C10" s="23">
        <v>30647</v>
      </c>
      <c r="D10" s="23">
        <v>29353.160600000003</v>
      </c>
      <c r="E10" s="23">
        <f t="shared" si="3"/>
        <v>-1293.8393999999971</v>
      </c>
      <c r="F10" s="24">
        <f t="shared" si="4"/>
        <v>0.95778251052305297</v>
      </c>
      <c r="G10" s="82">
        <f t="shared" si="5"/>
        <v>7.2335298607199832</v>
      </c>
      <c r="H10" s="23">
        <v>530.44581999999991</v>
      </c>
      <c r="I10" s="23">
        <v>212.39004</v>
      </c>
      <c r="J10" s="23">
        <v>316.72053999999997</v>
      </c>
      <c r="K10" s="23">
        <v>2015.9641200000001</v>
      </c>
      <c r="L10" s="23">
        <v>1748.8841100000002</v>
      </c>
      <c r="M10" s="23">
        <v>1752.3827699999999</v>
      </c>
      <c r="N10" s="23">
        <f t="shared" si="6"/>
        <v>3.4986599999997452</v>
      </c>
      <c r="O10" s="24">
        <f t="shared" si="7"/>
        <v>1.0020005099137186</v>
      </c>
      <c r="P10" s="82">
        <f t="shared" si="8"/>
        <v>-13.074704424798995</v>
      </c>
      <c r="Q10" s="276">
        <v>23615.229440000003</v>
      </c>
      <c r="R10" s="276">
        <v>26593.95435</v>
      </c>
      <c r="S10" s="276">
        <v>24533.843789999999</v>
      </c>
      <c r="T10" s="82">
        <f t="shared" si="0"/>
        <v>-2.0601105600000009</v>
      </c>
      <c r="U10" s="23">
        <v>3419.5656200000003</v>
      </c>
      <c r="V10" s="23">
        <v>3412.34854</v>
      </c>
      <c r="W10" s="23">
        <v>4074.6961900000001</v>
      </c>
      <c r="X10" s="23">
        <f t="shared" si="9"/>
        <v>662.34765000000016</v>
      </c>
      <c r="Y10" s="24">
        <f t="shared" si="10"/>
        <v>1.1941031645026507</v>
      </c>
      <c r="Z10" s="82">
        <f t="shared" si="11"/>
        <v>19.158297947796072</v>
      </c>
      <c r="AA10" s="23">
        <f>данные!S10+данные!K10</f>
        <v>6540.6741600000005</v>
      </c>
      <c r="AB10" s="23">
        <f>данные!T10+данные!L10</f>
        <v>6577.5592299999998</v>
      </c>
      <c r="AC10" s="23">
        <f>данные!U10+данные!M10</f>
        <v>6536.7027200000002</v>
      </c>
      <c r="AD10" s="23">
        <f t="shared" si="12"/>
        <v>-40.856509999999616</v>
      </c>
      <c r="AE10" s="24">
        <f t="shared" si="13"/>
        <v>0.99378849987185902</v>
      </c>
      <c r="AF10" s="82">
        <f t="shared" si="14"/>
        <v>-6.0719123179808321E-2</v>
      </c>
      <c r="AG10" s="23">
        <v>4761</v>
      </c>
      <c r="AH10" s="23">
        <v>4594.9507899999999</v>
      </c>
      <c r="AI10" s="23">
        <v>336.01526000000001</v>
      </c>
      <c r="AJ10" s="23">
        <v>130.68218999999999</v>
      </c>
      <c r="AK10" s="23">
        <v>5532</v>
      </c>
      <c r="AL10" s="23">
        <v>4832</v>
      </c>
      <c r="AM10" s="23">
        <v>907.51169999999991</v>
      </c>
      <c r="AN10" s="23">
        <v>485.97890999999998</v>
      </c>
      <c r="AO10" s="23">
        <f t="shared" si="1"/>
        <v>40940</v>
      </c>
      <c r="AP10" s="23">
        <f t="shared" si="2"/>
        <v>38780.111390000005</v>
      </c>
      <c r="AQ10" s="23">
        <f t="shared" si="15"/>
        <v>7821.08619</v>
      </c>
      <c r="AR10" s="23">
        <f t="shared" si="15"/>
        <v>7153.3638200000005</v>
      </c>
    </row>
    <row r="11" spans="1:44" outlineLevel="1" x14ac:dyDescent="0.25">
      <c r="A11" s="65" t="s">
        <v>283</v>
      </c>
      <c r="B11" s="23">
        <v>29017.712159999999</v>
      </c>
      <c r="C11" s="23">
        <v>30354.830510000003</v>
      </c>
      <c r="D11" s="23">
        <v>33105.614529999999</v>
      </c>
      <c r="E11" s="23">
        <f t="shared" si="3"/>
        <v>2750.7840199999955</v>
      </c>
      <c r="F11" s="24">
        <f t="shared" si="4"/>
        <v>1.0906209645642326</v>
      </c>
      <c r="G11" s="82">
        <f t="shared" si="5"/>
        <v>14.087610861462224</v>
      </c>
      <c r="H11" s="23">
        <v>-1989.69156</v>
      </c>
      <c r="I11" s="23">
        <v>-2695.58752</v>
      </c>
      <c r="J11" s="23">
        <v>-3620.6627200000003</v>
      </c>
      <c r="K11" s="23">
        <v>499.23005999999998</v>
      </c>
      <c r="L11" s="23">
        <v>69.651359999999997</v>
      </c>
      <c r="M11" s="23">
        <v>69.651330000000002</v>
      </c>
      <c r="N11" s="23">
        <f t="shared" si="6"/>
        <v>-2.9999999995311555E-5</v>
      </c>
      <c r="O11" s="24">
        <f t="shared" si="7"/>
        <v>0.99999956928335654</v>
      </c>
      <c r="P11" s="82">
        <f t="shared" si="8"/>
        <v>-86.048249979177939</v>
      </c>
      <c r="Q11" s="276">
        <v>24651.856339999998</v>
      </c>
      <c r="R11" s="276">
        <v>24825.629840000001</v>
      </c>
      <c r="S11" s="276">
        <v>25110.617670000003</v>
      </c>
      <c r="T11" s="82">
        <f t="shared" si="0"/>
        <v>0.28498783000000183</v>
      </c>
      <c r="U11" s="23">
        <v>2317.6795200000001</v>
      </c>
      <c r="V11" s="23">
        <v>2266.8905</v>
      </c>
      <c r="W11" s="23">
        <v>3498.9384399999999</v>
      </c>
      <c r="X11" s="23">
        <f t="shared" si="9"/>
        <v>1232.0479399999999</v>
      </c>
      <c r="Y11" s="24">
        <f t="shared" si="10"/>
        <v>1.5434968914466756</v>
      </c>
      <c r="Z11" s="82">
        <f t="shared" si="11"/>
        <v>50.967310614195696</v>
      </c>
      <c r="AA11" s="23">
        <f>данные!S11+данные!K11</f>
        <v>4144.0742099999998</v>
      </c>
      <c r="AB11" s="23">
        <f>данные!T11+данные!L11</f>
        <v>3366.2876499999998</v>
      </c>
      <c r="AC11" s="23">
        <f>данные!U11+данные!M11</f>
        <v>4437.4211999999998</v>
      </c>
      <c r="AD11" s="23">
        <f t="shared" si="12"/>
        <v>1071.13355</v>
      </c>
      <c r="AE11" s="24">
        <f t="shared" si="13"/>
        <v>1.3181943022605331</v>
      </c>
      <c r="AF11" s="82">
        <f t="shared" si="14"/>
        <v>7.0787098670223969</v>
      </c>
      <c r="AG11" s="23">
        <v>4649.0485799999997</v>
      </c>
      <c r="AH11" s="23">
        <v>5238.1704300000001</v>
      </c>
      <c r="AI11" s="23">
        <v>160.26285999999999</v>
      </c>
      <c r="AJ11" s="23">
        <v>317.51387</v>
      </c>
      <c r="AK11" s="23">
        <v>5025.2181799999998</v>
      </c>
      <c r="AL11" s="23">
        <v>5025.2181799999998</v>
      </c>
      <c r="AM11" s="23">
        <v>520.31780000000003</v>
      </c>
      <c r="AN11" s="23">
        <v>312.31465000000003</v>
      </c>
      <c r="AO11" s="23">
        <f t="shared" si="1"/>
        <v>40029.097269999998</v>
      </c>
      <c r="AP11" s="23">
        <f t="shared" si="2"/>
        <v>43369.003140000001</v>
      </c>
      <c r="AQ11" s="23">
        <f t="shared" si="15"/>
        <v>4046.8683099999998</v>
      </c>
      <c r="AR11" s="23">
        <f t="shared" si="15"/>
        <v>5067.2497199999998</v>
      </c>
    </row>
    <row r="12" spans="1:44" outlineLevel="1" x14ac:dyDescent="0.25">
      <c r="A12" s="65" t="s">
        <v>284</v>
      </c>
      <c r="B12" s="23">
        <v>82369.013030000002</v>
      </c>
      <c r="C12" s="23">
        <v>81204.157999999996</v>
      </c>
      <c r="D12" s="23">
        <v>91749.452680000002</v>
      </c>
      <c r="E12" s="23">
        <f t="shared" si="3"/>
        <v>10545.294680000006</v>
      </c>
      <c r="F12" s="24">
        <f t="shared" si="4"/>
        <v>1.1298615112787698</v>
      </c>
      <c r="G12" s="82">
        <f t="shared" si="5"/>
        <v>11.38831133812846</v>
      </c>
      <c r="H12" s="23">
        <v>-4932.7477800000006</v>
      </c>
      <c r="I12" s="23">
        <v>1314.5679</v>
      </c>
      <c r="J12" s="23">
        <v>-2519.8474999999999</v>
      </c>
      <c r="K12" s="23">
        <v>8898.9776899999997</v>
      </c>
      <c r="L12" s="23">
        <v>9668.3180800000009</v>
      </c>
      <c r="M12" s="23">
        <v>9805.8376600000011</v>
      </c>
      <c r="N12" s="23">
        <f t="shared" si="6"/>
        <v>137.51958000000013</v>
      </c>
      <c r="O12" s="24">
        <f t="shared" si="7"/>
        <v>1.0142237335244975</v>
      </c>
      <c r="P12" s="82">
        <f t="shared" si="8"/>
        <v>10.190608422572637</v>
      </c>
      <c r="Q12" s="276">
        <v>67053.184699999998</v>
      </c>
      <c r="R12" s="276">
        <v>74587.6005</v>
      </c>
      <c r="S12" s="276">
        <v>79712.420809999996</v>
      </c>
      <c r="T12" s="82">
        <f t="shared" si="0"/>
        <v>5.1248203099999952</v>
      </c>
      <c r="U12" s="23">
        <v>8433.0026099999995</v>
      </c>
      <c r="V12" s="23">
        <v>6344.9003499999999</v>
      </c>
      <c r="W12" s="23">
        <v>7683.5222300000005</v>
      </c>
      <c r="X12" s="23">
        <f t="shared" si="9"/>
        <v>1338.6218800000006</v>
      </c>
      <c r="Y12" s="24">
        <f t="shared" si="10"/>
        <v>1.2109760289615896</v>
      </c>
      <c r="Z12" s="82">
        <f t="shared" si="11"/>
        <v>-8.8874676631933198</v>
      </c>
      <c r="AA12" s="23">
        <f>данные!S12+данные!K12</f>
        <v>21821.861560000001</v>
      </c>
      <c r="AB12" s="23">
        <f>данные!T12+данные!L12</f>
        <v>21150.810859999998</v>
      </c>
      <c r="AC12" s="23">
        <f>данные!U12+данные!M12</f>
        <v>22683.291799999999</v>
      </c>
      <c r="AD12" s="23">
        <f t="shared" si="12"/>
        <v>1532.4809400000013</v>
      </c>
      <c r="AE12" s="24">
        <f t="shared" si="13"/>
        <v>1.0724549498429963</v>
      </c>
      <c r="AF12" s="82">
        <f t="shared" si="14"/>
        <v>3.9475561589072754</v>
      </c>
      <c r="AG12" s="23">
        <v>13955.212</v>
      </c>
      <c r="AH12" s="23">
        <v>14661.601259999999</v>
      </c>
      <c r="AI12" s="23">
        <v>1570.0283300000001</v>
      </c>
      <c r="AJ12" s="23">
        <v>1731.2375</v>
      </c>
      <c r="AK12" s="23">
        <v>15293.474</v>
      </c>
      <c r="AL12" s="23">
        <v>15293.474</v>
      </c>
      <c r="AM12" s="23">
        <v>1581.83698</v>
      </c>
      <c r="AN12" s="23">
        <v>1723.5916000000002</v>
      </c>
      <c r="AO12" s="23">
        <f t="shared" si="1"/>
        <v>110452.844</v>
      </c>
      <c r="AP12" s="23">
        <f t="shared" si="2"/>
        <v>121704.52794</v>
      </c>
      <c r="AQ12" s="23">
        <f t="shared" si="15"/>
        <v>24302.676169999999</v>
      </c>
      <c r="AR12" s="23">
        <f t="shared" si="15"/>
        <v>26138.120899999998</v>
      </c>
    </row>
    <row r="13" spans="1:44" outlineLevel="1" x14ac:dyDescent="0.25">
      <c r="A13" s="65" t="s">
        <v>285</v>
      </c>
      <c r="B13" s="23">
        <v>60000.787200000006</v>
      </c>
      <c r="C13" s="23">
        <v>51400</v>
      </c>
      <c r="D13" s="23">
        <v>61299.630689999998</v>
      </c>
      <c r="E13" s="23">
        <f t="shared" si="3"/>
        <v>9899.6306899999981</v>
      </c>
      <c r="F13" s="24">
        <f t="shared" si="4"/>
        <v>1.1925998188715954</v>
      </c>
      <c r="G13" s="82">
        <f t="shared" si="5"/>
        <v>2.1647107489949633</v>
      </c>
      <c r="H13" s="23">
        <v>-825.61355000000003</v>
      </c>
      <c r="I13" s="23">
        <v>-359.23020000000002</v>
      </c>
      <c r="J13" s="23">
        <v>-866.12565000000006</v>
      </c>
      <c r="K13" s="23">
        <v>190.50118000000001</v>
      </c>
      <c r="L13" s="23">
        <v>0.49163999999999997</v>
      </c>
      <c r="M13" s="23">
        <v>155.80082000000002</v>
      </c>
      <c r="N13" s="23">
        <f t="shared" si="6"/>
        <v>155.30918000000003</v>
      </c>
      <c r="O13" s="24">
        <f t="shared" si="7"/>
        <v>316.90021153689696</v>
      </c>
      <c r="P13" s="82">
        <f t="shared" si="8"/>
        <v>-18.215299243815693</v>
      </c>
      <c r="Q13" s="276">
        <v>43001.545050000001</v>
      </c>
      <c r="R13" s="276">
        <v>44780.706100000003</v>
      </c>
      <c r="S13" s="276">
        <v>47220.577720000001</v>
      </c>
      <c r="T13" s="82">
        <f t="shared" si="0"/>
        <v>2.4398716199999981</v>
      </c>
      <c r="U13" s="23">
        <v>12936.114460000001</v>
      </c>
      <c r="V13" s="23">
        <v>5008.0509699999993</v>
      </c>
      <c r="W13" s="23">
        <v>10859.154869999998</v>
      </c>
      <c r="X13" s="23">
        <f t="shared" si="9"/>
        <v>5851.1038999999992</v>
      </c>
      <c r="Y13" s="24">
        <f t="shared" si="10"/>
        <v>2.1683395267041381</v>
      </c>
      <c r="Z13" s="82">
        <f t="shared" si="11"/>
        <v>-16.055513395635202</v>
      </c>
      <c r="AA13" s="23">
        <f>данные!S13+данные!K13</f>
        <v>16769.90727</v>
      </c>
      <c r="AB13" s="23">
        <f>данные!T13+данные!L13</f>
        <v>7998.5447100000001</v>
      </c>
      <c r="AC13" s="23">
        <f>данные!U13+данные!M13</f>
        <v>12881.817070000001</v>
      </c>
      <c r="AD13" s="23">
        <f t="shared" si="12"/>
        <v>4883.2723600000008</v>
      </c>
      <c r="AE13" s="24">
        <f t="shared" si="13"/>
        <v>1.6105201054755374</v>
      </c>
      <c r="AF13" s="82">
        <f t="shared" si="14"/>
        <v>-23.184923669527237</v>
      </c>
      <c r="AG13" s="23">
        <v>7500</v>
      </c>
      <c r="AH13" s="23">
        <v>9814.5669999999991</v>
      </c>
      <c r="AI13" s="23">
        <v>233.11765</v>
      </c>
      <c r="AJ13" s="23">
        <v>1317.61886</v>
      </c>
      <c r="AK13" s="23">
        <v>10000</v>
      </c>
      <c r="AL13" s="23">
        <v>9200</v>
      </c>
      <c r="AM13" s="23">
        <v>1572.2008999999998</v>
      </c>
      <c r="AN13" s="23">
        <v>512.73410000000001</v>
      </c>
      <c r="AO13" s="23">
        <f t="shared" si="1"/>
        <v>68900</v>
      </c>
      <c r="AP13" s="23">
        <f t="shared" si="2"/>
        <v>80314.197690000001</v>
      </c>
      <c r="AQ13" s="23">
        <f t="shared" si="15"/>
        <v>9803.8632600000001</v>
      </c>
      <c r="AR13" s="23">
        <f t="shared" si="15"/>
        <v>14712.170030000001</v>
      </c>
    </row>
    <row r="14" spans="1:44" outlineLevel="1" x14ac:dyDescent="0.25">
      <c r="A14" s="65" t="s">
        <v>286</v>
      </c>
      <c r="B14" s="23">
        <v>15205.96759</v>
      </c>
      <c r="C14" s="23">
        <v>15858.87916</v>
      </c>
      <c r="D14" s="23">
        <v>15461.378570000001</v>
      </c>
      <c r="E14" s="23">
        <f t="shared" si="3"/>
        <v>-397.50058999999965</v>
      </c>
      <c r="F14" s="24">
        <f t="shared" si="4"/>
        <v>0.97493513974161594</v>
      </c>
      <c r="G14" s="82">
        <f t="shared" si="5"/>
        <v>1.6796759462250037</v>
      </c>
      <c r="H14" s="23">
        <v>5431.6116400000001</v>
      </c>
      <c r="I14" s="23">
        <v>4616.5906199999999</v>
      </c>
      <c r="J14" s="23">
        <v>8578.8548900000005</v>
      </c>
      <c r="K14" s="23">
        <v>1447.25621</v>
      </c>
      <c r="L14" s="23">
        <v>1192.26945</v>
      </c>
      <c r="M14" s="23">
        <v>1192.08402</v>
      </c>
      <c r="N14" s="23">
        <f t="shared" si="6"/>
        <v>-0.18542999999999665</v>
      </c>
      <c r="O14" s="24">
        <f t="shared" si="7"/>
        <v>0.99984447307611546</v>
      </c>
      <c r="P14" s="82">
        <f t="shared" si="8"/>
        <v>-17.631445506113934</v>
      </c>
      <c r="Q14" s="276">
        <v>18681.368449999998</v>
      </c>
      <c r="R14" s="276">
        <v>20551.274109999998</v>
      </c>
      <c r="S14" s="276">
        <v>22304.92857</v>
      </c>
      <c r="T14" s="82">
        <f t="shared" si="0"/>
        <v>1.7536544600000015</v>
      </c>
      <c r="U14" s="23">
        <v>1712.8898899999999</v>
      </c>
      <c r="V14" s="23">
        <v>-60.643470000000001</v>
      </c>
      <c r="W14" s="23">
        <v>1460.92716</v>
      </c>
      <c r="X14" s="23">
        <f t="shared" si="9"/>
        <v>1521.5706299999999</v>
      </c>
      <c r="Y14" s="24">
        <f t="shared" si="10"/>
        <v>-24.090428202739716</v>
      </c>
      <c r="Z14" s="90">
        <f t="shared" si="11"/>
        <v>-14.709803091896347</v>
      </c>
      <c r="AA14" s="23">
        <f>данные!S14+данные!K14</f>
        <v>3755.3487400000004</v>
      </c>
      <c r="AB14" s="23">
        <f>данные!T14+данные!L14</f>
        <v>1936.4347699999998</v>
      </c>
      <c r="AC14" s="23">
        <f>данные!U14+данные!M14</f>
        <v>3510.5967000000001</v>
      </c>
      <c r="AD14" s="23">
        <f t="shared" si="12"/>
        <v>1574.1619300000002</v>
      </c>
      <c r="AE14" s="24">
        <f t="shared" si="13"/>
        <v>1.8129176125049646</v>
      </c>
      <c r="AF14" s="90">
        <f t="shared" si="14"/>
        <v>-6.5174250634310056</v>
      </c>
      <c r="AG14" s="23">
        <v>1833.8783500000002</v>
      </c>
      <c r="AH14" s="23">
        <v>2032.1347000000001</v>
      </c>
      <c r="AI14" s="23">
        <v>-609.11743999999999</v>
      </c>
      <c r="AJ14" s="23">
        <v>-443.81801000000002</v>
      </c>
      <c r="AK14" s="23">
        <v>3472.2861499999999</v>
      </c>
      <c r="AL14" s="23">
        <v>3472.2861499999999</v>
      </c>
      <c r="AM14" s="23">
        <v>748.03926999999999</v>
      </c>
      <c r="AN14" s="23">
        <v>750.61855000000003</v>
      </c>
      <c r="AO14" s="23">
        <f t="shared" si="1"/>
        <v>21165.043659999999</v>
      </c>
      <c r="AP14" s="23">
        <f t="shared" si="2"/>
        <v>20965.799419999999</v>
      </c>
      <c r="AQ14" s="23">
        <f t="shared" si="15"/>
        <v>2075.3566000000001</v>
      </c>
      <c r="AR14" s="23">
        <f t="shared" si="15"/>
        <v>3817.3972400000002</v>
      </c>
    </row>
    <row r="15" spans="1:44" outlineLevel="1" x14ac:dyDescent="0.25">
      <c r="A15" s="65" t="s">
        <v>287</v>
      </c>
      <c r="B15" s="23">
        <v>85708.196799999991</v>
      </c>
      <c r="C15" s="23">
        <v>92924.740999999995</v>
      </c>
      <c r="D15" s="23">
        <v>83874.809170000008</v>
      </c>
      <c r="E15" s="23">
        <f t="shared" si="3"/>
        <v>-9049.9318299999868</v>
      </c>
      <c r="F15" s="24">
        <f t="shared" si="4"/>
        <v>0.90261009358099809</v>
      </c>
      <c r="G15" s="82">
        <f t="shared" si="5"/>
        <v>-2.1391041912574451</v>
      </c>
      <c r="H15" s="23">
        <v>-3063.4325199999998</v>
      </c>
      <c r="I15" s="23">
        <v>-3053.0092999999997</v>
      </c>
      <c r="J15" s="23">
        <v>-2483.2253900000001</v>
      </c>
      <c r="K15" s="23">
        <v>2984.9670599999999</v>
      </c>
      <c r="L15" s="23">
        <v>2546.9794999999999</v>
      </c>
      <c r="M15" s="23">
        <v>2549.8411299999998</v>
      </c>
      <c r="N15" s="23">
        <f t="shared" si="6"/>
        <v>2.8616299999998773</v>
      </c>
      <c r="O15" s="24">
        <f t="shared" si="7"/>
        <v>1.0011235386857256</v>
      </c>
      <c r="P15" s="82">
        <f t="shared" si="8"/>
        <v>-14.577243944527822</v>
      </c>
      <c r="Q15" s="276">
        <v>38822.565289999999</v>
      </c>
      <c r="R15" s="276">
        <v>39937.566770000005</v>
      </c>
      <c r="S15" s="276">
        <v>36951.569029999999</v>
      </c>
      <c r="T15" s="82">
        <f t="shared" si="0"/>
        <v>-2.985997740000006</v>
      </c>
      <c r="U15" s="23">
        <v>34981.512499999997</v>
      </c>
      <c r="V15" s="23">
        <v>39947.331969999999</v>
      </c>
      <c r="W15" s="23">
        <v>35533.33468</v>
      </c>
      <c r="X15" s="23">
        <f t="shared" si="9"/>
        <v>-4413.9972899999993</v>
      </c>
      <c r="Y15" s="24">
        <f t="shared" si="10"/>
        <v>0.88950457834543584</v>
      </c>
      <c r="Z15" s="82">
        <f t="shared" si="11"/>
        <v>1.5774680411545887</v>
      </c>
      <c r="AA15" s="23">
        <f>данные!S15+данные!K15</f>
        <v>45733.880770000003</v>
      </c>
      <c r="AB15" s="23">
        <f>данные!T15+данные!L15</f>
        <v>49573.894939999998</v>
      </c>
      <c r="AC15" s="23">
        <f>данные!U15+данные!M15</f>
        <v>44392.252130000001</v>
      </c>
      <c r="AD15" s="23">
        <f t="shared" si="12"/>
        <v>-5181.6428099999976</v>
      </c>
      <c r="AE15" s="24">
        <f t="shared" si="13"/>
        <v>0.89547638295777621</v>
      </c>
      <c r="AF15" s="82">
        <f t="shared" si="14"/>
        <v>-2.933555205487977</v>
      </c>
      <c r="AG15" s="23">
        <v>14068.127</v>
      </c>
      <c r="AH15" s="23">
        <v>12336.2</v>
      </c>
      <c r="AI15" s="23">
        <v>5492.6051600000001</v>
      </c>
      <c r="AJ15" s="23">
        <v>4723.4030199999997</v>
      </c>
      <c r="AK15" s="23">
        <v>14933.382</v>
      </c>
      <c r="AL15" s="23">
        <v>11946.705</v>
      </c>
      <c r="AM15" s="23">
        <v>6801.3906100000004</v>
      </c>
      <c r="AN15" s="23">
        <v>4233.1896100000004</v>
      </c>
      <c r="AO15" s="23">
        <f t="shared" si="1"/>
        <v>121926.24999999999</v>
      </c>
      <c r="AP15" s="23">
        <f t="shared" si="2"/>
        <v>108157.71417000001</v>
      </c>
      <c r="AQ15" s="23">
        <f t="shared" si="15"/>
        <v>61867.89071</v>
      </c>
      <c r="AR15" s="23">
        <f t="shared" si="15"/>
        <v>53348.84476</v>
      </c>
    </row>
    <row r="16" spans="1:44" outlineLevel="1" x14ac:dyDescent="0.25">
      <c r="A16" s="65" t="s">
        <v>288</v>
      </c>
      <c r="B16" s="23">
        <v>16707.2297</v>
      </c>
      <c r="C16" s="23">
        <v>19873.935100000002</v>
      </c>
      <c r="D16" s="23">
        <v>18021.058679999998</v>
      </c>
      <c r="E16" s="23">
        <f t="shared" si="3"/>
        <v>-1852.8764200000041</v>
      </c>
      <c r="F16" s="24">
        <f t="shared" si="4"/>
        <v>0.90676851812804782</v>
      </c>
      <c r="G16" s="82">
        <f t="shared" si="5"/>
        <v>7.8638350198776408</v>
      </c>
      <c r="H16" s="23">
        <v>-184.57060999999999</v>
      </c>
      <c r="I16" s="23">
        <v>-228.9495</v>
      </c>
      <c r="J16" s="23">
        <v>-571.09372999999994</v>
      </c>
      <c r="K16" s="23">
        <v>1444.8278400000002</v>
      </c>
      <c r="L16" s="23">
        <v>1165.7091399999999</v>
      </c>
      <c r="M16" s="23">
        <v>1233.4997499999999</v>
      </c>
      <c r="N16" s="23">
        <f t="shared" si="6"/>
        <v>67.790610000000015</v>
      </c>
      <c r="O16" s="24">
        <f t="shared" si="7"/>
        <v>1.0581539662629735</v>
      </c>
      <c r="P16" s="82">
        <f t="shared" si="8"/>
        <v>-14.626523946271703</v>
      </c>
      <c r="Q16" s="276">
        <v>14101.661119999999</v>
      </c>
      <c r="R16" s="276">
        <v>16717.044590000001</v>
      </c>
      <c r="S16" s="276">
        <v>16375.47141</v>
      </c>
      <c r="T16" s="82">
        <f t="shared" si="0"/>
        <v>-0.34157318000000125</v>
      </c>
      <c r="U16" s="23">
        <v>1935.67443</v>
      </c>
      <c r="V16" s="23">
        <v>2342.3527899999999</v>
      </c>
      <c r="W16" s="23">
        <v>874.74255000000005</v>
      </c>
      <c r="X16" s="23">
        <f t="shared" si="9"/>
        <v>-1467.61024</v>
      </c>
      <c r="Y16" s="24">
        <f t="shared" si="10"/>
        <v>0.37344611526259464</v>
      </c>
      <c r="Z16" s="82">
        <f t="shared" si="11"/>
        <v>-54.809417511394201</v>
      </c>
      <c r="AA16" s="23">
        <f>данные!S16+данные!K16</f>
        <v>3944.98081</v>
      </c>
      <c r="AB16" s="23">
        <f>данные!T16+данные!L16</f>
        <v>4776.1242200000006</v>
      </c>
      <c r="AC16" s="23">
        <f>данные!U16+данные!M16</f>
        <v>2896.4364400000004</v>
      </c>
      <c r="AD16" s="23">
        <f t="shared" si="12"/>
        <v>-1879.6877800000002</v>
      </c>
      <c r="AE16" s="24">
        <f t="shared" si="13"/>
        <v>0.60644076799158297</v>
      </c>
      <c r="AF16" s="82">
        <f t="shared" si="14"/>
        <v>-26.579200774363201</v>
      </c>
      <c r="AG16" s="23">
        <v>3802.9008900000003</v>
      </c>
      <c r="AH16" s="23">
        <v>2499.2677999999996</v>
      </c>
      <c r="AI16" s="23">
        <v>897.05295999999998</v>
      </c>
      <c r="AJ16" s="23">
        <v>-139.8621</v>
      </c>
      <c r="AK16" s="23">
        <v>4033.6318500000002</v>
      </c>
      <c r="AL16" s="23">
        <v>3038.1188999999999</v>
      </c>
      <c r="AM16" s="23">
        <v>1015.81766</v>
      </c>
      <c r="AN16" s="23">
        <v>491.42015000000004</v>
      </c>
      <c r="AO16" s="23">
        <f t="shared" si="1"/>
        <v>27710.467840000005</v>
      </c>
      <c r="AP16" s="23">
        <f t="shared" si="2"/>
        <v>23558.445379999997</v>
      </c>
      <c r="AQ16" s="23">
        <f t="shared" si="15"/>
        <v>6688.9948400000003</v>
      </c>
      <c r="AR16" s="23">
        <f t="shared" si="15"/>
        <v>3247.9944900000005</v>
      </c>
    </row>
    <row r="17" spans="1:44" outlineLevel="1" x14ac:dyDescent="0.25">
      <c r="A17" s="65" t="s">
        <v>289</v>
      </c>
      <c r="B17" s="23">
        <v>16690.812720000002</v>
      </c>
      <c r="C17" s="23">
        <v>18200.483</v>
      </c>
      <c r="D17" s="23">
        <v>12953.241380000001</v>
      </c>
      <c r="E17" s="23">
        <f t="shared" si="3"/>
        <v>-5247.2416199999989</v>
      </c>
      <c r="F17" s="24">
        <f t="shared" si="4"/>
        <v>0.71169767197936462</v>
      </c>
      <c r="G17" s="82">
        <f t="shared" si="5"/>
        <v>-22.392985906081151</v>
      </c>
      <c r="H17" s="23">
        <v>592.49969999999996</v>
      </c>
      <c r="I17" s="23">
        <v>302.42291999999998</v>
      </c>
      <c r="J17" s="23">
        <v>233.21187</v>
      </c>
      <c r="K17" s="23">
        <v>1384.5897299999999</v>
      </c>
      <c r="L17" s="23">
        <v>856.82388000000003</v>
      </c>
      <c r="M17" s="23">
        <v>856.82384999999999</v>
      </c>
      <c r="N17" s="23">
        <f t="shared" si="6"/>
        <v>-3.0000000037944119E-5</v>
      </c>
      <c r="O17" s="24">
        <f t="shared" si="7"/>
        <v>0.99999996498697019</v>
      </c>
      <c r="P17" s="82">
        <f t="shared" si="8"/>
        <v>-38.117130913573938</v>
      </c>
      <c r="Q17" s="276">
        <v>16954.168899999997</v>
      </c>
      <c r="R17" s="276">
        <v>18252.803050000002</v>
      </c>
      <c r="S17" s="276">
        <v>13926.817050000001</v>
      </c>
      <c r="T17" s="82">
        <f t="shared" si="0"/>
        <v>-4.3259860000000012</v>
      </c>
      <c r="U17" s="23">
        <v>262.39032000000003</v>
      </c>
      <c r="V17" s="23">
        <v>200.08229999999998</v>
      </c>
      <c r="W17" s="23">
        <v>-598.12380000000007</v>
      </c>
      <c r="X17" s="23">
        <f t="shared" si="9"/>
        <v>-798.20610000000011</v>
      </c>
      <c r="Y17" s="24">
        <f t="shared" si="10"/>
        <v>-2.9893888664814434</v>
      </c>
      <c r="Z17" s="82">
        <f t="shared" si="11"/>
        <v>-327.95193054377921</v>
      </c>
      <c r="AA17" s="23">
        <f>данные!S17+данные!K17</f>
        <v>1925.4346799999998</v>
      </c>
      <c r="AB17" s="23">
        <f>данные!T17+данные!L17</f>
        <v>1441.2323000000001</v>
      </c>
      <c r="AC17" s="23">
        <f>данные!U17+данные!M17</f>
        <v>31.55646999999999</v>
      </c>
      <c r="AD17" s="23">
        <f t="shared" si="12"/>
        <v>-1409.6758300000001</v>
      </c>
      <c r="AE17" s="24">
        <f t="shared" si="13"/>
        <v>2.1895477918445198E-2</v>
      </c>
      <c r="AF17" s="82">
        <f t="shared" si="14"/>
        <v>-98.361072939643947</v>
      </c>
      <c r="AG17" s="23">
        <v>2827.7950000000001</v>
      </c>
      <c r="AH17" s="23">
        <v>2100</v>
      </c>
      <c r="AI17" s="23">
        <v>-117.83027</v>
      </c>
      <c r="AJ17" s="23">
        <v>54.201190000000004</v>
      </c>
      <c r="AK17" s="23">
        <v>3256.2579999999998</v>
      </c>
      <c r="AL17" s="23">
        <v>2450</v>
      </c>
      <c r="AM17" s="23">
        <v>203.22742000000002</v>
      </c>
      <c r="AN17" s="23">
        <v>31.502080000000003</v>
      </c>
      <c r="AO17" s="23">
        <f t="shared" si="1"/>
        <v>24284.536</v>
      </c>
      <c r="AP17" s="23">
        <f t="shared" si="2"/>
        <v>17503.241379999999</v>
      </c>
      <c r="AQ17" s="23">
        <f t="shared" si="15"/>
        <v>1526.6294500000001</v>
      </c>
      <c r="AR17" s="23">
        <f t="shared" si="15"/>
        <v>117.25973999999999</v>
      </c>
    </row>
    <row r="18" spans="1:44" outlineLevel="1" x14ac:dyDescent="0.25">
      <c r="A18" s="65" t="s">
        <v>290</v>
      </c>
      <c r="B18" s="23">
        <v>9612.0218999999997</v>
      </c>
      <c r="C18" s="23">
        <v>13327.78</v>
      </c>
      <c r="D18" s="23">
        <v>10163.437109999999</v>
      </c>
      <c r="E18" s="23">
        <f t="shared" si="3"/>
        <v>-3164.3428900000017</v>
      </c>
      <c r="F18" s="24">
        <f t="shared" si="4"/>
        <v>0.7625753959023932</v>
      </c>
      <c r="G18" s="82">
        <f t="shared" si="5"/>
        <v>5.7367244450410482</v>
      </c>
      <c r="H18" s="23">
        <v>130.70712</v>
      </c>
      <c r="I18" s="23">
        <v>-114.91589999999999</v>
      </c>
      <c r="J18" s="23">
        <v>323.31685999999996</v>
      </c>
      <c r="K18" s="23">
        <v>119.87358</v>
      </c>
      <c r="L18" s="23">
        <v>79.915669999999992</v>
      </c>
      <c r="M18" s="23">
        <v>105.25805</v>
      </c>
      <c r="N18" s="23">
        <f t="shared" si="6"/>
        <v>25.342380000000006</v>
      </c>
      <c r="O18" s="24">
        <f t="shared" si="7"/>
        <v>1.3171140278245808</v>
      </c>
      <c r="P18" s="82">
        <f t="shared" si="8"/>
        <v>-12.192453082655916</v>
      </c>
      <c r="Q18" s="276">
        <v>11082.63926</v>
      </c>
      <c r="R18" s="276">
        <v>13542.68075</v>
      </c>
      <c r="S18" s="276">
        <v>11568.323910000001</v>
      </c>
      <c r="T18" s="82">
        <f t="shared" si="0"/>
        <v>-1.9743568399999984</v>
      </c>
      <c r="U18" s="23">
        <v>-1053.9777900000001</v>
      </c>
      <c r="V18" s="23">
        <v>-263.85333000000003</v>
      </c>
      <c r="W18" s="23">
        <v>-814.56115</v>
      </c>
      <c r="X18" s="23">
        <f t="shared" si="9"/>
        <v>-550.70781999999997</v>
      </c>
      <c r="Y18" s="24">
        <f t="shared" si="10"/>
        <v>3.0871740371819447</v>
      </c>
      <c r="Z18" s="90">
        <f>(W18/U18*100-100)*-1</f>
        <v>22.715529897456392</v>
      </c>
      <c r="AA18" s="23">
        <f>данные!S18+данные!K18</f>
        <v>-804.76835000000005</v>
      </c>
      <c r="AB18" s="23">
        <f>данные!T18+данные!L18</f>
        <v>414.80174999999997</v>
      </c>
      <c r="AC18" s="23">
        <f>данные!U18+данные!M18</f>
        <v>-932.39845000000003</v>
      </c>
      <c r="AD18" s="23">
        <f t="shared" si="12"/>
        <v>-1347.2002</v>
      </c>
      <c r="AE18" s="24">
        <f t="shared" si="13"/>
        <v>-2.2478170595953371</v>
      </c>
      <c r="AF18" s="90">
        <f>(AC18/AA18*100-100)*-1</f>
        <v>-15.859234523822892</v>
      </c>
      <c r="AG18" s="23">
        <v>1822.096</v>
      </c>
      <c r="AH18" s="23">
        <v>1502.06431</v>
      </c>
      <c r="AI18" s="23">
        <v>-281.80354</v>
      </c>
      <c r="AJ18" s="23">
        <v>-365.13137</v>
      </c>
      <c r="AK18" s="23">
        <v>2665.7449999999999</v>
      </c>
      <c r="AL18" s="23">
        <v>1785.3080299999999</v>
      </c>
      <c r="AM18" s="23">
        <v>335.47843999999998</v>
      </c>
      <c r="AN18" s="23">
        <v>-121.64227000000001</v>
      </c>
      <c r="AO18" s="23">
        <f t="shared" si="1"/>
        <v>17815.620999999999</v>
      </c>
      <c r="AP18" s="23">
        <f t="shared" si="2"/>
        <v>13450.809449999999</v>
      </c>
      <c r="AQ18" s="23">
        <f t="shared" si="15"/>
        <v>468.47664999999995</v>
      </c>
      <c r="AR18" s="23">
        <f t="shared" si="15"/>
        <v>-1419.17209</v>
      </c>
    </row>
    <row r="19" spans="1:44" outlineLevel="1" x14ac:dyDescent="0.25">
      <c r="A19" s="65" t="s">
        <v>291</v>
      </c>
      <c r="B19" s="23">
        <v>14035.459919999999</v>
      </c>
      <c r="C19" s="23">
        <v>16149.53685</v>
      </c>
      <c r="D19" s="23">
        <v>25706.918089999999</v>
      </c>
      <c r="E19" s="23">
        <f t="shared" si="3"/>
        <v>9557.3812399999988</v>
      </c>
      <c r="F19" s="24">
        <f t="shared" si="4"/>
        <v>1.5918052838772276</v>
      </c>
      <c r="G19" s="82">
        <f t="shared" si="5"/>
        <v>83.156934197564937</v>
      </c>
      <c r="H19" s="23">
        <v>245.06581</v>
      </c>
      <c r="I19" s="23">
        <v>370.94003999999995</v>
      </c>
      <c r="J19" s="23">
        <v>-884.11193000000003</v>
      </c>
      <c r="K19" s="23">
        <v>1205.08068</v>
      </c>
      <c r="L19" s="23">
        <v>996.12651000000005</v>
      </c>
      <c r="M19" s="23">
        <v>996.12651000000005</v>
      </c>
      <c r="N19" s="23">
        <f t="shared" si="6"/>
        <v>0</v>
      </c>
      <c r="O19" s="24">
        <f t="shared" si="7"/>
        <v>1</v>
      </c>
      <c r="P19" s="82">
        <f t="shared" si="8"/>
        <v>-17.339434070090647</v>
      </c>
      <c r="Q19" s="276">
        <v>14040.14668</v>
      </c>
      <c r="R19" s="276">
        <v>16066.889160000001</v>
      </c>
      <c r="S19" s="276">
        <v>18737.149699999998</v>
      </c>
      <c r="T19" s="82">
        <f t="shared" si="0"/>
        <v>2.6702605399999975</v>
      </c>
      <c r="U19" s="23">
        <v>192.08154999999999</v>
      </c>
      <c r="V19" s="23">
        <v>362.87013999999999</v>
      </c>
      <c r="W19" s="23">
        <v>4878.8525300000001</v>
      </c>
      <c r="X19" s="23">
        <f t="shared" si="9"/>
        <v>4515.9823900000001</v>
      </c>
      <c r="Y19" s="24">
        <f t="shared" si="10"/>
        <v>13.445174987393562</v>
      </c>
      <c r="Z19" s="82">
        <f t="shared" si="11"/>
        <v>2439.9901916659878</v>
      </c>
      <c r="AA19" s="23">
        <f>данные!S19+данные!K19</f>
        <v>2014.88832</v>
      </c>
      <c r="AB19" s="23">
        <f>данные!T19+данные!L19</f>
        <v>2487.8521599999999</v>
      </c>
      <c r="AC19" s="23">
        <f>данные!U19+данные!M19</f>
        <v>7523.2219900000009</v>
      </c>
      <c r="AD19" s="23">
        <f t="shared" si="12"/>
        <v>5035.3698300000015</v>
      </c>
      <c r="AE19" s="24">
        <f t="shared" si="13"/>
        <v>3.0239827393923604</v>
      </c>
      <c r="AF19" s="82">
        <f t="shared" si="14"/>
        <v>273.38158722365324</v>
      </c>
      <c r="AG19" s="23">
        <v>2703.5895699999996</v>
      </c>
      <c r="AH19" s="23">
        <v>3510</v>
      </c>
      <c r="AI19" s="23">
        <v>160.88324</v>
      </c>
      <c r="AJ19" s="23">
        <v>386.94117999999997</v>
      </c>
      <c r="AK19" s="23">
        <v>3361.1246599999999</v>
      </c>
      <c r="AL19" s="23">
        <v>3361.1246599999999</v>
      </c>
      <c r="AM19" s="23">
        <v>675.39679000000001</v>
      </c>
      <c r="AN19" s="23">
        <v>284.94094000000001</v>
      </c>
      <c r="AO19" s="23">
        <f t="shared" si="1"/>
        <v>22214.251080000002</v>
      </c>
      <c r="AP19" s="23">
        <f t="shared" si="2"/>
        <v>32578.042750000001</v>
      </c>
      <c r="AQ19" s="23">
        <f t="shared" si="15"/>
        <v>3324.1321900000003</v>
      </c>
      <c r="AR19" s="23">
        <f t="shared" si="15"/>
        <v>8195.1041100000002</v>
      </c>
    </row>
    <row r="20" spans="1:44" outlineLevel="1" x14ac:dyDescent="0.25">
      <c r="A20" s="65" t="s">
        <v>292</v>
      </c>
      <c r="B20" s="23">
        <v>28294.94137</v>
      </c>
      <c r="C20" s="23">
        <v>31176.273300000001</v>
      </c>
      <c r="D20" s="23">
        <v>30049.211739999999</v>
      </c>
      <c r="E20" s="23">
        <f t="shared" si="3"/>
        <v>-1127.0615600000019</v>
      </c>
      <c r="F20" s="24">
        <f t="shared" si="4"/>
        <v>0.96384874006092314</v>
      </c>
      <c r="G20" s="82">
        <f t="shared" si="5"/>
        <v>6.1999434706727357</v>
      </c>
      <c r="H20" s="23">
        <v>-189.80069</v>
      </c>
      <c r="I20" s="23">
        <v>-36.269400000000005</v>
      </c>
      <c r="J20" s="23">
        <v>-95.110559999999992</v>
      </c>
      <c r="K20" s="23">
        <v>1197.8817799999999</v>
      </c>
      <c r="L20" s="23">
        <v>1195.17914</v>
      </c>
      <c r="M20" s="23">
        <v>1194.52082</v>
      </c>
      <c r="N20" s="23">
        <f t="shared" si="6"/>
        <v>-0.65832000000000335</v>
      </c>
      <c r="O20" s="24">
        <f t="shared" si="7"/>
        <v>0.99944918717373199</v>
      </c>
      <c r="P20" s="82">
        <f t="shared" si="8"/>
        <v>-0.28057526678468037</v>
      </c>
      <c r="Q20" s="276">
        <v>22717.191790000001</v>
      </c>
      <c r="R20" s="276">
        <v>25240.806280000001</v>
      </c>
      <c r="S20" s="276">
        <v>25016.46211</v>
      </c>
      <c r="T20" s="82">
        <f t="shared" si="0"/>
        <v>-0.22434417000000031</v>
      </c>
      <c r="U20" s="23">
        <v>4314.3648400000002</v>
      </c>
      <c r="V20" s="23">
        <v>4719.3580899999997</v>
      </c>
      <c r="W20" s="23">
        <v>3966.4782700000001</v>
      </c>
      <c r="X20" s="23">
        <f t="shared" si="9"/>
        <v>-752.87981999999965</v>
      </c>
      <c r="Y20" s="24">
        <f t="shared" si="10"/>
        <v>0.84046986779933042</v>
      </c>
      <c r="Z20" s="82">
        <f t="shared" si="11"/>
        <v>-8.0634481065352048</v>
      </c>
      <c r="AA20" s="23">
        <f>данные!S20+данные!K20</f>
        <v>7574.8240299999998</v>
      </c>
      <c r="AB20" s="23">
        <f>данные!T20+данные!L20</f>
        <v>7021.0324099999998</v>
      </c>
      <c r="AC20" s="23">
        <f>данные!U20+данные!M20</f>
        <v>6435.8406100000002</v>
      </c>
      <c r="AD20" s="23">
        <f t="shared" si="12"/>
        <v>-585.1917999999996</v>
      </c>
      <c r="AE20" s="24">
        <f t="shared" si="13"/>
        <v>0.91665160252407951</v>
      </c>
      <c r="AF20" s="82">
        <f t="shared" si="14"/>
        <v>-15.036434054297104</v>
      </c>
      <c r="AG20" s="23">
        <v>4829.6673300000002</v>
      </c>
      <c r="AH20" s="23">
        <v>4442.9016900000006</v>
      </c>
      <c r="AI20" s="23">
        <v>590.64697999999999</v>
      </c>
      <c r="AJ20" s="23">
        <v>436.86422999999996</v>
      </c>
      <c r="AK20" s="23">
        <v>5801.5639499999997</v>
      </c>
      <c r="AL20" s="23">
        <v>5221.4075599999996</v>
      </c>
      <c r="AM20" s="23">
        <v>1521.2551299999998</v>
      </c>
      <c r="AN20" s="23">
        <v>1055.54494</v>
      </c>
      <c r="AO20" s="23">
        <f t="shared" si="1"/>
        <v>41807.504579999993</v>
      </c>
      <c r="AP20" s="23">
        <f t="shared" si="2"/>
        <v>39713.520989999997</v>
      </c>
      <c r="AQ20" s="23">
        <f t="shared" si="15"/>
        <v>9132.9345199999989</v>
      </c>
      <c r="AR20" s="23">
        <f t="shared" si="15"/>
        <v>7928.2497800000001</v>
      </c>
    </row>
    <row r="21" spans="1:44" outlineLevel="1" x14ac:dyDescent="0.25">
      <c r="A21" s="65" t="s">
        <v>293</v>
      </c>
      <c r="B21" s="23">
        <v>13008.739250000001</v>
      </c>
      <c r="C21" s="23">
        <v>14953.566999999999</v>
      </c>
      <c r="D21" s="23">
        <v>13802.382150000001</v>
      </c>
      <c r="E21" s="23">
        <f t="shared" si="3"/>
        <v>-1151.1848499999978</v>
      </c>
      <c r="F21" s="24">
        <f t="shared" si="4"/>
        <v>0.92301603690945455</v>
      </c>
      <c r="G21" s="82">
        <f t="shared" si="5"/>
        <v>6.1008440921744125</v>
      </c>
      <c r="H21" s="23">
        <v>-44.988699999999994</v>
      </c>
      <c r="I21" s="23">
        <v>54.727679999999999</v>
      </c>
      <c r="J21" s="23">
        <v>701.06618000000003</v>
      </c>
      <c r="K21" s="23">
        <v>917.10821999999996</v>
      </c>
      <c r="L21" s="23">
        <v>655.36387999999999</v>
      </c>
      <c r="M21" s="23">
        <v>711.96549000000005</v>
      </c>
      <c r="N21" s="23">
        <f t="shared" si="6"/>
        <v>56.601610000000051</v>
      </c>
      <c r="O21" s="24">
        <f t="shared" si="7"/>
        <v>1.086366691432552</v>
      </c>
      <c r="P21" s="82">
        <f t="shared" si="8"/>
        <v>-22.368432157330346</v>
      </c>
      <c r="Q21" s="276">
        <v>14510.0699</v>
      </c>
      <c r="R21" s="276">
        <v>15502.661480000001</v>
      </c>
      <c r="S21" s="276">
        <v>14742.5319</v>
      </c>
      <c r="T21" s="82">
        <f t="shared" si="0"/>
        <v>-0.76012958000000075</v>
      </c>
      <c r="U21" s="23">
        <v>-1234.77332</v>
      </c>
      <c r="V21" s="23">
        <v>-395.49347999999998</v>
      </c>
      <c r="W21" s="23">
        <v>103.92732000000001</v>
      </c>
      <c r="X21" s="23">
        <f t="shared" si="9"/>
        <v>499.42079999999999</v>
      </c>
      <c r="Y21" s="24">
        <f t="shared" si="10"/>
        <v>-0.26277884530485818</v>
      </c>
      <c r="Z21" s="90">
        <f>(W21/U21*100-100)*-1</f>
        <v>108.41671246994549</v>
      </c>
      <c r="AA21" s="23">
        <f>данные!S21+данные!K21</f>
        <v>133.73928000000012</v>
      </c>
      <c r="AB21" s="23">
        <f>данные!T21+данные!L21</f>
        <v>619.79608000000007</v>
      </c>
      <c r="AC21" s="23">
        <f>данные!U21+данные!M21</f>
        <v>703.90200000000004</v>
      </c>
      <c r="AD21" s="23">
        <f t="shared" si="12"/>
        <v>84.105919999999969</v>
      </c>
      <c r="AE21" s="24">
        <f t="shared" si="13"/>
        <v>1.1356993416286207</v>
      </c>
      <c r="AF21" s="90">
        <f>(AC21/AA21*100-100)*-1</f>
        <v>-426.32405378584326</v>
      </c>
      <c r="AG21" s="23">
        <v>2459.5369999999998</v>
      </c>
      <c r="AH21" s="23">
        <v>2365.3620000000001</v>
      </c>
      <c r="AI21" s="23">
        <v>-57.275280000000002</v>
      </c>
      <c r="AJ21" s="23">
        <v>-195.00098</v>
      </c>
      <c r="AK21" s="23">
        <v>2790.6030000000001</v>
      </c>
      <c r="AL21" s="23">
        <v>2596.5390000000002</v>
      </c>
      <c r="AM21" s="23">
        <v>174.78474</v>
      </c>
      <c r="AN21" s="23">
        <v>168.80374</v>
      </c>
      <c r="AO21" s="23">
        <f t="shared" si="1"/>
        <v>20203.706999999999</v>
      </c>
      <c r="AP21" s="23">
        <f t="shared" si="2"/>
        <v>18764.283150000003</v>
      </c>
      <c r="AQ21" s="23">
        <f t="shared" si="15"/>
        <v>737.30554000000006</v>
      </c>
      <c r="AR21" s="23">
        <f t="shared" si="15"/>
        <v>677.70476000000008</v>
      </c>
    </row>
    <row r="22" spans="1:44" outlineLevel="1" x14ac:dyDescent="0.25">
      <c r="A22" s="65" t="s">
        <v>294</v>
      </c>
      <c r="B22" s="23">
        <v>17315.546160000002</v>
      </c>
      <c r="C22" s="23">
        <v>20722</v>
      </c>
      <c r="D22" s="23">
        <v>18777.929969999997</v>
      </c>
      <c r="E22" s="23">
        <f t="shared" si="3"/>
        <v>-1944.0700300000026</v>
      </c>
      <c r="F22" s="24">
        <f t="shared" si="4"/>
        <v>0.90618328201911003</v>
      </c>
      <c r="G22" s="82">
        <f t="shared" si="5"/>
        <v>8.4454962984545858</v>
      </c>
      <c r="H22" s="23">
        <v>312.35199999999998</v>
      </c>
      <c r="I22" s="23">
        <v>92.7273</v>
      </c>
      <c r="J22" s="23">
        <v>3.3862800000000002</v>
      </c>
      <c r="K22" s="23">
        <v>0</v>
      </c>
      <c r="L22" s="23">
        <v>0</v>
      </c>
      <c r="M22" s="23">
        <v>37.496160000000003</v>
      </c>
      <c r="N22" s="23">
        <f t="shared" si="6"/>
        <v>37.496160000000003</v>
      </c>
      <c r="O22" s="24">
        <f t="shared" si="7"/>
        <v>0</v>
      </c>
      <c r="P22" s="82" t="e">
        <f t="shared" si="8"/>
        <v>#DIV/0!</v>
      </c>
      <c r="Q22" s="276">
        <v>14157.419230000001</v>
      </c>
      <c r="R22" s="276">
        <v>18072.133089999999</v>
      </c>
      <c r="S22" s="276">
        <v>16518.70435</v>
      </c>
      <c r="T22" s="82">
        <f t="shared" si="0"/>
        <v>-1.5534287399999993</v>
      </c>
      <c r="U22" s="23">
        <v>2789.6877999999997</v>
      </c>
      <c r="V22" s="23">
        <v>2194.07537</v>
      </c>
      <c r="W22" s="23">
        <v>1819.3479299999999</v>
      </c>
      <c r="X22" s="23">
        <f t="shared" si="9"/>
        <v>-374.72744000000012</v>
      </c>
      <c r="Y22" s="24">
        <f t="shared" si="10"/>
        <v>0.82920940405069121</v>
      </c>
      <c r="Z22" s="82">
        <f t="shared" si="11"/>
        <v>-34.783099026349831</v>
      </c>
      <c r="AA22" s="23">
        <f>данные!S22+данные!K22</f>
        <v>3377.59701</v>
      </c>
      <c r="AB22" s="23">
        <f>данные!T22+данные!L22</f>
        <v>2927.7111400000003</v>
      </c>
      <c r="AC22" s="23">
        <f>данные!U22+данные!M22</f>
        <v>2277.9118900000003</v>
      </c>
      <c r="AD22" s="23">
        <f t="shared" si="12"/>
        <v>-649.79925000000003</v>
      </c>
      <c r="AE22" s="24">
        <f t="shared" si="13"/>
        <v>0.77805213051175537</v>
      </c>
      <c r="AF22" s="82">
        <f t="shared" si="14"/>
        <v>-32.558209778851023</v>
      </c>
      <c r="AG22" s="23">
        <v>3202</v>
      </c>
      <c r="AH22" s="23">
        <v>3069.00009</v>
      </c>
      <c r="AI22" s="23">
        <v>214.89023</v>
      </c>
      <c r="AJ22" s="23">
        <v>222.56864000000002</v>
      </c>
      <c r="AK22" s="23">
        <v>3710</v>
      </c>
      <c r="AL22" s="23">
        <v>3324.5454500000001</v>
      </c>
      <c r="AM22" s="23">
        <v>552.74615000000006</v>
      </c>
      <c r="AN22" s="23">
        <v>482.97892999999999</v>
      </c>
      <c r="AO22" s="23">
        <f t="shared" si="1"/>
        <v>27634</v>
      </c>
      <c r="AP22" s="23">
        <f t="shared" si="2"/>
        <v>25171.47551</v>
      </c>
      <c r="AQ22" s="23">
        <f t="shared" si="15"/>
        <v>3695.3475200000003</v>
      </c>
      <c r="AR22" s="23">
        <f t="shared" si="15"/>
        <v>2983.45946</v>
      </c>
    </row>
    <row r="23" spans="1:44" outlineLevel="1" x14ac:dyDescent="0.25">
      <c r="A23" s="65" t="s">
        <v>295</v>
      </c>
      <c r="B23" s="23">
        <v>18946.460429999999</v>
      </c>
      <c r="C23" s="23">
        <v>22733</v>
      </c>
      <c r="D23" s="23">
        <v>25404.645359999999</v>
      </c>
      <c r="E23" s="23">
        <f t="shared" si="3"/>
        <v>2671.6453599999986</v>
      </c>
      <c r="F23" s="24">
        <f t="shared" si="4"/>
        <v>1.117522780099415</v>
      </c>
      <c r="G23" s="82">
        <f t="shared" si="5"/>
        <v>34.086498392987693</v>
      </c>
      <c r="H23" s="23">
        <v>350.62003999999996</v>
      </c>
      <c r="I23" s="23">
        <v>183.51060000000001</v>
      </c>
      <c r="J23" s="23">
        <v>227.64250000000001</v>
      </c>
      <c r="K23" s="23">
        <v>772.63614000000007</v>
      </c>
      <c r="L23" s="23">
        <v>623.06893000000002</v>
      </c>
      <c r="M23" s="23">
        <v>739.11487</v>
      </c>
      <c r="N23" s="23">
        <f t="shared" si="6"/>
        <v>116.04593999999997</v>
      </c>
      <c r="O23" s="24">
        <f t="shared" si="7"/>
        <v>1.1862489596456045</v>
      </c>
      <c r="P23" s="82">
        <f t="shared" si="8"/>
        <v>-4.3385583801451588</v>
      </c>
      <c r="Q23" s="276">
        <v>15412.13379</v>
      </c>
      <c r="R23" s="276">
        <v>17636.690030000002</v>
      </c>
      <c r="S23" s="276">
        <v>17054.604339999998</v>
      </c>
      <c r="T23" s="82">
        <f t="shared" si="0"/>
        <v>-0.58208569000000354</v>
      </c>
      <c r="U23" s="23">
        <v>3121.2542200000003</v>
      </c>
      <c r="V23" s="23">
        <v>4223.8565099999996</v>
      </c>
      <c r="W23" s="23">
        <v>6868.5676100000001</v>
      </c>
      <c r="X23" s="23">
        <f t="shared" si="9"/>
        <v>2644.7111000000004</v>
      </c>
      <c r="Y23" s="24">
        <f t="shared" si="10"/>
        <v>1.6261365872014437</v>
      </c>
      <c r="Z23" s="82">
        <f t="shared" si="11"/>
        <v>120.05793587681555</v>
      </c>
      <c r="AA23" s="23">
        <f>данные!S23+данные!K23</f>
        <v>4760.4265999999998</v>
      </c>
      <c r="AB23" s="23">
        <f>данные!T23+данные!L23</f>
        <v>6405.9615100000001</v>
      </c>
      <c r="AC23" s="23">
        <f>данные!U23+данные!M23</f>
        <v>8153.9035899999999</v>
      </c>
      <c r="AD23" s="23">
        <f t="shared" si="12"/>
        <v>1747.9420799999998</v>
      </c>
      <c r="AE23" s="24">
        <f t="shared" si="13"/>
        <v>1.2728617830861739</v>
      </c>
      <c r="AF23" s="82">
        <f t="shared" si="14"/>
        <v>71.285144696905945</v>
      </c>
      <c r="AG23" s="23">
        <v>2860</v>
      </c>
      <c r="AH23" s="23">
        <v>2849.40906</v>
      </c>
      <c r="AI23" s="23">
        <v>94.085970000000003</v>
      </c>
      <c r="AJ23" s="23">
        <v>42.216730000000005</v>
      </c>
      <c r="AK23" s="23">
        <v>4780</v>
      </c>
      <c r="AL23" s="23">
        <v>4780</v>
      </c>
      <c r="AM23" s="23">
        <v>1465.5574799999999</v>
      </c>
      <c r="AN23" s="23">
        <v>858.66781000000003</v>
      </c>
      <c r="AO23" s="23">
        <f t="shared" si="1"/>
        <v>30373</v>
      </c>
      <c r="AP23" s="23">
        <f t="shared" si="2"/>
        <v>33034.05442</v>
      </c>
      <c r="AQ23" s="23">
        <f t="shared" si="15"/>
        <v>7965.6049600000006</v>
      </c>
      <c r="AR23" s="23">
        <f t="shared" si="15"/>
        <v>9054.7881300000008</v>
      </c>
    </row>
    <row r="24" spans="1:44" ht="15.75" outlineLevel="1" thickBot="1" x14ac:dyDescent="0.3">
      <c r="A24" s="66" t="s">
        <v>296</v>
      </c>
      <c r="B24" s="72">
        <v>24795.652480000001</v>
      </c>
      <c r="C24" s="72">
        <v>26183</v>
      </c>
      <c r="D24" s="72">
        <v>23579.176289999999</v>
      </c>
      <c r="E24" s="72">
        <f t="shared" si="3"/>
        <v>-2603.8237100000006</v>
      </c>
      <c r="F24" s="73">
        <f t="shared" si="4"/>
        <v>0.90055288889737617</v>
      </c>
      <c r="G24" s="92">
        <f t="shared" si="5"/>
        <v>-4.906005966091044</v>
      </c>
      <c r="H24" s="72">
        <v>1224.0181599999999</v>
      </c>
      <c r="I24" s="72">
        <v>501.11094000000003</v>
      </c>
      <c r="J24" s="72">
        <v>2395.8307400000003</v>
      </c>
      <c r="K24" s="72">
        <v>376.03708</v>
      </c>
      <c r="L24" s="72">
        <v>39.085260000000005</v>
      </c>
      <c r="M24" s="72">
        <v>70.3185</v>
      </c>
      <c r="N24" s="72">
        <f t="shared" si="6"/>
        <v>31.233239999999995</v>
      </c>
      <c r="O24" s="73">
        <f t="shared" si="7"/>
        <v>1.7991053404787378</v>
      </c>
      <c r="P24" s="92">
        <f t="shared" si="8"/>
        <v>-81.300115403512862</v>
      </c>
      <c r="Q24" s="273">
        <v>21238.054370000002</v>
      </c>
      <c r="R24" s="273">
        <v>22743.599109999999</v>
      </c>
      <c r="S24" s="273">
        <v>22745.726609999998</v>
      </c>
      <c r="T24" s="92">
        <f t="shared" si="0"/>
        <v>2.1274999999986903E-3</v>
      </c>
      <c r="U24" s="72">
        <v>3917.6334500000003</v>
      </c>
      <c r="V24" s="72">
        <v>3152.4095200000002</v>
      </c>
      <c r="W24" s="72">
        <v>2648.2395999999999</v>
      </c>
      <c r="X24" s="72">
        <f t="shared" si="9"/>
        <v>-504.16992000000027</v>
      </c>
      <c r="Y24" s="73">
        <f t="shared" si="10"/>
        <v>0.84006839314455561</v>
      </c>
      <c r="Z24" s="92">
        <f t="shared" si="11"/>
        <v>-32.402057675916581</v>
      </c>
      <c r="AA24" s="72">
        <f>данные!S24+данные!K24</f>
        <v>5713.0872100000006</v>
      </c>
      <c r="AB24" s="72">
        <f>данные!T24+данные!L24</f>
        <v>4395.36906</v>
      </c>
      <c r="AC24" s="72">
        <f>данные!U24+данные!M24</f>
        <v>2928.0601499999998</v>
      </c>
      <c r="AD24" s="72">
        <f t="shared" si="12"/>
        <v>-1467.3089100000002</v>
      </c>
      <c r="AE24" s="73">
        <f t="shared" si="13"/>
        <v>0.66616935006590772</v>
      </c>
      <c r="AF24" s="92">
        <f t="shared" si="14"/>
        <v>-48.748197911720666</v>
      </c>
      <c r="AG24" s="72">
        <v>4120</v>
      </c>
      <c r="AH24" s="72">
        <v>3401.5</v>
      </c>
      <c r="AI24" s="72">
        <v>748.93260999999995</v>
      </c>
      <c r="AJ24" s="72">
        <v>102.15977000000001</v>
      </c>
      <c r="AK24" s="72">
        <v>5370</v>
      </c>
      <c r="AL24" s="72">
        <v>4240</v>
      </c>
      <c r="AM24" s="72">
        <v>1019.19901</v>
      </c>
      <c r="AN24" s="72">
        <v>356.83535999999998</v>
      </c>
      <c r="AO24" s="72">
        <f t="shared" si="1"/>
        <v>35673</v>
      </c>
      <c r="AP24" s="72">
        <f t="shared" si="2"/>
        <v>31220.676289999999</v>
      </c>
      <c r="AQ24" s="72">
        <f t="shared" si="15"/>
        <v>6163.5006800000001</v>
      </c>
      <c r="AR24" s="72">
        <f t="shared" si="15"/>
        <v>3387.05528</v>
      </c>
    </row>
    <row r="25" spans="1:44" ht="24" customHeight="1" thickBot="1" x14ac:dyDescent="0.3">
      <c r="A25" s="61" t="s">
        <v>297</v>
      </c>
      <c r="B25" s="74">
        <v>690984.78448000003</v>
      </c>
      <c r="C25" s="74">
        <v>814395.69038000004</v>
      </c>
      <c r="D25" s="74">
        <v>756888.79210000008</v>
      </c>
      <c r="E25" s="75">
        <f t="shared" si="3"/>
        <v>-57506.898279999965</v>
      </c>
      <c r="F25" s="76">
        <f t="shared" si="4"/>
        <v>0.92938703021234426</v>
      </c>
      <c r="G25" s="77">
        <f t="shared" si="5"/>
        <v>9.5376930288842772</v>
      </c>
      <c r="H25" s="74">
        <v>-5521.7577099999999</v>
      </c>
      <c r="I25" s="74">
        <v>-13891.157380000001</v>
      </c>
      <c r="J25" s="74">
        <v>-3258.66041</v>
      </c>
      <c r="K25" s="74">
        <v>38142.5265</v>
      </c>
      <c r="L25" s="74">
        <v>16889.878670000002</v>
      </c>
      <c r="M25" s="74">
        <v>18919.72176</v>
      </c>
      <c r="N25" s="75">
        <f t="shared" si="6"/>
        <v>2029.8430899999985</v>
      </c>
      <c r="O25" s="76">
        <f t="shared" si="7"/>
        <v>1.1201810344324989</v>
      </c>
      <c r="P25" s="77">
        <f t="shared" si="8"/>
        <v>-50.397303230555529</v>
      </c>
      <c r="Q25" s="274">
        <v>583659.40429999994</v>
      </c>
      <c r="R25" s="274">
        <v>683738.82550000004</v>
      </c>
      <c r="S25" s="274">
        <v>612894.3134199999</v>
      </c>
      <c r="T25" s="100">
        <f t="shared" si="0"/>
        <v>-70.844512080000129</v>
      </c>
      <c r="U25" s="74">
        <v>94509.266739999992</v>
      </c>
      <c r="V25" s="74">
        <v>107257.36597</v>
      </c>
      <c r="W25" s="74">
        <v>126633.03637999999</v>
      </c>
      <c r="X25" s="75">
        <f t="shared" si="9"/>
        <v>19375.670409999992</v>
      </c>
      <c r="Y25" s="76">
        <f t="shared" si="10"/>
        <v>1.1806465246910818</v>
      </c>
      <c r="Z25" s="77">
        <f t="shared" si="11"/>
        <v>33.990073934627162</v>
      </c>
      <c r="AA25" s="74">
        <f>данные!S25+данные!K25</f>
        <v>175982.45864999999</v>
      </c>
      <c r="AB25" s="74">
        <f>данные!T25+данные!L25</f>
        <v>152313.36319</v>
      </c>
      <c r="AC25" s="74">
        <f>данные!U25+данные!M25</f>
        <v>172120.59692000001</v>
      </c>
      <c r="AD25" s="75">
        <f t="shared" si="12"/>
        <v>19807.233730000007</v>
      </c>
      <c r="AE25" s="76">
        <f t="shared" si="13"/>
        <v>1.1300426523002576</v>
      </c>
      <c r="AF25" s="77">
        <f t="shared" si="14"/>
        <v>-2.1944583338732571</v>
      </c>
      <c r="AG25" s="74">
        <v>123039.12035</v>
      </c>
      <c r="AH25" s="74">
        <v>117175.86470000001</v>
      </c>
      <c r="AI25" s="74">
        <v>10490.65171</v>
      </c>
      <c r="AJ25" s="74">
        <v>11024.87464</v>
      </c>
      <c r="AK25" s="74">
        <v>155102.71715000001</v>
      </c>
      <c r="AL25" s="74">
        <v>130635.84047</v>
      </c>
      <c r="AM25" s="74">
        <v>24323.250250000001</v>
      </c>
      <c r="AN25" s="74">
        <v>22959.67238</v>
      </c>
      <c r="AO25" s="74">
        <f t="shared" si="1"/>
        <v>1092537.52788</v>
      </c>
      <c r="AP25" s="74">
        <f t="shared" si="2"/>
        <v>1004700.4972700002</v>
      </c>
      <c r="AQ25" s="74">
        <f t="shared" si="15"/>
        <v>187127.26515000002</v>
      </c>
      <c r="AR25" s="74">
        <f t="shared" si="15"/>
        <v>206105.14394000001</v>
      </c>
    </row>
    <row r="26" spans="1:44" ht="30" outlineLevel="1" x14ac:dyDescent="0.25">
      <c r="A26" s="64" t="s">
        <v>298</v>
      </c>
      <c r="B26" s="59">
        <v>404662.29061000003</v>
      </c>
      <c r="C26" s="59">
        <v>474650.13689999998</v>
      </c>
      <c r="D26" s="59">
        <v>441340.39032999997</v>
      </c>
      <c r="E26" s="59">
        <f t="shared" si="3"/>
        <v>-33309.746570000018</v>
      </c>
      <c r="F26" s="58">
        <f t="shared" si="4"/>
        <v>0.92982252825723344</v>
      </c>
      <c r="G26" s="90">
        <f t="shared" si="5"/>
        <v>9.0638788370199279</v>
      </c>
      <c r="H26" s="59">
        <v>-14114.138869999999</v>
      </c>
      <c r="I26" s="59">
        <v>-16373.58814</v>
      </c>
      <c r="J26" s="59">
        <v>-8741.0629100000006</v>
      </c>
      <c r="K26" s="59">
        <v>17100.067320000002</v>
      </c>
      <c r="L26" s="59">
        <v>5789.0307499999999</v>
      </c>
      <c r="M26" s="59">
        <v>8055.8079600000001</v>
      </c>
      <c r="N26" s="59">
        <f t="shared" si="6"/>
        <v>2266.7772100000002</v>
      </c>
      <c r="O26" s="58">
        <f t="shared" si="7"/>
        <v>1.3915642026948984</v>
      </c>
      <c r="P26" s="90">
        <f t="shared" si="8"/>
        <v>-52.890197393679038</v>
      </c>
      <c r="Q26" s="275">
        <v>308074.97107999999</v>
      </c>
      <c r="R26" s="275">
        <v>391613.28704999998</v>
      </c>
      <c r="S26" s="275">
        <v>339714.14610000001</v>
      </c>
      <c r="T26" s="90">
        <f t="shared" si="0"/>
        <v>-51.899140949999975</v>
      </c>
      <c r="U26" s="59">
        <v>78987.131480000011</v>
      </c>
      <c r="V26" s="59">
        <v>67121.809349999996</v>
      </c>
      <c r="W26" s="59">
        <v>88161.123810000005</v>
      </c>
      <c r="X26" s="59">
        <f t="shared" si="9"/>
        <v>21039.314460000009</v>
      </c>
      <c r="Y26" s="58">
        <f t="shared" si="10"/>
        <v>1.3134497514852825</v>
      </c>
      <c r="Z26" s="90">
        <f t="shared" si="11"/>
        <v>11.614540442354084</v>
      </c>
      <c r="AA26" s="59">
        <f>данные!S26+данные!K26</f>
        <v>131356.65888</v>
      </c>
      <c r="AB26" s="59">
        <f>данные!T26+данные!L26</f>
        <v>91451.882750000004</v>
      </c>
      <c r="AC26" s="59">
        <f>данные!U26+данные!M26</f>
        <v>115731.76207</v>
      </c>
      <c r="AD26" s="59">
        <f t="shared" si="12"/>
        <v>24279.879319999993</v>
      </c>
      <c r="AE26" s="58">
        <f t="shared" si="13"/>
        <v>1.2654934878308997</v>
      </c>
      <c r="AF26" s="90">
        <f t="shared" si="14"/>
        <v>-11.895016928128499</v>
      </c>
      <c r="AG26" s="59">
        <v>68399.708299999998</v>
      </c>
      <c r="AH26" s="59">
        <v>68500</v>
      </c>
      <c r="AI26" s="59">
        <v>4269.5977800000001</v>
      </c>
      <c r="AJ26" s="59">
        <v>6469.3837400000002</v>
      </c>
      <c r="AK26" s="59">
        <v>94942.993300000002</v>
      </c>
      <c r="AL26" s="59">
        <v>75952.993000000002</v>
      </c>
      <c r="AM26" s="59">
        <v>14879.48639</v>
      </c>
      <c r="AN26" s="59">
        <v>15819.772800000001</v>
      </c>
      <c r="AO26" s="59">
        <f t="shared" si="1"/>
        <v>637992.83849999995</v>
      </c>
      <c r="AP26" s="59">
        <f t="shared" si="2"/>
        <v>585793.38332999998</v>
      </c>
      <c r="AQ26" s="59">
        <f t="shared" si="15"/>
        <v>110600.96692000001</v>
      </c>
      <c r="AR26" s="59">
        <f t="shared" si="15"/>
        <v>138020.91860999999</v>
      </c>
    </row>
    <row r="27" spans="1:44" outlineLevel="1" x14ac:dyDescent="0.25">
      <c r="A27" s="65" t="s">
        <v>299</v>
      </c>
      <c r="B27" s="23">
        <v>27874.578329999997</v>
      </c>
      <c r="C27" s="23">
        <v>36286.673520000004</v>
      </c>
      <c r="D27" s="23">
        <v>35176.215389999998</v>
      </c>
      <c r="E27" s="23">
        <f t="shared" si="3"/>
        <v>-1110.4581300000063</v>
      </c>
      <c r="F27" s="24">
        <f t="shared" si="4"/>
        <v>0.96939763218064179</v>
      </c>
      <c r="G27" s="82">
        <f t="shared" si="5"/>
        <v>26.194609918606801</v>
      </c>
      <c r="H27" s="23">
        <v>176.01595999999998</v>
      </c>
      <c r="I27" s="23">
        <v>136.67952</v>
      </c>
      <c r="J27" s="23">
        <v>-667.19646999999998</v>
      </c>
      <c r="K27" s="23">
        <v>1084.53838</v>
      </c>
      <c r="L27" s="23">
        <v>747.37890000000004</v>
      </c>
      <c r="M27" s="23">
        <v>859.94011999999998</v>
      </c>
      <c r="N27" s="23">
        <f t="shared" si="6"/>
        <v>112.56121999999993</v>
      </c>
      <c r="O27" s="24">
        <f t="shared" si="7"/>
        <v>1.1506079714051332</v>
      </c>
      <c r="P27" s="82">
        <f t="shared" si="8"/>
        <v>-20.709111281059506</v>
      </c>
      <c r="Q27" s="276">
        <v>40454.879209999999</v>
      </c>
      <c r="R27" s="276">
        <v>43091.784970000001</v>
      </c>
      <c r="S27" s="276">
        <v>37970.278469999997</v>
      </c>
      <c r="T27" s="82">
        <f t="shared" si="0"/>
        <v>-5.1215065000000033</v>
      </c>
      <c r="U27" s="23">
        <v>-9747.1696799999991</v>
      </c>
      <c r="V27" s="23">
        <v>-5332.34555</v>
      </c>
      <c r="W27" s="23">
        <v>-2706.0195899999999</v>
      </c>
      <c r="X27" s="23">
        <f t="shared" si="9"/>
        <v>2626.3259600000001</v>
      </c>
      <c r="Y27" s="24">
        <f t="shared" si="10"/>
        <v>0.50747266181952511</v>
      </c>
      <c r="Z27" s="90">
        <f>(W27/U27*100-100)*-1</f>
        <v>72.237893882647583</v>
      </c>
      <c r="AA27" s="23">
        <f>данные!S27+данные!K27</f>
        <v>-9178.2628999999997</v>
      </c>
      <c r="AB27" s="23">
        <f>данные!T27+данные!L27</f>
        <v>-4277.8800700000002</v>
      </c>
      <c r="AC27" s="23">
        <f>данные!U27+данные!M27</f>
        <v>-1281.6753499999998</v>
      </c>
      <c r="AD27" s="23">
        <f t="shared" si="12"/>
        <v>2996.2047200000006</v>
      </c>
      <c r="AE27" s="24">
        <f t="shared" si="13"/>
        <v>0.29960525517958236</v>
      </c>
      <c r="AF27" s="90">
        <f>(AC27/AA27*100-100)*-1</f>
        <v>86.035752473379247</v>
      </c>
      <c r="AG27" s="23">
        <v>5690.8969200000001</v>
      </c>
      <c r="AH27" s="23">
        <v>5349.4430999999995</v>
      </c>
      <c r="AI27" s="23">
        <v>-1092.5408799999998</v>
      </c>
      <c r="AJ27" s="23">
        <v>-568.44551999999999</v>
      </c>
      <c r="AK27" s="23">
        <v>7190.8969200000001</v>
      </c>
      <c r="AL27" s="23">
        <v>6471.8072300000003</v>
      </c>
      <c r="AM27" s="23">
        <v>-9.1061299999999985</v>
      </c>
      <c r="AN27" s="23">
        <v>110.84818</v>
      </c>
      <c r="AO27" s="23">
        <f t="shared" si="1"/>
        <v>49168.467360000002</v>
      </c>
      <c r="AP27" s="23">
        <f t="shared" si="2"/>
        <v>46997.465719999993</v>
      </c>
      <c r="AQ27" s="23">
        <f t="shared" si="15"/>
        <v>-5379.5270799999998</v>
      </c>
      <c r="AR27" s="23">
        <f t="shared" si="15"/>
        <v>-1739.2726899999998</v>
      </c>
    </row>
    <row r="28" spans="1:44" outlineLevel="1" x14ac:dyDescent="0.25">
      <c r="A28" s="65" t="s">
        <v>300</v>
      </c>
      <c r="B28" s="23">
        <v>24114.333200000001</v>
      </c>
      <c r="C28" s="23">
        <v>24850.839</v>
      </c>
      <c r="D28" s="23">
        <v>21523.51988</v>
      </c>
      <c r="E28" s="23">
        <f t="shared" si="3"/>
        <v>-3327.3191200000001</v>
      </c>
      <c r="F28" s="24">
        <f t="shared" si="4"/>
        <v>0.86610837887606129</v>
      </c>
      <c r="G28" s="82">
        <f t="shared" si="5"/>
        <v>-10.743872942752574</v>
      </c>
      <c r="H28" s="23">
        <v>458.00522999999998</v>
      </c>
      <c r="I28" s="23">
        <v>486.13997999999998</v>
      </c>
      <c r="J28" s="23">
        <v>143.90660999999997</v>
      </c>
      <c r="K28" s="23">
        <v>2021.7200700000001</v>
      </c>
      <c r="L28" s="23">
        <v>1686.7334799999999</v>
      </c>
      <c r="M28" s="23">
        <v>1686.7334599999999</v>
      </c>
      <c r="N28" s="23">
        <f t="shared" si="6"/>
        <v>-1.9999999949504854E-5</v>
      </c>
      <c r="O28" s="24">
        <f t="shared" si="7"/>
        <v>0.99999998814276225</v>
      </c>
      <c r="P28" s="82">
        <f t="shared" si="8"/>
        <v>-16.569386383941875</v>
      </c>
      <c r="Q28" s="276">
        <v>23122.774719999998</v>
      </c>
      <c r="R28" s="276">
        <v>25176.035940000002</v>
      </c>
      <c r="S28" s="276">
        <v>22304.496239999997</v>
      </c>
      <c r="T28" s="82">
        <f t="shared" si="0"/>
        <v>-2.8715397000000049</v>
      </c>
      <c r="U28" s="23">
        <v>1099.3696399999999</v>
      </c>
      <c r="V28" s="23">
        <v>128.75442000000001</v>
      </c>
      <c r="W28" s="23">
        <v>-559.00414999999998</v>
      </c>
      <c r="X28" s="23">
        <f t="shared" si="9"/>
        <v>-687.75856999999996</v>
      </c>
      <c r="Y28" s="24">
        <f t="shared" si="10"/>
        <v>-4.3416307572198294</v>
      </c>
      <c r="Z28" s="82">
        <f t="shared" si="11"/>
        <v>-150.84769759514188</v>
      </c>
      <c r="AA28" s="23">
        <f>данные!S28+данные!K28</f>
        <v>3843.40886</v>
      </c>
      <c r="AB28" s="23">
        <f>данные!T28+данные!L28</f>
        <v>2702.4007700000002</v>
      </c>
      <c r="AC28" s="23">
        <f>данные!U28+данные!M28</f>
        <v>1400.5430400000002</v>
      </c>
      <c r="AD28" s="23">
        <f t="shared" si="12"/>
        <v>-1301.8577299999999</v>
      </c>
      <c r="AE28" s="24">
        <f t="shared" si="13"/>
        <v>0.51825882213614083</v>
      </c>
      <c r="AF28" s="82">
        <f t="shared" si="14"/>
        <v>-63.559873773096307</v>
      </c>
      <c r="AG28" s="23">
        <v>4437</v>
      </c>
      <c r="AH28" s="23">
        <v>3539.3967699999998</v>
      </c>
      <c r="AI28" s="23">
        <v>384.51941999999997</v>
      </c>
      <c r="AJ28" s="23">
        <v>-208.13898</v>
      </c>
      <c r="AK28" s="23">
        <v>4446</v>
      </c>
      <c r="AL28" s="23">
        <v>4080</v>
      </c>
      <c r="AM28" s="23">
        <v>486.90767</v>
      </c>
      <c r="AN28" s="23">
        <v>351.42417</v>
      </c>
      <c r="AO28" s="23">
        <f t="shared" si="1"/>
        <v>33733.839</v>
      </c>
      <c r="AP28" s="23">
        <f t="shared" si="2"/>
        <v>29142.916649999999</v>
      </c>
      <c r="AQ28" s="23">
        <f t="shared" si="15"/>
        <v>3573.8278600000003</v>
      </c>
      <c r="AR28" s="23">
        <f t="shared" si="15"/>
        <v>1543.8282300000003</v>
      </c>
    </row>
    <row r="29" spans="1:44" outlineLevel="1" x14ac:dyDescent="0.25">
      <c r="A29" s="65" t="s">
        <v>301</v>
      </c>
      <c r="B29" s="23">
        <v>42417.788619999999</v>
      </c>
      <c r="C29" s="23">
        <v>46360.443570000003</v>
      </c>
      <c r="D29" s="23">
        <v>38874.806409999997</v>
      </c>
      <c r="E29" s="23">
        <f t="shared" si="3"/>
        <v>-7485.6371600000057</v>
      </c>
      <c r="F29" s="24">
        <f t="shared" si="4"/>
        <v>0.83853396163698513</v>
      </c>
      <c r="G29" s="82">
        <f t="shared" si="5"/>
        <v>-8.3525858496298042</v>
      </c>
      <c r="H29" s="23">
        <v>2322.5824199999997</v>
      </c>
      <c r="I29" s="23">
        <v>653.18442000000005</v>
      </c>
      <c r="J29" s="23">
        <v>3484.9736400000002</v>
      </c>
      <c r="K29" s="23">
        <v>3481.9615600000002</v>
      </c>
      <c r="L29" s="23">
        <v>2885.4924999999998</v>
      </c>
      <c r="M29" s="23">
        <v>2424.9746299999997</v>
      </c>
      <c r="N29" s="23">
        <f t="shared" si="6"/>
        <v>-460.51787000000013</v>
      </c>
      <c r="O29" s="24">
        <f t="shared" si="7"/>
        <v>0.84040233339715831</v>
      </c>
      <c r="P29" s="82">
        <f t="shared" si="8"/>
        <v>-30.356076934979157</v>
      </c>
      <c r="Q29" s="276">
        <v>50501.032599999999</v>
      </c>
      <c r="R29" s="276">
        <v>46531.02938</v>
      </c>
      <c r="S29" s="276">
        <v>41502.829090000007</v>
      </c>
      <c r="T29" s="82">
        <f t="shared" si="0"/>
        <v>-5.0282002899999938</v>
      </c>
      <c r="U29" s="23">
        <v>-4630.9683399999994</v>
      </c>
      <c r="V29" s="23">
        <v>386.07889</v>
      </c>
      <c r="W29" s="23">
        <v>690.17075</v>
      </c>
      <c r="X29" s="23">
        <f t="shared" si="9"/>
        <v>304.09186</v>
      </c>
      <c r="Y29" s="24">
        <f t="shared" si="10"/>
        <v>1.7876417692767403</v>
      </c>
      <c r="Z29" s="82">
        <f>(W29/U29*100-100)*-1</f>
        <v>114.90337871754917</v>
      </c>
      <c r="AA29" s="23">
        <f>данные!S29+данные!K29</f>
        <v>-209.76517000000013</v>
      </c>
      <c r="AB29" s="23">
        <f>данные!T29+данные!L29</f>
        <v>3267.8749799999996</v>
      </c>
      <c r="AC29" s="23">
        <f>данные!U29+данные!M29</f>
        <v>3522.9079400000001</v>
      </c>
      <c r="AD29" s="23">
        <f t="shared" si="12"/>
        <v>255.03296000000046</v>
      </c>
      <c r="AE29" s="24">
        <f t="shared" si="13"/>
        <v>1.0780424470216423</v>
      </c>
      <c r="AF29" s="82">
        <f>(AC29/AA29*100-100)*-1</f>
        <v>1779.4532381138386</v>
      </c>
      <c r="AG29" s="23">
        <v>7550.2265499999994</v>
      </c>
      <c r="AH29" s="23">
        <v>6495.0950000000003</v>
      </c>
      <c r="AI29" s="23">
        <v>95.538640000000001</v>
      </c>
      <c r="AJ29" s="23">
        <v>98.876000000000005</v>
      </c>
      <c r="AK29" s="23">
        <v>8145.7501600000005</v>
      </c>
      <c r="AL29" s="23">
        <v>7412.6329999999998</v>
      </c>
      <c r="AM29" s="23">
        <v>190.11185</v>
      </c>
      <c r="AN29" s="23">
        <v>194.10599999999999</v>
      </c>
      <c r="AO29" s="23">
        <f t="shared" si="1"/>
        <v>62056.420280000006</v>
      </c>
      <c r="AP29" s="23">
        <f t="shared" si="2"/>
        <v>52782.53441</v>
      </c>
      <c r="AQ29" s="23">
        <f t="shared" si="15"/>
        <v>3553.5254699999996</v>
      </c>
      <c r="AR29" s="23">
        <f t="shared" si="15"/>
        <v>3815.88994</v>
      </c>
    </row>
    <row r="30" spans="1:44" outlineLevel="1" x14ac:dyDescent="0.25">
      <c r="A30" s="65" t="s">
        <v>302</v>
      </c>
      <c r="B30" s="23">
        <v>121320.31131</v>
      </c>
      <c r="C30" s="23">
        <v>155167</v>
      </c>
      <c r="D30" s="23">
        <v>145050.17236000003</v>
      </c>
      <c r="E30" s="23">
        <f t="shared" si="3"/>
        <v>-10116.827639999974</v>
      </c>
      <c r="F30" s="24">
        <f t="shared" si="4"/>
        <v>0.93480039157810635</v>
      </c>
      <c r="G30" s="82">
        <f t="shared" si="5"/>
        <v>19.559677018438421</v>
      </c>
      <c r="H30" s="23">
        <v>4696.6797300000007</v>
      </c>
      <c r="I30" s="23">
        <v>437.33388000000002</v>
      </c>
      <c r="J30" s="23">
        <v>2149.64626</v>
      </c>
      <c r="K30" s="23">
        <v>11291.344869999999</v>
      </c>
      <c r="L30" s="23">
        <v>3392.1574799999999</v>
      </c>
      <c r="M30" s="23">
        <v>3390.7318500000001</v>
      </c>
      <c r="N30" s="23">
        <f t="shared" si="6"/>
        <v>-1.4256299999997282</v>
      </c>
      <c r="O30" s="24">
        <f t="shared" si="7"/>
        <v>0.99957972764872938</v>
      </c>
      <c r="P30" s="82">
        <f t="shared" si="8"/>
        <v>-69.970522652187839</v>
      </c>
      <c r="Q30" s="276">
        <v>95311.466959999991</v>
      </c>
      <c r="R30" s="276">
        <v>104316.4402</v>
      </c>
      <c r="S30" s="276">
        <v>101689.10329000001</v>
      </c>
      <c r="T30" s="82">
        <f t="shared" si="0"/>
        <v>-2.6273369099999835</v>
      </c>
      <c r="U30" s="23">
        <v>24390.026460000001</v>
      </c>
      <c r="V30" s="23">
        <v>41081.514909999998</v>
      </c>
      <c r="W30" s="23">
        <v>36510.778479999994</v>
      </c>
      <c r="X30" s="23">
        <f t="shared" si="9"/>
        <v>-4570.7364300000045</v>
      </c>
      <c r="Y30" s="24">
        <f t="shared" si="10"/>
        <v>0.88873982763261239</v>
      </c>
      <c r="Z30" s="82">
        <f t="shared" si="11"/>
        <v>49.69552632457453</v>
      </c>
      <c r="AA30" s="23">
        <f>данные!S30+данные!K30</f>
        <v>40988.278790000004</v>
      </c>
      <c r="AB30" s="23">
        <f>данные!T30+данные!L30</f>
        <v>51634.413439999997</v>
      </c>
      <c r="AC30" s="23">
        <f>данные!U30+данные!M30</f>
        <v>44199.373699999996</v>
      </c>
      <c r="AD30" s="23">
        <f t="shared" si="12"/>
        <v>-7435.0397400000002</v>
      </c>
      <c r="AE30" s="24">
        <f t="shared" si="13"/>
        <v>0.85600611598619913</v>
      </c>
      <c r="AF30" s="82">
        <f t="shared" si="14"/>
        <v>7.8341784646575974</v>
      </c>
      <c r="AG30" s="23">
        <v>25133.599999999999</v>
      </c>
      <c r="AH30" s="23">
        <v>21720.630969999998</v>
      </c>
      <c r="AI30" s="23">
        <v>6539.2066799999993</v>
      </c>
      <c r="AJ30" s="23">
        <v>4955.1445899999999</v>
      </c>
      <c r="AK30" s="23">
        <v>26686.5</v>
      </c>
      <c r="AL30" s="23">
        <v>24030</v>
      </c>
      <c r="AM30" s="23">
        <v>7664.0695599999999</v>
      </c>
      <c r="AN30" s="23">
        <v>5767.6001100000003</v>
      </c>
      <c r="AO30" s="23">
        <f t="shared" si="1"/>
        <v>206987.1</v>
      </c>
      <c r="AP30" s="23">
        <f t="shared" si="2"/>
        <v>190800.80333000002</v>
      </c>
      <c r="AQ30" s="23">
        <f t="shared" si="15"/>
        <v>65837.689679999996</v>
      </c>
      <c r="AR30" s="23">
        <f t="shared" si="15"/>
        <v>54922.118399999992</v>
      </c>
    </row>
    <row r="31" spans="1:44" outlineLevel="1" x14ac:dyDescent="0.25">
      <c r="A31" s="65" t="s">
        <v>303</v>
      </c>
      <c r="B31" s="23">
        <v>24339.964499999998</v>
      </c>
      <c r="C31" s="23">
        <v>26511.252949999998</v>
      </c>
      <c r="D31" s="23">
        <v>23407.952649999999</v>
      </c>
      <c r="E31" s="23">
        <f t="shared" si="3"/>
        <v>-3103.300299999999</v>
      </c>
      <c r="F31" s="24">
        <f t="shared" si="4"/>
        <v>0.88294403490273365</v>
      </c>
      <c r="G31" s="82">
        <f t="shared" si="5"/>
        <v>-3.8291421912303889</v>
      </c>
      <c r="H31" s="23">
        <v>741.42532999999992</v>
      </c>
      <c r="I31" s="23">
        <v>492.13271999999995</v>
      </c>
      <c r="J31" s="23">
        <v>306.80329999999998</v>
      </c>
      <c r="K31" s="23">
        <v>880.9008</v>
      </c>
      <c r="L31" s="23">
        <v>781.72914000000003</v>
      </c>
      <c r="M31" s="23">
        <v>888.75209999999993</v>
      </c>
      <c r="N31" s="23">
        <f t="shared" si="6"/>
        <v>107.0229599999999</v>
      </c>
      <c r="O31" s="24">
        <f t="shared" si="7"/>
        <v>1.1369054248124868</v>
      </c>
      <c r="P31" s="82">
        <f t="shared" si="8"/>
        <v>0.89128083434593464</v>
      </c>
      <c r="Q31" s="276">
        <v>24157.089479999999</v>
      </c>
      <c r="R31" s="276">
        <v>25651.911270000001</v>
      </c>
      <c r="S31" s="276">
        <v>23179.024000000001</v>
      </c>
      <c r="T31" s="82">
        <f t="shared" si="0"/>
        <v>-2.4728872699999993</v>
      </c>
      <c r="U31" s="23">
        <v>800.79648999999995</v>
      </c>
      <c r="V31" s="23">
        <v>1081.17956</v>
      </c>
      <c r="W31" s="23">
        <v>518.02033000000006</v>
      </c>
      <c r="X31" s="23">
        <f t="shared" si="9"/>
        <v>-563.15922999999998</v>
      </c>
      <c r="Y31" s="24">
        <f t="shared" si="10"/>
        <v>0.47912516030177266</v>
      </c>
      <c r="Z31" s="82">
        <f t="shared" si="11"/>
        <v>-35.311863067731466</v>
      </c>
      <c r="AA31" s="23">
        <f>данные!S31+данные!K31</f>
        <v>2250.3717499999998</v>
      </c>
      <c r="AB31" s="23">
        <f>данные!T31+данные!L31</f>
        <v>2005.16941</v>
      </c>
      <c r="AC31" s="23">
        <f>данные!U31+данные!M31</f>
        <v>1822.70345</v>
      </c>
      <c r="AD31" s="23">
        <f t="shared" si="12"/>
        <v>-182.46596</v>
      </c>
      <c r="AE31" s="24">
        <f t="shared" si="13"/>
        <v>0.90900222241072393</v>
      </c>
      <c r="AF31" s="82">
        <f t="shared" si="14"/>
        <v>-19.004340060703299</v>
      </c>
      <c r="AG31" s="23">
        <v>3856.80683</v>
      </c>
      <c r="AH31" s="23">
        <v>3800</v>
      </c>
      <c r="AI31" s="23">
        <v>46.596959999999996</v>
      </c>
      <c r="AJ31" s="23">
        <v>28.91187</v>
      </c>
      <c r="AK31" s="23">
        <v>4721.6714900000006</v>
      </c>
      <c r="AL31" s="23">
        <v>3700</v>
      </c>
      <c r="AM31" s="23">
        <v>371.01128000000006</v>
      </c>
      <c r="AN31" s="23">
        <v>23.151490000000003</v>
      </c>
      <c r="AO31" s="23">
        <f t="shared" si="1"/>
        <v>35089.731270000004</v>
      </c>
      <c r="AP31" s="23">
        <f t="shared" si="2"/>
        <v>30907.952649999999</v>
      </c>
      <c r="AQ31" s="23">
        <f t="shared" si="15"/>
        <v>2422.77765</v>
      </c>
      <c r="AR31" s="23">
        <f t="shared" si="15"/>
        <v>1874.7668099999999</v>
      </c>
    </row>
    <row r="32" spans="1:44" outlineLevel="1" x14ac:dyDescent="0.25">
      <c r="A32" s="65" t="s">
        <v>304</v>
      </c>
      <c r="B32" s="23">
        <v>19068.993170000002</v>
      </c>
      <c r="C32" s="23">
        <v>20145</v>
      </c>
      <c r="D32" s="23">
        <v>21492.90941</v>
      </c>
      <c r="E32" s="23">
        <f t="shared" si="3"/>
        <v>1347.9094100000002</v>
      </c>
      <c r="F32" s="24">
        <f t="shared" si="4"/>
        <v>1.0669103703152147</v>
      </c>
      <c r="G32" s="82">
        <f t="shared" si="5"/>
        <v>12.711296387757827</v>
      </c>
      <c r="H32" s="23">
        <v>60.557319999999997</v>
      </c>
      <c r="I32" s="23">
        <v>39.948480000000004</v>
      </c>
      <c r="J32" s="23">
        <v>-85.632670000000005</v>
      </c>
      <c r="K32" s="23">
        <v>1507.20244</v>
      </c>
      <c r="L32" s="23">
        <v>1212.6712</v>
      </c>
      <c r="M32" s="23">
        <v>1212.6711399999999</v>
      </c>
      <c r="N32" s="23">
        <f t="shared" si="6"/>
        <v>-6.0000000075888238E-5</v>
      </c>
      <c r="O32" s="24">
        <f t="shared" si="7"/>
        <v>0.99999995052244983</v>
      </c>
      <c r="P32" s="82">
        <f t="shared" si="8"/>
        <v>-19.541588587131002</v>
      </c>
      <c r="Q32" s="276">
        <v>16976.466120000001</v>
      </c>
      <c r="R32" s="276">
        <v>18603.41876</v>
      </c>
      <c r="S32" s="276">
        <v>18318.728300000002</v>
      </c>
      <c r="T32" s="82">
        <f t="shared" si="0"/>
        <v>-0.28469045999999798</v>
      </c>
      <c r="U32" s="23">
        <v>1721.8661299999999</v>
      </c>
      <c r="V32" s="23">
        <v>1265.2237700000001</v>
      </c>
      <c r="W32" s="23">
        <v>2458.68372</v>
      </c>
      <c r="X32" s="23">
        <f t="shared" si="9"/>
        <v>1193.4599499999999</v>
      </c>
      <c r="Y32" s="24">
        <f t="shared" si="10"/>
        <v>1.9432797409425844</v>
      </c>
      <c r="Z32" s="82">
        <f t="shared" si="11"/>
        <v>42.791804610268997</v>
      </c>
      <c r="AA32" s="23">
        <f>данные!S32+данные!K32</f>
        <v>3565.8547800000001</v>
      </c>
      <c r="AB32" s="23">
        <f>данные!T32+данные!L32</f>
        <v>3138.5507100000004</v>
      </c>
      <c r="AC32" s="23">
        <f>данные!U32+данные!M32</f>
        <v>4272.6988799999999</v>
      </c>
      <c r="AD32" s="23">
        <f t="shared" si="12"/>
        <v>1134.1481699999995</v>
      </c>
      <c r="AE32" s="24">
        <f t="shared" si="13"/>
        <v>1.361360473286729</v>
      </c>
      <c r="AF32" s="82">
        <f t="shared" si="14"/>
        <v>19.822571125568928</v>
      </c>
      <c r="AG32" s="23">
        <v>3245</v>
      </c>
      <c r="AH32" s="23">
        <v>3249.3389999999999</v>
      </c>
      <c r="AI32" s="23">
        <v>153.23657</v>
      </c>
      <c r="AJ32" s="23">
        <v>154.21863000000002</v>
      </c>
      <c r="AK32" s="23">
        <v>3605</v>
      </c>
      <c r="AL32" s="23">
        <v>3605</v>
      </c>
      <c r="AM32" s="23">
        <v>414.67426</v>
      </c>
      <c r="AN32" s="23">
        <v>366.67426</v>
      </c>
      <c r="AO32" s="23">
        <f t="shared" si="1"/>
        <v>26995</v>
      </c>
      <c r="AP32" s="23">
        <f t="shared" si="2"/>
        <v>28347.24841</v>
      </c>
      <c r="AQ32" s="23">
        <f t="shared" si="15"/>
        <v>3706.4615400000002</v>
      </c>
      <c r="AR32" s="23">
        <f t="shared" si="15"/>
        <v>4793.59177</v>
      </c>
    </row>
    <row r="33" spans="1:44" ht="15.75" outlineLevel="1" thickBot="1" x14ac:dyDescent="0.3">
      <c r="A33" s="66" t="s">
        <v>305</v>
      </c>
      <c r="B33" s="72">
        <v>27186.524739999997</v>
      </c>
      <c r="C33" s="72">
        <v>30424.344440000001</v>
      </c>
      <c r="D33" s="72">
        <v>30022.825670000002</v>
      </c>
      <c r="E33" s="72">
        <f t="shared" si="3"/>
        <v>-401.51876999999877</v>
      </c>
      <c r="F33" s="73">
        <f t="shared" si="4"/>
        <v>0.98680271416227761</v>
      </c>
      <c r="G33" s="92">
        <f t="shared" si="5"/>
        <v>10.432745476390011</v>
      </c>
      <c r="H33" s="72">
        <v>137.11517000000001</v>
      </c>
      <c r="I33" s="72">
        <v>237.01176000000001</v>
      </c>
      <c r="J33" s="72">
        <v>149.90182999999999</v>
      </c>
      <c r="K33" s="72">
        <v>774.79106000000002</v>
      </c>
      <c r="L33" s="72">
        <v>394.68521999999996</v>
      </c>
      <c r="M33" s="72">
        <v>400.1105</v>
      </c>
      <c r="N33" s="72">
        <f t="shared" si="6"/>
        <v>5.4252800000000434</v>
      </c>
      <c r="O33" s="73">
        <f t="shared" si="7"/>
        <v>1.0137458402926769</v>
      </c>
      <c r="P33" s="92">
        <f t="shared" si="8"/>
        <v>-48.358916273504761</v>
      </c>
      <c r="Q33" s="273">
        <v>25060.724129999999</v>
      </c>
      <c r="R33" s="273">
        <v>28754.91793</v>
      </c>
      <c r="S33" s="273">
        <v>28215.70793</v>
      </c>
      <c r="T33" s="92">
        <f t="shared" si="0"/>
        <v>-0.53920999999999908</v>
      </c>
      <c r="U33" s="72">
        <v>1888.2145600000001</v>
      </c>
      <c r="V33" s="72">
        <v>1525.1506200000001</v>
      </c>
      <c r="W33" s="72">
        <v>1559.2830300000001</v>
      </c>
      <c r="X33" s="72">
        <f t="shared" si="9"/>
        <v>34.132409999999936</v>
      </c>
      <c r="Y33" s="73">
        <f t="shared" si="10"/>
        <v>1.0223796978163375</v>
      </c>
      <c r="Z33" s="92">
        <f t="shared" si="11"/>
        <v>-17.42024116157647</v>
      </c>
      <c r="AA33" s="72">
        <f>данные!S33+данные!K33</f>
        <v>3365.9136600000002</v>
      </c>
      <c r="AB33" s="72">
        <f>данные!T33+данные!L33</f>
        <v>2390.9512</v>
      </c>
      <c r="AC33" s="72">
        <f>данные!U33+данные!M33</f>
        <v>2452.2831900000001</v>
      </c>
      <c r="AD33" s="72">
        <f t="shared" si="12"/>
        <v>61.331990000000133</v>
      </c>
      <c r="AE33" s="73">
        <f t="shared" si="13"/>
        <v>1.0256517113356391</v>
      </c>
      <c r="AF33" s="92">
        <f t="shared" si="14"/>
        <v>-27.143609797762906</v>
      </c>
      <c r="AG33" s="72">
        <v>4725.8817499999996</v>
      </c>
      <c r="AH33" s="72">
        <v>4521.9598599999999</v>
      </c>
      <c r="AI33" s="72">
        <v>94.496539999999996</v>
      </c>
      <c r="AJ33" s="72">
        <v>94.924309999999991</v>
      </c>
      <c r="AK33" s="72">
        <v>5363.9052799999999</v>
      </c>
      <c r="AL33" s="72">
        <v>5383.4072400000005</v>
      </c>
      <c r="AM33" s="72">
        <v>326.09537</v>
      </c>
      <c r="AN33" s="72">
        <v>326.09537</v>
      </c>
      <c r="AO33" s="72">
        <f t="shared" si="1"/>
        <v>40514.13147</v>
      </c>
      <c r="AP33" s="72">
        <f t="shared" si="2"/>
        <v>39928.192770000001</v>
      </c>
      <c r="AQ33" s="72">
        <f t="shared" si="15"/>
        <v>2811.5431100000001</v>
      </c>
      <c r="AR33" s="72">
        <f t="shared" si="15"/>
        <v>2873.30287</v>
      </c>
    </row>
    <row r="34" spans="1:44" ht="15.75" thickBot="1" x14ac:dyDescent="0.3">
      <c r="A34" s="61" t="s">
        <v>306</v>
      </c>
      <c r="B34" s="74">
        <v>364276.51543000003</v>
      </c>
      <c r="C34" s="74">
        <v>395155.05450000003</v>
      </c>
      <c r="D34" s="74">
        <v>380240.02950999996</v>
      </c>
      <c r="E34" s="75">
        <f t="shared" si="3"/>
        <v>-14915.024990000064</v>
      </c>
      <c r="F34" s="76">
        <f t="shared" si="4"/>
        <v>0.96225525949839508</v>
      </c>
      <c r="G34" s="77">
        <f t="shared" si="5"/>
        <v>4.3822517795736076</v>
      </c>
      <c r="H34" s="74">
        <v>10695.89697</v>
      </c>
      <c r="I34" s="74">
        <v>19135.644499999999</v>
      </c>
      <c r="J34" s="74">
        <v>28336.062590000001</v>
      </c>
      <c r="K34" s="74">
        <v>15975.605609999999</v>
      </c>
      <c r="L34" s="74">
        <v>19369.18388</v>
      </c>
      <c r="M34" s="74">
        <v>18176.191870000002</v>
      </c>
      <c r="N34" s="75">
        <f t="shared" si="6"/>
        <v>-1192.9920099999981</v>
      </c>
      <c r="O34" s="76">
        <f t="shared" si="7"/>
        <v>0.93840772964978436</v>
      </c>
      <c r="P34" s="77">
        <f t="shared" si="8"/>
        <v>13.774665660389957</v>
      </c>
      <c r="Q34" s="274">
        <v>357974.87413000001</v>
      </c>
      <c r="R34" s="274">
        <v>392579.38883000001</v>
      </c>
      <c r="S34" s="274">
        <v>387236.98314999999</v>
      </c>
      <c r="T34" s="100">
        <f t="shared" si="0"/>
        <v>-5.3424056800000255</v>
      </c>
      <c r="U34" s="74">
        <v>13165.371150000001</v>
      </c>
      <c r="V34" s="74">
        <v>17425.048070000001</v>
      </c>
      <c r="W34" s="74">
        <v>18410.032999999999</v>
      </c>
      <c r="X34" s="75">
        <f t="shared" si="9"/>
        <v>984.98492999999871</v>
      </c>
      <c r="Y34" s="76">
        <f t="shared" si="10"/>
        <v>1.056526956255335</v>
      </c>
      <c r="Z34" s="77">
        <f t="shared" si="11"/>
        <v>39.836794498573624</v>
      </c>
      <c r="AA34" s="74">
        <f>данные!S34+данные!K34</f>
        <v>40432.614009999998</v>
      </c>
      <c r="AB34" s="74">
        <f>данные!T34+данные!L34</f>
        <v>48197.866289999998</v>
      </c>
      <c r="AC34" s="74">
        <f>данные!U34+данные!M34</f>
        <v>48124.316019999998</v>
      </c>
      <c r="AD34" s="75">
        <f t="shared" si="12"/>
        <v>-73.550269999999728</v>
      </c>
      <c r="AE34" s="76">
        <f t="shared" si="13"/>
        <v>0.99847399323535491</v>
      </c>
      <c r="AF34" s="77">
        <f t="shared" si="14"/>
        <v>19.023509110980669</v>
      </c>
      <c r="AG34" s="74">
        <v>61198.902119999999</v>
      </c>
      <c r="AH34" s="74">
        <v>57646.620320000002</v>
      </c>
      <c r="AI34" s="74">
        <v>-627.67429000000004</v>
      </c>
      <c r="AJ34" s="74">
        <v>-917.59226999999998</v>
      </c>
      <c r="AK34" s="74">
        <v>74476.287819999998</v>
      </c>
      <c r="AL34" s="74">
        <v>71104.080050000004</v>
      </c>
      <c r="AM34" s="74">
        <v>7579.5381500000003</v>
      </c>
      <c r="AN34" s="74">
        <v>6951.3285700000006</v>
      </c>
      <c r="AO34" s="74">
        <f t="shared" si="1"/>
        <v>530830.24444000004</v>
      </c>
      <c r="AP34" s="74">
        <f t="shared" si="2"/>
        <v>508990.72987999994</v>
      </c>
      <c r="AQ34" s="74">
        <f t="shared" si="15"/>
        <v>55149.730149999996</v>
      </c>
      <c r="AR34" s="74">
        <f t="shared" si="15"/>
        <v>54158.052319999995</v>
      </c>
    </row>
    <row r="35" spans="1:44" outlineLevel="1" x14ac:dyDescent="0.25">
      <c r="A35" s="64" t="s">
        <v>307</v>
      </c>
      <c r="B35" s="59">
        <v>65149.212009999996</v>
      </c>
      <c r="C35" s="59">
        <v>73599.539999999994</v>
      </c>
      <c r="D35" s="59">
        <v>61164.42931</v>
      </c>
      <c r="E35" s="59">
        <f t="shared" si="3"/>
        <v>-12435.110689999994</v>
      </c>
      <c r="F35" s="58">
        <f t="shared" si="4"/>
        <v>0.83104363573467988</v>
      </c>
      <c r="G35" s="90">
        <f t="shared" si="5"/>
        <v>-6.1163943155419247</v>
      </c>
      <c r="H35" s="59">
        <v>2420.2846800000002</v>
      </c>
      <c r="I35" s="59">
        <v>3178.7886000000003</v>
      </c>
      <c r="J35" s="59">
        <v>3318.33088</v>
      </c>
      <c r="K35" s="59">
        <v>6619.9823499999993</v>
      </c>
      <c r="L35" s="59">
        <v>9658.5933000000005</v>
      </c>
      <c r="M35" s="59">
        <v>7690.9070899999997</v>
      </c>
      <c r="N35" s="59">
        <f t="shared" si="6"/>
        <v>-1967.6862100000008</v>
      </c>
      <c r="O35" s="58">
        <f t="shared" si="7"/>
        <v>0.79627610886152533</v>
      </c>
      <c r="P35" s="90">
        <f t="shared" si="8"/>
        <v>16.177154007064701</v>
      </c>
      <c r="Q35" s="275">
        <v>76908.982770000002</v>
      </c>
      <c r="R35" s="275">
        <v>82720.271790000013</v>
      </c>
      <c r="S35" s="275">
        <v>80986.59792</v>
      </c>
      <c r="T35" s="90">
        <f t="shared" si="0"/>
        <v>-1.7336738700000132</v>
      </c>
      <c r="U35" s="59">
        <v>-7468.5705399999997</v>
      </c>
      <c r="V35" s="59">
        <v>-4753.5545599999996</v>
      </c>
      <c r="W35" s="59">
        <v>-13284.227699999999</v>
      </c>
      <c r="X35" s="59">
        <f t="shared" si="9"/>
        <v>-8530.673139999999</v>
      </c>
      <c r="Y35" s="58">
        <f t="shared" si="10"/>
        <v>2.7945882459798677</v>
      </c>
      <c r="Z35" s="90">
        <f>(W35/U35*100-100)*-1</f>
        <v>-77.868410412041186</v>
      </c>
      <c r="AA35" s="59">
        <f>данные!S35+данные!K35</f>
        <v>1575.448730000001</v>
      </c>
      <c r="AB35" s="59">
        <f>данные!T35+данные!L35</f>
        <v>6207.2627200000006</v>
      </c>
      <c r="AC35" s="59">
        <f>данные!U35+данные!M35</f>
        <v>-3410.4602699999996</v>
      </c>
      <c r="AD35" s="59">
        <f t="shared" si="12"/>
        <v>-9617.7229900000002</v>
      </c>
      <c r="AE35" s="58">
        <f t="shared" si="13"/>
        <v>-0.54943063051147922</v>
      </c>
      <c r="AF35" s="90">
        <f>(AC35/AA35*100-100)*-1</f>
        <v>316.47548441643016</v>
      </c>
      <c r="AG35" s="59">
        <v>12229.978999999999</v>
      </c>
      <c r="AH35" s="59">
        <v>9578.6</v>
      </c>
      <c r="AI35" s="59">
        <v>-822.89502000000005</v>
      </c>
      <c r="AJ35" s="59">
        <v>-1916.43534</v>
      </c>
      <c r="AK35" s="59">
        <v>13710.141</v>
      </c>
      <c r="AL35" s="59">
        <v>11859.8</v>
      </c>
      <c r="AM35" s="59">
        <v>-42.826709999999999</v>
      </c>
      <c r="AN35" s="59">
        <v>-522.01080000000002</v>
      </c>
      <c r="AO35" s="59">
        <f t="shared" si="1"/>
        <v>99539.66</v>
      </c>
      <c r="AP35" s="59">
        <f t="shared" si="2"/>
        <v>82602.829310000001</v>
      </c>
      <c r="AQ35" s="59">
        <f t="shared" si="15"/>
        <v>5341.5409900000004</v>
      </c>
      <c r="AR35" s="59">
        <f t="shared" si="15"/>
        <v>-5848.9064099999996</v>
      </c>
    </row>
    <row r="36" spans="1:44" outlineLevel="1" x14ac:dyDescent="0.25">
      <c r="A36" s="65" t="s">
        <v>308</v>
      </c>
      <c r="B36" s="23">
        <v>13507.232169999999</v>
      </c>
      <c r="C36" s="23">
        <v>13714.038</v>
      </c>
      <c r="D36" s="23">
        <v>12406.674429999999</v>
      </c>
      <c r="E36" s="23">
        <f t="shared" si="3"/>
        <v>-1307.3635700000013</v>
      </c>
      <c r="F36" s="24">
        <f t="shared" si="4"/>
        <v>0.9046696844503419</v>
      </c>
      <c r="G36" s="82">
        <f t="shared" si="5"/>
        <v>-8.1479145849315842</v>
      </c>
      <c r="H36" s="23">
        <v>1505.82583</v>
      </c>
      <c r="I36" s="23">
        <v>4383.0380400000004</v>
      </c>
      <c r="J36" s="23">
        <v>8323.0094100000006</v>
      </c>
      <c r="K36" s="23">
        <v>197.76086999999998</v>
      </c>
      <c r="L36" s="23">
        <v>0.24581999999999998</v>
      </c>
      <c r="M36" s="23">
        <v>96.149910000000006</v>
      </c>
      <c r="N36" s="23">
        <f t="shared" si="6"/>
        <v>95.904090000000011</v>
      </c>
      <c r="O36" s="24">
        <f t="shared" si="7"/>
        <v>391.13949231144744</v>
      </c>
      <c r="P36" s="82">
        <f t="shared" si="8"/>
        <v>-51.380720564184408</v>
      </c>
      <c r="Q36" s="276">
        <v>16154.404359999999</v>
      </c>
      <c r="R36" s="276">
        <v>18571.347239999999</v>
      </c>
      <c r="S36" s="276">
        <v>19024.072690000001</v>
      </c>
      <c r="T36" s="82">
        <f t="shared" si="0"/>
        <v>0.45272545000000175</v>
      </c>
      <c r="U36" s="23">
        <v>-911.77333999999996</v>
      </c>
      <c r="V36" s="23">
        <v>-379.41696999999999</v>
      </c>
      <c r="W36" s="23">
        <v>1358.71749</v>
      </c>
      <c r="X36" s="23">
        <f t="shared" si="9"/>
        <v>1738.13446</v>
      </c>
      <c r="Y36" s="24">
        <f t="shared" si="10"/>
        <v>-3.5810667351014902</v>
      </c>
      <c r="Z36" s="90">
        <f>(W36/U36*100-100)*-1</f>
        <v>249.01921677157176</v>
      </c>
      <c r="AA36" s="23">
        <f>данные!S36+данные!K36</f>
        <v>-490.73756000000003</v>
      </c>
      <c r="AB36" s="23">
        <f>данные!T36+данные!L36</f>
        <v>-235.23444999999998</v>
      </c>
      <c r="AC36" s="23">
        <f>данные!U36+данные!M36</f>
        <v>1681.8182200000001</v>
      </c>
      <c r="AD36" s="23">
        <f t="shared" si="12"/>
        <v>1917.05267</v>
      </c>
      <c r="AE36" s="24">
        <f t="shared" si="13"/>
        <v>-7.149540469093707</v>
      </c>
      <c r="AF36" s="90">
        <f>(AC36/AA36*100-100)*-1</f>
        <v>442.71234914238067</v>
      </c>
      <c r="AG36" s="23">
        <v>1879</v>
      </c>
      <c r="AH36" s="23">
        <v>1521</v>
      </c>
      <c r="AI36" s="23">
        <v>-399.60590999999999</v>
      </c>
      <c r="AJ36" s="23">
        <v>-479.58565999999996</v>
      </c>
      <c r="AK36" s="23">
        <v>2708</v>
      </c>
      <c r="AL36" s="23">
        <v>1900</v>
      </c>
      <c r="AM36" s="23">
        <v>247.01701</v>
      </c>
      <c r="AN36" s="23">
        <v>47.514679999999998</v>
      </c>
      <c r="AO36" s="23">
        <f t="shared" si="1"/>
        <v>18301.038</v>
      </c>
      <c r="AP36" s="23">
        <f t="shared" si="2"/>
        <v>15827.674429999999</v>
      </c>
      <c r="AQ36" s="23">
        <f t="shared" si="15"/>
        <v>-387.82334999999989</v>
      </c>
      <c r="AR36" s="23">
        <f t="shared" si="15"/>
        <v>1249.7472400000001</v>
      </c>
    </row>
    <row r="37" spans="1:44" outlineLevel="1" x14ac:dyDescent="0.25">
      <c r="A37" s="65" t="s">
        <v>309</v>
      </c>
      <c r="B37" s="23">
        <v>32589.657879999999</v>
      </c>
      <c r="C37" s="23">
        <v>39789.145960000002</v>
      </c>
      <c r="D37" s="23">
        <v>40151.742600000005</v>
      </c>
      <c r="E37" s="23">
        <f t="shared" si="3"/>
        <v>362.59664000000339</v>
      </c>
      <c r="F37" s="24">
        <f t="shared" si="4"/>
        <v>1.009112953576951</v>
      </c>
      <c r="G37" s="82">
        <f t="shared" si="5"/>
        <v>23.203940182019494</v>
      </c>
      <c r="H37" s="23">
        <v>3626.64185</v>
      </c>
      <c r="I37" s="23">
        <v>3343.9197799999997</v>
      </c>
      <c r="J37" s="23">
        <v>11266.56762</v>
      </c>
      <c r="K37" s="23">
        <v>0</v>
      </c>
      <c r="L37" s="23">
        <v>321.9126</v>
      </c>
      <c r="M37" s="23">
        <v>381.83454</v>
      </c>
      <c r="N37" s="23">
        <f t="shared" si="6"/>
        <v>59.921940000000006</v>
      </c>
      <c r="O37" s="24">
        <f t="shared" si="7"/>
        <v>1.1861435060323828</v>
      </c>
      <c r="P37" s="82" t="e">
        <f t="shared" si="8"/>
        <v>#DIV/0!</v>
      </c>
      <c r="Q37" s="276">
        <v>40010.692080000001</v>
      </c>
      <c r="R37" s="276">
        <v>44148.489809999999</v>
      </c>
      <c r="S37" s="276">
        <v>46658.311170000001</v>
      </c>
      <c r="T37" s="82">
        <f t="shared" si="0"/>
        <v>2.5098213600000019</v>
      </c>
      <c r="U37" s="23">
        <v>-2937.3967799999996</v>
      </c>
      <c r="V37" s="23">
        <v>-812.33925999999997</v>
      </c>
      <c r="W37" s="23">
        <v>3747.4699599999999</v>
      </c>
      <c r="X37" s="23">
        <f t="shared" si="9"/>
        <v>4559.8092200000001</v>
      </c>
      <c r="Y37" s="24">
        <f t="shared" si="10"/>
        <v>-4.6131833638078747</v>
      </c>
      <c r="Z37" s="90">
        <f>(W37/U37*100-100)*-1</f>
        <v>227.57792837234609</v>
      </c>
      <c r="AA37" s="23">
        <f>данные!S37+данные!K37</f>
        <v>-2030.06188</v>
      </c>
      <c r="AB37" s="23">
        <f>данные!T37+данные!L37</f>
        <v>-98.099110000000053</v>
      </c>
      <c r="AC37" s="23">
        <f>данные!U37+данные!M37</f>
        <v>5161.4250700000002</v>
      </c>
      <c r="AD37" s="23">
        <f t="shared" si="12"/>
        <v>5259.5241800000003</v>
      </c>
      <c r="AE37" s="24">
        <f t="shared" si="13"/>
        <v>-52.614392424151426</v>
      </c>
      <c r="AF37" s="90">
        <f>(AC37/AA37*100-100)*-1</f>
        <v>354.24964238035938</v>
      </c>
      <c r="AG37" s="23">
        <v>6089.7198899999994</v>
      </c>
      <c r="AH37" s="23">
        <v>6964.4264699999994</v>
      </c>
      <c r="AI37" s="23">
        <v>-295.11489</v>
      </c>
      <c r="AJ37" s="23">
        <v>509.68272999999999</v>
      </c>
      <c r="AK37" s="23">
        <v>7561.1613499999994</v>
      </c>
      <c r="AL37" s="23">
        <v>7284.27405</v>
      </c>
      <c r="AM37" s="23">
        <v>264.77945</v>
      </c>
      <c r="AN37" s="23">
        <v>581.23644999999999</v>
      </c>
      <c r="AO37" s="23">
        <f t="shared" si="1"/>
        <v>53440.027200000004</v>
      </c>
      <c r="AP37" s="23">
        <f t="shared" si="2"/>
        <v>54400.443120000004</v>
      </c>
      <c r="AQ37" s="23">
        <f t="shared" si="15"/>
        <v>-128.43455000000006</v>
      </c>
      <c r="AR37" s="23">
        <f t="shared" si="15"/>
        <v>6252.3442500000001</v>
      </c>
    </row>
    <row r="38" spans="1:44" ht="30" outlineLevel="1" x14ac:dyDescent="0.25">
      <c r="A38" s="65" t="s">
        <v>310</v>
      </c>
      <c r="B38" s="23">
        <v>29082.920739999998</v>
      </c>
      <c r="C38" s="23">
        <v>30990.775839999998</v>
      </c>
      <c r="D38" s="23">
        <v>32415.5288</v>
      </c>
      <c r="E38" s="23">
        <f t="shared" si="3"/>
        <v>1424.7529600000016</v>
      </c>
      <c r="F38" s="24">
        <f t="shared" si="4"/>
        <v>1.0459734524671391</v>
      </c>
      <c r="G38" s="82">
        <f t="shared" si="5"/>
        <v>11.458986839022685</v>
      </c>
      <c r="H38" s="23">
        <v>4691.1039000000001</v>
      </c>
      <c r="I38" s="23">
        <v>2783.502</v>
      </c>
      <c r="J38" s="23">
        <v>4366.6054400000003</v>
      </c>
      <c r="K38" s="23">
        <v>2307.6694900000002</v>
      </c>
      <c r="L38" s="23">
        <v>2069.9087100000002</v>
      </c>
      <c r="M38" s="23">
        <v>2344.2352999999998</v>
      </c>
      <c r="N38" s="23">
        <f t="shared" si="6"/>
        <v>274.32658999999967</v>
      </c>
      <c r="O38" s="24">
        <f t="shared" si="7"/>
        <v>1.1325307675042344</v>
      </c>
      <c r="P38" s="82">
        <f t="shared" si="8"/>
        <v>1.58453410067834</v>
      </c>
      <c r="Q38" s="276">
        <v>30724.70665</v>
      </c>
      <c r="R38" s="276">
        <v>32680.663350000003</v>
      </c>
      <c r="S38" s="276">
        <v>35076.940109999996</v>
      </c>
      <c r="T38" s="82">
        <f t="shared" si="0"/>
        <v>2.3962767599999935</v>
      </c>
      <c r="U38" s="23">
        <v>2208.7935400000001</v>
      </c>
      <c r="V38" s="23">
        <v>874.89161000000001</v>
      </c>
      <c r="W38" s="23">
        <v>1312.57393</v>
      </c>
      <c r="X38" s="23">
        <f t="shared" si="9"/>
        <v>437.68232</v>
      </c>
      <c r="Y38" s="24">
        <f t="shared" si="10"/>
        <v>1.5002703363448644</v>
      </c>
      <c r="Z38" s="82">
        <f t="shared" si="11"/>
        <v>-40.575073847780274</v>
      </c>
      <c r="AA38" s="23">
        <f>данные!S38+данные!K38</f>
        <v>5820.3386300000002</v>
      </c>
      <c r="AB38" s="23">
        <f>данные!T38+данные!L38</f>
        <v>3693.14266</v>
      </c>
      <c r="AC38" s="23">
        <f>данные!U38+данные!M38</f>
        <v>4455.4046500000004</v>
      </c>
      <c r="AD38" s="23">
        <f t="shared" si="12"/>
        <v>762.26199000000042</v>
      </c>
      <c r="AE38" s="24">
        <f t="shared" si="13"/>
        <v>1.2063992810935715</v>
      </c>
      <c r="AF38" s="82">
        <f t="shared" si="14"/>
        <v>-23.45110940735762</v>
      </c>
      <c r="AG38" s="23">
        <v>4584.0232300000007</v>
      </c>
      <c r="AH38" s="23">
        <v>4466</v>
      </c>
      <c r="AI38" s="23">
        <v>-273.06976000000003</v>
      </c>
      <c r="AJ38" s="23">
        <v>-269.74</v>
      </c>
      <c r="AK38" s="23">
        <v>5603.0308600000008</v>
      </c>
      <c r="AL38" s="23">
        <v>5605</v>
      </c>
      <c r="AM38" s="23">
        <v>216.61376000000001</v>
      </c>
      <c r="AN38" s="23">
        <v>220.71360000000001</v>
      </c>
      <c r="AO38" s="23">
        <f t="shared" si="1"/>
        <v>41177.82993</v>
      </c>
      <c r="AP38" s="23">
        <f t="shared" si="2"/>
        <v>42486.5288</v>
      </c>
      <c r="AQ38" s="23">
        <f t="shared" si="15"/>
        <v>3636.6866600000003</v>
      </c>
      <c r="AR38" s="23">
        <f t="shared" si="15"/>
        <v>4406.3782500000007</v>
      </c>
    </row>
    <row r="39" spans="1:44" ht="30" outlineLevel="1" x14ac:dyDescent="0.25">
      <c r="A39" s="65" t="s">
        <v>838</v>
      </c>
      <c r="B39" s="23"/>
      <c r="C39" s="23"/>
      <c r="D39" s="23"/>
      <c r="E39" s="23">
        <f t="shared" si="3"/>
        <v>0</v>
      </c>
      <c r="F39" s="24">
        <f t="shared" si="4"/>
        <v>0</v>
      </c>
      <c r="G39" s="82" t="e">
        <f t="shared" si="5"/>
        <v>#DIV/0!</v>
      </c>
      <c r="H39" s="23"/>
      <c r="I39" s="23"/>
      <c r="J39" s="23"/>
      <c r="K39" s="23">
        <v>0</v>
      </c>
      <c r="L39" s="23">
        <v>0</v>
      </c>
      <c r="M39" s="23">
        <v>0</v>
      </c>
      <c r="N39" s="23">
        <f t="shared" si="6"/>
        <v>0</v>
      </c>
      <c r="O39" s="24">
        <f t="shared" si="7"/>
        <v>0</v>
      </c>
      <c r="P39" s="82" t="e">
        <f t="shared" si="8"/>
        <v>#DIV/0!</v>
      </c>
      <c r="Q39" s="276">
        <v>0</v>
      </c>
      <c r="R39" s="276">
        <v>411.27832000000001</v>
      </c>
      <c r="S39" s="276">
        <v>411.27833000000004</v>
      </c>
      <c r="T39" s="82"/>
      <c r="U39" s="23">
        <v>0</v>
      </c>
      <c r="V39" s="23">
        <v>-329.02265999999997</v>
      </c>
      <c r="W39" s="23">
        <v>-329.02265999999997</v>
      </c>
      <c r="X39" s="23">
        <f t="shared" si="9"/>
        <v>0</v>
      </c>
      <c r="Y39" s="24">
        <f t="shared" si="10"/>
        <v>1</v>
      </c>
      <c r="Z39" s="82"/>
      <c r="AA39" s="23">
        <f>данные!S39+данные!K39</f>
        <v>0</v>
      </c>
      <c r="AB39" s="23">
        <f>данные!T39+данные!L39</f>
        <v>0</v>
      </c>
      <c r="AC39" s="23">
        <f>данные!U39+данные!M39</f>
        <v>-669.60053000000005</v>
      </c>
      <c r="AD39" s="23">
        <f t="shared" si="12"/>
        <v>-669.60053000000005</v>
      </c>
      <c r="AE39" s="24">
        <f t="shared" si="13"/>
        <v>0</v>
      </c>
      <c r="AF39" s="82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spans="1:44" outlineLevel="1" x14ac:dyDescent="0.25">
      <c r="A40" s="65" t="s">
        <v>311</v>
      </c>
      <c r="B40" s="23">
        <v>92124.212499999994</v>
      </c>
      <c r="C40" s="23">
        <v>101752.59508</v>
      </c>
      <c r="D40" s="23">
        <v>91373.316980000003</v>
      </c>
      <c r="E40" s="23">
        <f t="shared" si="3"/>
        <v>-10379.278099999996</v>
      </c>
      <c r="F40" s="24">
        <f t="shared" si="4"/>
        <v>0.89799495441035593</v>
      </c>
      <c r="G40" s="82">
        <f t="shared" si="5"/>
        <v>-0.81509029995777382</v>
      </c>
      <c r="H40" s="23">
        <v>3502.8248100000001</v>
      </c>
      <c r="I40" s="23">
        <v>4218.6853200000005</v>
      </c>
      <c r="J40" s="23">
        <v>2489.48711</v>
      </c>
      <c r="K40" s="23">
        <v>1585.0277699999999</v>
      </c>
      <c r="L40" s="23">
        <v>2183.8114700000001</v>
      </c>
      <c r="M40" s="23">
        <v>2279.9969000000001</v>
      </c>
      <c r="N40" s="23">
        <f t="shared" si="6"/>
        <v>96.185429999999997</v>
      </c>
      <c r="O40" s="24">
        <f t="shared" si="7"/>
        <v>1.0440447498885972</v>
      </c>
      <c r="P40" s="82">
        <f t="shared" si="8"/>
        <v>43.845864605892672</v>
      </c>
      <c r="Q40" s="276">
        <v>83534.516129999989</v>
      </c>
      <c r="R40" s="276">
        <v>91334.990769999989</v>
      </c>
      <c r="S40" s="276">
        <v>81598.483269999997</v>
      </c>
      <c r="T40" s="82">
        <f t="shared" si="0"/>
        <v>-9.736507499999993</v>
      </c>
      <c r="U40" s="23">
        <v>9111.4002799999998</v>
      </c>
      <c r="V40" s="23">
        <v>11709.031660000001</v>
      </c>
      <c r="W40" s="23">
        <v>9629.6138300000002</v>
      </c>
      <c r="X40" s="23">
        <f t="shared" si="9"/>
        <v>-2079.4178300000003</v>
      </c>
      <c r="Y40" s="24">
        <f t="shared" si="10"/>
        <v>0.82240906930812752</v>
      </c>
      <c r="Z40" s="82">
        <f t="shared" si="11"/>
        <v>5.6875291840432709</v>
      </c>
      <c r="AA40" s="23">
        <f>данные!S40+данные!K40</f>
        <v>13133.78038</v>
      </c>
      <c r="AB40" s="23">
        <f>данные!T40+данные!L40</f>
        <v>17489.16433</v>
      </c>
      <c r="AC40" s="23">
        <f>данные!U40+данные!M40</f>
        <v>15007.59648</v>
      </c>
      <c r="AD40" s="23">
        <f t="shared" si="12"/>
        <v>-2481.5678499999995</v>
      </c>
      <c r="AE40" s="24">
        <f t="shared" si="13"/>
        <v>0.85810826617122882</v>
      </c>
      <c r="AF40" s="82">
        <f t="shared" si="14"/>
        <v>14.267149638450107</v>
      </c>
      <c r="AG40" s="23">
        <v>16523.92569</v>
      </c>
      <c r="AH40" s="23">
        <v>14124.07128</v>
      </c>
      <c r="AI40" s="23">
        <v>2059.5428500000003</v>
      </c>
      <c r="AJ40" s="23">
        <v>1069.8523500000001</v>
      </c>
      <c r="AK40" s="23">
        <v>18263.2863</v>
      </c>
      <c r="AL40" s="23">
        <v>17688.548999999999</v>
      </c>
      <c r="AM40" s="23">
        <v>2456.7277999999997</v>
      </c>
      <c r="AN40" s="23">
        <v>2456.7272000000003</v>
      </c>
      <c r="AO40" s="23">
        <f t="shared" ref="AO40:AP44" si="16">C40+AG40+AK40</f>
        <v>136539.80707000001</v>
      </c>
      <c r="AP40" s="23">
        <f t="shared" si="16"/>
        <v>123185.93726000001</v>
      </c>
      <c r="AQ40" s="23">
        <f t="shared" si="15"/>
        <v>22005.434980000002</v>
      </c>
      <c r="AR40" s="23">
        <f t="shared" si="15"/>
        <v>18534.176030000002</v>
      </c>
    </row>
    <row r="41" spans="1:44" outlineLevel="1" x14ac:dyDescent="0.25">
      <c r="A41" s="65" t="s">
        <v>312</v>
      </c>
      <c r="B41" s="23">
        <v>54656.437020000005</v>
      </c>
      <c r="C41" s="23">
        <v>48715</v>
      </c>
      <c r="D41" s="23">
        <v>55765.3917</v>
      </c>
      <c r="E41" s="23">
        <f t="shared" si="3"/>
        <v>7050.3917000000001</v>
      </c>
      <c r="F41" s="24">
        <f t="shared" si="4"/>
        <v>1.1447273262855384</v>
      </c>
      <c r="G41" s="82">
        <f t="shared" si="5"/>
        <v>2.0289553078518594</v>
      </c>
      <c r="H41" s="23">
        <v>-6137.5784800000001</v>
      </c>
      <c r="I41" s="23">
        <v>107.21694000000001</v>
      </c>
      <c r="J41" s="23">
        <v>-180.10365999999999</v>
      </c>
      <c r="K41" s="23">
        <v>3421.4572899999998</v>
      </c>
      <c r="L41" s="23">
        <v>3188.8797400000003</v>
      </c>
      <c r="M41" s="23">
        <v>3275.1005599999999</v>
      </c>
      <c r="N41" s="23">
        <f t="shared" si="6"/>
        <v>86.220819999999549</v>
      </c>
      <c r="O41" s="24">
        <f t="shared" si="7"/>
        <v>1.027037965376518</v>
      </c>
      <c r="P41" s="82">
        <f t="shared" si="8"/>
        <v>-4.2776138234360275</v>
      </c>
      <c r="Q41" s="276">
        <v>38404.217830000001</v>
      </c>
      <c r="R41" s="276">
        <v>42530.233240000001</v>
      </c>
      <c r="S41" s="276">
        <v>41802.018179999999</v>
      </c>
      <c r="T41" s="82">
        <f t="shared" si="0"/>
        <v>-0.72821506000000225</v>
      </c>
      <c r="U41" s="23">
        <v>8111.5110199999999</v>
      </c>
      <c r="V41" s="23">
        <v>5033.5869699999994</v>
      </c>
      <c r="W41" s="23">
        <v>10947.634960000001</v>
      </c>
      <c r="X41" s="23">
        <f t="shared" si="9"/>
        <v>5914.0479900000018</v>
      </c>
      <c r="Y41" s="24">
        <f t="shared" si="10"/>
        <v>2.1749172161417931</v>
      </c>
      <c r="Z41" s="82">
        <f t="shared" si="11"/>
        <v>34.96418772047727</v>
      </c>
      <c r="AA41" s="23">
        <f>данные!S41+данные!K41</f>
        <v>13310.919800000001</v>
      </c>
      <c r="AB41" s="23">
        <f>данные!T41+данные!L41</f>
        <v>10300.51035</v>
      </c>
      <c r="AC41" s="23">
        <f>данные!U41+данные!M41</f>
        <v>17152.526850000002</v>
      </c>
      <c r="AD41" s="23">
        <f t="shared" si="12"/>
        <v>6852.0165000000015</v>
      </c>
      <c r="AE41" s="24">
        <f t="shared" si="13"/>
        <v>1.6652113601342093</v>
      </c>
      <c r="AF41" s="82">
        <f t="shared" si="14"/>
        <v>28.86056792258637</v>
      </c>
      <c r="AG41" s="23">
        <v>6740</v>
      </c>
      <c r="AH41" s="23">
        <v>8400.1635700000006</v>
      </c>
      <c r="AI41" s="23">
        <v>-705.31475</v>
      </c>
      <c r="AJ41" s="23">
        <v>948.28955000000008</v>
      </c>
      <c r="AK41" s="23">
        <v>9105</v>
      </c>
      <c r="AL41" s="23">
        <v>9105</v>
      </c>
      <c r="AM41" s="23">
        <v>1716.54539</v>
      </c>
      <c r="AN41" s="23">
        <v>1485.4674499999999</v>
      </c>
      <c r="AO41" s="23">
        <f t="shared" si="16"/>
        <v>64560</v>
      </c>
      <c r="AP41" s="23">
        <f t="shared" si="16"/>
        <v>73270.555269999997</v>
      </c>
      <c r="AQ41" s="23">
        <f t="shared" si="15"/>
        <v>11311.74099</v>
      </c>
      <c r="AR41" s="23">
        <f t="shared" si="15"/>
        <v>19586.283850000003</v>
      </c>
    </row>
    <row r="42" spans="1:44" ht="30" outlineLevel="1" x14ac:dyDescent="0.25">
      <c r="A42" s="65" t="s">
        <v>313</v>
      </c>
      <c r="B42" s="23">
        <v>17141.273699999998</v>
      </c>
      <c r="C42" s="23">
        <v>23481.642620000002</v>
      </c>
      <c r="D42" s="23">
        <v>22144.935329999997</v>
      </c>
      <c r="E42" s="23">
        <f t="shared" si="3"/>
        <v>-1336.7072900000057</v>
      </c>
      <c r="F42" s="24">
        <f t="shared" si="4"/>
        <v>0.94307437040790776</v>
      </c>
      <c r="G42" s="82">
        <f t="shared" si="5"/>
        <v>29.190722449055812</v>
      </c>
      <c r="H42" s="23">
        <v>431.58199999999999</v>
      </c>
      <c r="I42" s="23">
        <v>503.53980000000001</v>
      </c>
      <c r="J42" s="23">
        <v>762.81545999999992</v>
      </c>
      <c r="K42" s="23">
        <v>433.29750999999999</v>
      </c>
      <c r="L42" s="23">
        <v>374.99712</v>
      </c>
      <c r="M42" s="23">
        <v>374.99709000000001</v>
      </c>
      <c r="N42" s="23">
        <f t="shared" si="6"/>
        <v>-2.99999999811007E-5</v>
      </c>
      <c r="O42" s="24">
        <f t="shared" si="7"/>
        <v>0.99999991999938564</v>
      </c>
      <c r="P42" s="82">
        <f t="shared" si="8"/>
        <v>-13.455055396002606</v>
      </c>
      <c r="Q42" s="276">
        <v>18025.533190000002</v>
      </c>
      <c r="R42" s="276">
        <v>22001.003579999997</v>
      </c>
      <c r="S42" s="276">
        <v>23705.3842</v>
      </c>
      <c r="T42" s="82">
        <f t="shared" si="0"/>
        <v>1.7043806200000036</v>
      </c>
      <c r="U42" s="23">
        <v>-28.649660000000001</v>
      </c>
      <c r="V42" s="23">
        <v>1587.3430600000002</v>
      </c>
      <c r="W42" s="23">
        <v>1111.76992</v>
      </c>
      <c r="X42" s="23">
        <f t="shared" si="9"/>
        <v>-475.57314000000019</v>
      </c>
      <c r="Y42" s="24">
        <f t="shared" si="10"/>
        <v>0.70039674977380117</v>
      </c>
      <c r="Z42" s="82">
        <f>(W42/U42*100-100)*-1</f>
        <v>3980.5693331090142</v>
      </c>
      <c r="AA42" s="23">
        <f>данные!S42+данные!K42</f>
        <v>1044.8743899999999</v>
      </c>
      <c r="AB42" s="23">
        <f>данные!T42+данные!L42</f>
        <v>2587.9305899999995</v>
      </c>
      <c r="AC42" s="23">
        <f>данные!U42+данные!M42</f>
        <v>1373.73748</v>
      </c>
      <c r="AD42" s="23">
        <f t="shared" si="12"/>
        <v>-1214.1931099999995</v>
      </c>
      <c r="AE42" s="24">
        <f t="shared" si="13"/>
        <v>0.53082470036416252</v>
      </c>
      <c r="AF42" s="82">
        <f t="shared" si="14"/>
        <v>31.473935350257761</v>
      </c>
      <c r="AG42" s="23">
        <v>4395.7013099999995</v>
      </c>
      <c r="AH42" s="23">
        <v>3775.806</v>
      </c>
      <c r="AI42" s="23">
        <v>385.83143999999999</v>
      </c>
      <c r="AJ42" s="23">
        <v>465.37016999999997</v>
      </c>
      <c r="AK42" s="23">
        <v>4583.9013099999993</v>
      </c>
      <c r="AL42" s="23">
        <v>4217.1899999999996</v>
      </c>
      <c r="AM42" s="23">
        <v>274.60939000000002</v>
      </c>
      <c r="AN42" s="23">
        <v>206.56145999999998</v>
      </c>
      <c r="AO42" s="23">
        <f t="shared" si="16"/>
        <v>32461.245240000004</v>
      </c>
      <c r="AP42" s="23">
        <f t="shared" si="16"/>
        <v>30137.931329999996</v>
      </c>
      <c r="AQ42" s="23">
        <f t="shared" si="15"/>
        <v>3248.3714199999995</v>
      </c>
      <c r="AR42" s="23">
        <f t="shared" si="15"/>
        <v>2045.6691099999998</v>
      </c>
    </row>
    <row r="43" spans="1:44" outlineLevel="1" x14ac:dyDescent="0.25">
      <c r="A43" s="65" t="s">
        <v>315</v>
      </c>
      <c r="B43" s="23">
        <v>24303.519390000001</v>
      </c>
      <c r="C43" s="23">
        <v>26237.956999999999</v>
      </c>
      <c r="D43" s="23">
        <v>29241.946</v>
      </c>
      <c r="E43" s="23">
        <f t="shared" si="3"/>
        <v>3003.9890000000014</v>
      </c>
      <c r="F43" s="24">
        <f t="shared" si="4"/>
        <v>1.1144902021144405</v>
      </c>
      <c r="G43" s="82">
        <f t="shared" si="5"/>
        <v>20.319800316788587</v>
      </c>
      <c r="H43" s="23">
        <v>-73.269000000000005</v>
      </c>
      <c r="I43" s="23">
        <v>-204.06186</v>
      </c>
      <c r="J43" s="23">
        <v>-2530.5907099999999</v>
      </c>
      <c r="K43" s="23">
        <v>778.24896000000001</v>
      </c>
      <c r="L43" s="23">
        <v>602.10656000000006</v>
      </c>
      <c r="M43" s="23">
        <v>764.72194999999999</v>
      </c>
      <c r="N43" s="23">
        <f t="shared" si="6"/>
        <v>162.61538999999993</v>
      </c>
      <c r="O43" s="24">
        <f t="shared" si="7"/>
        <v>1.2700774261619072</v>
      </c>
      <c r="P43" s="82">
        <f t="shared" si="8"/>
        <v>-1.738134028473354</v>
      </c>
      <c r="Q43" s="276">
        <v>21511.210139999999</v>
      </c>
      <c r="R43" s="276">
        <v>24082.508510000003</v>
      </c>
      <c r="S43" s="276">
        <v>25231.833979999999</v>
      </c>
      <c r="T43" s="82">
        <f t="shared" si="0"/>
        <v>1.1493254699999962</v>
      </c>
      <c r="U43" s="23">
        <v>2214.74044</v>
      </c>
      <c r="V43" s="23">
        <v>1617.1092900000001</v>
      </c>
      <c r="W43" s="23">
        <v>1184.54052</v>
      </c>
      <c r="X43" s="23">
        <f t="shared" si="9"/>
        <v>-432.56877000000009</v>
      </c>
      <c r="Y43" s="24">
        <f t="shared" si="10"/>
        <v>0.73250492550197388</v>
      </c>
      <c r="Z43" s="82">
        <f t="shared" si="11"/>
        <v>-46.51560523272876</v>
      </c>
      <c r="AA43" s="23">
        <f>данные!S43+данные!K43</f>
        <v>3936.0822899999998</v>
      </c>
      <c r="AB43" s="23">
        <f>данные!T43+данные!L43</f>
        <v>3451.83304</v>
      </c>
      <c r="AC43" s="23">
        <f>данные!U43+данные!M43</f>
        <v>2590.7772199999999</v>
      </c>
      <c r="AD43" s="23">
        <f t="shared" si="12"/>
        <v>-861.05582000000004</v>
      </c>
      <c r="AE43" s="24">
        <f t="shared" si="13"/>
        <v>0.75055113905509174</v>
      </c>
      <c r="AF43" s="82">
        <f t="shared" si="14"/>
        <v>-34.178784153417681</v>
      </c>
      <c r="AG43" s="23">
        <v>3833.933</v>
      </c>
      <c r="AH43" s="23">
        <v>3893.933</v>
      </c>
      <c r="AI43" s="23">
        <v>-640.66711999999995</v>
      </c>
      <c r="AJ43" s="23">
        <v>-902.39039000000002</v>
      </c>
      <c r="AK43" s="23">
        <v>5099.7070000000003</v>
      </c>
      <c r="AL43" s="23">
        <v>5602.2070000000003</v>
      </c>
      <c r="AM43" s="23">
        <v>1054.82907</v>
      </c>
      <c r="AN43" s="23">
        <v>1250.10672</v>
      </c>
      <c r="AO43" s="23">
        <f t="shared" si="16"/>
        <v>35171.597000000002</v>
      </c>
      <c r="AP43" s="23">
        <f t="shared" si="16"/>
        <v>38738.086000000003</v>
      </c>
      <c r="AQ43" s="23">
        <f t="shared" si="15"/>
        <v>3865.9949900000001</v>
      </c>
      <c r="AR43" s="23">
        <f t="shared" si="15"/>
        <v>2938.4935500000001</v>
      </c>
    </row>
    <row r="44" spans="1:44" outlineLevel="1" x14ac:dyDescent="0.25">
      <c r="A44" s="65" t="s">
        <v>314</v>
      </c>
      <c r="B44" s="72">
        <v>35722.050020000002</v>
      </c>
      <c r="C44" s="72">
        <v>36874.36</v>
      </c>
      <c r="D44" s="72">
        <v>35576.064359999997</v>
      </c>
      <c r="E44" s="72">
        <f t="shared" si="3"/>
        <v>-1298.2956400000039</v>
      </c>
      <c r="F44" s="73">
        <f t="shared" si="4"/>
        <v>0.96479137156549966</v>
      </c>
      <c r="G44" s="92">
        <f t="shared" si="5"/>
        <v>-0.40867100269517209</v>
      </c>
      <c r="H44" s="72">
        <v>728.48138000000006</v>
      </c>
      <c r="I44" s="72">
        <v>821.01588000000004</v>
      </c>
      <c r="J44" s="72">
        <v>519.94103999999993</v>
      </c>
      <c r="K44" s="72">
        <v>632.16137000000003</v>
      </c>
      <c r="L44" s="72">
        <v>968.72856000000002</v>
      </c>
      <c r="M44" s="72">
        <v>968.24853000000007</v>
      </c>
      <c r="N44" s="72">
        <f t="shared" si="6"/>
        <v>-0.48002999999994245</v>
      </c>
      <c r="O44" s="73">
        <f t="shared" si="7"/>
        <v>0.99950447419450505</v>
      </c>
      <c r="P44" s="92">
        <f t="shared" si="8"/>
        <v>53.16477341853394</v>
      </c>
      <c r="Q44" s="273">
        <v>32700.610980000001</v>
      </c>
      <c r="R44" s="273">
        <v>33630.743820000003</v>
      </c>
      <c r="S44" s="273">
        <v>32274.204899999997</v>
      </c>
      <c r="T44" s="92">
        <f t="shared" si="0"/>
        <v>-1.3565389200000064</v>
      </c>
      <c r="U44" s="72">
        <v>2865.31619</v>
      </c>
      <c r="V44" s="72">
        <v>3251.7056499999999</v>
      </c>
      <c r="W44" s="72">
        <v>3105.2494700000002</v>
      </c>
      <c r="X44" s="72">
        <f t="shared" si="9"/>
        <v>-146.45617999999968</v>
      </c>
      <c r="Y44" s="73">
        <f t="shared" si="10"/>
        <v>0.95496019758122952</v>
      </c>
      <c r="Z44" s="92">
        <f t="shared" si="11"/>
        <v>8.3737104071575459</v>
      </c>
      <c r="AA44" s="72">
        <f>данные!S44+данные!K44</f>
        <v>4131.9692300000006</v>
      </c>
      <c r="AB44" s="72">
        <f>данные!T44+данные!L44</f>
        <v>4801.3561599999994</v>
      </c>
      <c r="AC44" s="72">
        <f>данные!U44+данные!M44</f>
        <v>5599.5101100000002</v>
      </c>
      <c r="AD44" s="72">
        <f t="shared" si="12"/>
        <v>798.1539500000008</v>
      </c>
      <c r="AE44" s="73">
        <f t="shared" si="13"/>
        <v>1.1662351059580636</v>
      </c>
      <c r="AF44" s="92">
        <f t="shared" si="14"/>
        <v>35.516742703333222</v>
      </c>
      <c r="AG44" s="72">
        <v>4922.62</v>
      </c>
      <c r="AH44" s="72">
        <v>4922.62</v>
      </c>
      <c r="AI44" s="72">
        <v>63.618870000000001</v>
      </c>
      <c r="AJ44" s="72">
        <v>-342.63567999999998</v>
      </c>
      <c r="AK44" s="72">
        <v>7842.06</v>
      </c>
      <c r="AL44" s="72">
        <v>7842.06</v>
      </c>
      <c r="AM44" s="72">
        <v>1391.24299</v>
      </c>
      <c r="AN44" s="72">
        <v>1225.01181</v>
      </c>
      <c r="AO44" s="72">
        <f t="shared" si="16"/>
        <v>49639.040000000001</v>
      </c>
      <c r="AP44" s="72">
        <f t="shared" si="16"/>
        <v>48340.744359999997</v>
      </c>
      <c r="AQ44" s="72">
        <f t="shared" si="15"/>
        <v>6256.2180199999993</v>
      </c>
      <c r="AR44" s="72">
        <f t="shared" si="15"/>
        <v>6481.8862399999998</v>
      </c>
    </row>
    <row r="45" spans="1:44" ht="15.75" outlineLevel="1" thickBot="1" x14ac:dyDescent="0.3">
      <c r="A45" s="266" t="s">
        <v>839</v>
      </c>
      <c r="B45" s="267"/>
      <c r="C45" s="267"/>
      <c r="D45" s="267"/>
      <c r="E45" s="267">
        <f t="shared" si="3"/>
        <v>0</v>
      </c>
      <c r="F45" s="268">
        <f t="shared" si="4"/>
        <v>0</v>
      </c>
      <c r="G45" s="269" t="e">
        <f t="shared" si="5"/>
        <v>#DIV/0!</v>
      </c>
      <c r="H45" s="267"/>
      <c r="I45" s="267"/>
      <c r="J45" s="267"/>
      <c r="K45" s="267">
        <v>0</v>
      </c>
      <c r="L45" s="267">
        <v>0</v>
      </c>
      <c r="M45" s="267">
        <v>0</v>
      </c>
      <c r="N45" s="267">
        <f t="shared" si="6"/>
        <v>0</v>
      </c>
      <c r="O45" s="268">
        <f t="shared" si="7"/>
        <v>0</v>
      </c>
      <c r="P45" s="269" t="e">
        <f t="shared" si="8"/>
        <v>#DIV/0!</v>
      </c>
      <c r="Q45" s="277">
        <v>0</v>
      </c>
      <c r="R45" s="277">
        <v>467.85840000000002</v>
      </c>
      <c r="S45" s="277">
        <v>467.85840000000002</v>
      </c>
      <c r="T45" s="269"/>
      <c r="U45" s="267">
        <v>0</v>
      </c>
      <c r="V45" s="267">
        <v>-374.28671999999995</v>
      </c>
      <c r="W45" s="267">
        <v>-374.28671999999995</v>
      </c>
      <c r="X45" s="267">
        <f t="shared" ref="X45" si="17">W45-V45</f>
        <v>0</v>
      </c>
      <c r="Y45" s="268">
        <f t="shared" ref="Y45" si="18">IFERROR(W45/V45,0)</f>
        <v>1</v>
      </c>
      <c r="Z45" s="269"/>
      <c r="AA45" s="267">
        <f>данные!S45+данные!K45</f>
        <v>0</v>
      </c>
      <c r="AB45" s="267">
        <f>данные!T45+данные!L45</f>
        <v>0</v>
      </c>
      <c r="AC45" s="267">
        <f>данные!U45+данные!M45</f>
        <v>-818.41926000000001</v>
      </c>
      <c r="AD45" s="267">
        <f t="shared" ref="AD45" si="19">AC45-AB45</f>
        <v>-818.41926000000001</v>
      </c>
      <c r="AE45" s="268">
        <f t="shared" ref="AE45" si="20">IFERROR(AC45/AB45,0)</f>
        <v>0</v>
      </c>
      <c r="AF45" s="269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</row>
    <row r="46" spans="1:44" ht="15.75" thickBot="1" x14ac:dyDescent="0.3">
      <c r="A46" s="61" t="s">
        <v>316</v>
      </c>
      <c r="B46" s="74">
        <v>368769.84193</v>
      </c>
      <c r="C46" s="74">
        <v>399139.20475999999</v>
      </c>
      <c r="D46" s="74">
        <v>382373.77288</v>
      </c>
      <c r="E46" s="75">
        <f t="shared" si="3"/>
        <v>-16765.431879999989</v>
      </c>
      <c r="F46" s="76">
        <f t="shared" si="4"/>
        <v>0.95799602825264696</v>
      </c>
      <c r="G46" s="77">
        <f t="shared" si="5"/>
        <v>3.6890031133788455</v>
      </c>
      <c r="H46" s="74">
        <v>5974.1838200000002</v>
      </c>
      <c r="I46" s="74">
        <v>6255.5240999999996</v>
      </c>
      <c r="J46" s="74">
        <v>7367.7852800000001</v>
      </c>
      <c r="K46" s="74">
        <v>26813.408899999999</v>
      </c>
      <c r="L46" s="74">
        <v>10764.977199999999</v>
      </c>
      <c r="M46" s="74">
        <v>11001.153769999999</v>
      </c>
      <c r="N46" s="75">
        <f t="shared" si="6"/>
        <v>236.17656999999963</v>
      </c>
      <c r="O46" s="76">
        <f t="shared" si="7"/>
        <v>1.0219393469779017</v>
      </c>
      <c r="P46" s="77">
        <f t="shared" si="8"/>
        <v>-58.971446670475387</v>
      </c>
      <c r="Q46" s="274">
        <v>358715.19429000001</v>
      </c>
      <c r="R46" s="274">
        <v>359305.54700000002</v>
      </c>
      <c r="S46" s="274">
        <v>348189.51818000001</v>
      </c>
      <c r="T46" s="100">
        <f t="shared" si="0"/>
        <v>-11.116028820000007</v>
      </c>
      <c r="U46" s="74">
        <v>12547.82627</v>
      </c>
      <c r="V46" s="74">
        <v>36871.34577</v>
      </c>
      <c r="W46" s="74">
        <v>33576.239270000005</v>
      </c>
      <c r="X46" s="75">
        <f t="shared" si="9"/>
        <v>-3295.1064999999944</v>
      </c>
      <c r="Y46" s="76">
        <f t="shared" si="10"/>
        <v>0.91063232352421963</v>
      </c>
      <c r="Z46" s="77">
        <f t="shared" si="11"/>
        <v>167.58610254491521</v>
      </c>
      <c r="AA46" s="74">
        <f>данные!S46+данные!K46</f>
        <v>51791.725189999997</v>
      </c>
      <c r="AB46" s="74">
        <f>данные!T46+данные!L46</f>
        <v>59316.640509999997</v>
      </c>
      <c r="AC46" s="74">
        <f>данные!U46+данные!M46</f>
        <v>55495.961799999997</v>
      </c>
      <c r="AD46" s="75">
        <f t="shared" si="12"/>
        <v>-3820.6787100000001</v>
      </c>
      <c r="AE46" s="76">
        <f t="shared" si="13"/>
        <v>0.93558841705885409</v>
      </c>
      <c r="AF46" s="77">
        <f t="shared" si="14"/>
        <v>7.1521784540114623</v>
      </c>
      <c r="AG46" s="74">
        <v>65971.622080000001</v>
      </c>
      <c r="AH46" s="74">
        <v>63816.781419999999</v>
      </c>
      <c r="AI46" s="74">
        <v>6413.03359</v>
      </c>
      <c r="AJ46" s="74">
        <v>2894.1579700000002</v>
      </c>
      <c r="AK46" s="74">
        <v>73271.051049999995</v>
      </c>
      <c r="AL46" s="74">
        <v>71053.3177</v>
      </c>
      <c r="AM46" s="74">
        <v>10878.96315</v>
      </c>
      <c r="AN46" s="74">
        <v>6858.0842499999999</v>
      </c>
      <c r="AO46" s="74">
        <f t="shared" ref="AO46:AO77" si="21">C46+AG46+AK46</f>
        <v>538381.87789</v>
      </c>
      <c r="AP46" s="74">
        <f t="shared" ref="AP46:AP77" si="22">D46+AH46+AL46</f>
        <v>517243.87200000003</v>
      </c>
      <c r="AQ46" s="74">
        <f t="shared" si="15"/>
        <v>76608.63725</v>
      </c>
      <c r="AR46" s="74">
        <f t="shared" si="15"/>
        <v>65248.204019999997</v>
      </c>
    </row>
    <row r="47" spans="1:44" outlineLevel="1" x14ac:dyDescent="0.25">
      <c r="A47" s="64" t="s">
        <v>317</v>
      </c>
      <c r="B47" s="59">
        <v>78114.862110000002</v>
      </c>
      <c r="C47" s="59">
        <v>85605.95</v>
      </c>
      <c r="D47" s="59">
        <v>72222.081109999999</v>
      </c>
      <c r="E47" s="59">
        <f t="shared" si="3"/>
        <v>-13383.868889999998</v>
      </c>
      <c r="F47" s="58">
        <f t="shared" si="4"/>
        <v>0.8436572587536264</v>
      </c>
      <c r="G47" s="90">
        <f t="shared" si="5"/>
        <v>-7.5437385931781904</v>
      </c>
      <c r="H47" s="59">
        <v>983.15268999999989</v>
      </c>
      <c r="I47" s="59">
        <v>685.30428000000006</v>
      </c>
      <c r="J47" s="59">
        <v>484.33771000000002</v>
      </c>
      <c r="K47" s="59">
        <v>4897.5027800000007</v>
      </c>
      <c r="L47" s="59">
        <v>1204.2135800000001</v>
      </c>
      <c r="M47" s="59">
        <v>1209.56826</v>
      </c>
      <c r="N47" s="59">
        <f t="shared" si="6"/>
        <v>5.3546799999999166</v>
      </c>
      <c r="O47" s="58">
        <f t="shared" si="7"/>
        <v>1.0044466198429682</v>
      </c>
      <c r="P47" s="90">
        <f t="shared" si="8"/>
        <v>-75.302346637973727</v>
      </c>
      <c r="Q47" s="275">
        <v>68581.466180000003</v>
      </c>
      <c r="R47" s="275">
        <v>70397.470499999996</v>
      </c>
      <c r="S47" s="275">
        <v>61554.88308</v>
      </c>
      <c r="T47" s="90">
        <f t="shared" si="0"/>
        <v>-8.8425874199999956</v>
      </c>
      <c r="U47" s="59">
        <v>8854.9408699999985</v>
      </c>
      <c r="V47" s="59">
        <v>12715.02699</v>
      </c>
      <c r="W47" s="59">
        <v>8811.6649799999996</v>
      </c>
      <c r="X47" s="59">
        <f t="shared" si="9"/>
        <v>-3903.3620100000007</v>
      </c>
      <c r="Y47" s="58">
        <f t="shared" si="10"/>
        <v>0.6930118974132039</v>
      </c>
      <c r="Z47" s="329">
        <f t="shared" si="11"/>
        <v>-0.48872025951766318</v>
      </c>
      <c r="AA47" s="59">
        <f>данные!S47+данные!K47</f>
        <v>17461.648009999997</v>
      </c>
      <c r="AB47" s="59">
        <f>данные!T47+данные!L47</f>
        <v>16989.54449</v>
      </c>
      <c r="AC47" s="59">
        <f>данные!U47+данные!M47</f>
        <v>12349.943240000001</v>
      </c>
      <c r="AD47" s="59">
        <f t="shared" si="12"/>
        <v>-4639.6012499999997</v>
      </c>
      <c r="AE47" s="58">
        <f t="shared" si="13"/>
        <v>0.72691432352816421</v>
      </c>
      <c r="AF47" s="90">
        <f t="shared" si="14"/>
        <v>-29.273896524959198</v>
      </c>
      <c r="AG47" s="59">
        <v>14321.663</v>
      </c>
      <c r="AH47" s="59">
        <v>11381.480039999999</v>
      </c>
      <c r="AI47" s="59">
        <v>2043.7389800000001</v>
      </c>
      <c r="AJ47" s="59">
        <v>365.65575999999999</v>
      </c>
      <c r="AK47" s="59">
        <v>15263.454</v>
      </c>
      <c r="AL47" s="59">
        <v>15000</v>
      </c>
      <c r="AM47" s="59">
        <v>2818.6228999999998</v>
      </c>
      <c r="AN47" s="59">
        <v>2607.4736000000003</v>
      </c>
      <c r="AO47" s="59">
        <f t="shared" si="21"/>
        <v>115191.067</v>
      </c>
      <c r="AP47" s="59">
        <f t="shared" si="22"/>
        <v>98603.561149999994</v>
      </c>
      <c r="AQ47" s="59">
        <f t="shared" si="15"/>
        <v>21851.906370000001</v>
      </c>
      <c r="AR47" s="59">
        <f t="shared" si="15"/>
        <v>15323.0726</v>
      </c>
    </row>
    <row r="48" spans="1:44" outlineLevel="1" x14ac:dyDescent="0.25">
      <c r="A48" s="65" t="s">
        <v>318</v>
      </c>
      <c r="B48" s="23">
        <v>47127.567320000002</v>
      </c>
      <c r="C48" s="23">
        <v>40013.485000000001</v>
      </c>
      <c r="D48" s="23">
        <v>49376.670509999996</v>
      </c>
      <c r="E48" s="23">
        <f t="shared" si="3"/>
        <v>9363.1855099999957</v>
      </c>
      <c r="F48" s="24">
        <f t="shared" si="4"/>
        <v>1.2340007502470729</v>
      </c>
      <c r="G48" s="82">
        <f t="shared" si="5"/>
        <v>4.7723727701207252</v>
      </c>
      <c r="H48" s="23">
        <v>500.98561999999998</v>
      </c>
      <c r="I48" s="23">
        <v>627.77976000000001</v>
      </c>
      <c r="J48" s="23">
        <v>-202.42028999999999</v>
      </c>
      <c r="K48" s="23">
        <v>908.35311999999999</v>
      </c>
      <c r="L48" s="23">
        <v>690.41049999999996</v>
      </c>
      <c r="M48" s="23">
        <v>697.67204000000004</v>
      </c>
      <c r="N48" s="23">
        <f t="shared" si="6"/>
        <v>7.2615400000000818</v>
      </c>
      <c r="O48" s="24">
        <f t="shared" si="7"/>
        <v>1.0105177137369725</v>
      </c>
      <c r="P48" s="82">
        <f t="shared" si="8"/>
        <v>-23.193742098887711</v>
      </c>
      <c r="Q48" s="276">
        <v>37592.439989999999</v>
      </c>
      <c r="R48" s="276">
        <v>26757.480649999998</v>
      </c>
      <c r="S48" s="276">
        <v>30102.571789999998</v>
      </c>
      <c r="T48" s="82">
        <f t="shared" si="0"/>
        <v>3.3450911400000005</v>
      </c>
      <c r="U48" s="23">
        <v>8024.0840199999993</v>
      </c>
      <c r="V48" s="23">
        <v>11107.027310000001</v>
      </c>
      <c r="W48" s="23">
        <v>15327.86204</v>
      </c>
      <c r="X48" s="23">
        <f t="shared" si="9"/>
        <v>4220.8347299999987</v>
      </c>
      <c r="Y48" s="24">
        <f t="shared" si="10"/>
        <v>1.3800147971365704</v>
      </c>
      <c r="Z48" s="82">
        <f t="shared" si="11"/>
        <v>91.02319967980597</v>
      </c>
      <c r="AA48" s="23">
        <f>данные!S48+данные!K48</f>
        <v>11570.041650000001</v>
      </c>
      <c r="AB48" s="23">
        <f>данные!T48+данные!L48</f>
        <v>13667.590979999999</v>
      </c>
      <c r="AC48" s="23">
        <f>данные!U48+данные!M48</f>
        <v>17630.442490000001</v>
      </c>
      <c r="AD48" s="23">
        <f t="shared" si="12"/>
        <v>3962.8515100000022</v>
      </c>
      <c r="AE48" s="24">
        <f t="shared" si="13"/>
        <v>1.2899451348667739</v>
      </c>
      <c r="AF48" s="82">
        <f t="shared" si="14"/>
        <v>52.38011256424474</v>
      </c>
      <c r="AG48" s="23">
        <v>6197.8090000000002</v>
      </c>
      <c r="AH48" s="23">
        <v>13061.48155</v>
      </c>
      <c r="AI48" s="23">
        <v>1661.5385000000001</v>
      </c>
      <c r="AJ48" s="23">
        <v>4130.8010000000004</v>
      </c>
      <c r="AK48" s="23">
        <v>8344.518</v>
      </c>
      <c r="AL48" s="23">
        <v>8344.518</v>
      </c>
      <c r="AM48" s="23">
        <v>3119.8559700000001</v>
      </c>
      <c r="AN48" s="23">
        <v>2927.93595</v>
      </c>
      <c r="AO48" s="23">
        <f t="shared" si="21"/>
        <v>54555.812000000005</v>
      </c>
      <c r="AP48" s="23">
        <f t="shared" si="22"/>
        <v>70782.670059999989</v>
      </c>
      <c r="AQ48" s="23">
        <f t="shared" si="15"/>
        <v>18448.98545</v>
      </c>
      <c r="AR48" s="23">
        <f t="shared" si="15"/>
        <v>24689.17944</v>
      </c>
    </row>
    <row r="49" spans="1:44" outlineLevel="1" x14ac:dyDescent="0.25">
      <c r="A49" s="65" t="s">
        <v>319</v>
      </c>
      <c r="B49" s="23">
        <v>37285.950720000001</v>
      </c>
      <c r="C49" s="23">
        <v>42804.878060000003</v>
      </c>
      <c r="D49" s="23">
        <v>42825.593829999998</v>
      </c>
      <c r="E49" s="23">
        <f t="shared" si="3"/>
        <v>20.715769999995246</v>
      </c>
      <c r="F49" s="24">
        <f t="shared" si="4"/>
        <v>1.0004839581594172</v>
      </c>
      <c r="G49" s="82">
        <f t="shared" si="5"/>
        <v>14.857186160010016</v>
      </c>
      <c r="H49" s="23">
        <v>1015.3323399999999</v>
      </c>
      <c r="I49" s="23">
        <v>892.15008</v>
      </c>
      <c r="J49" s="23">
        <v>754.96117000000004</v>
      </c>
      <c r="K49" s="23">
        <v>2886.2267400000001</v>
      </c>
      <c r="L49" s="23">
        <v>1222.6394399999999</v>
      </c>
      <c r="M49" s="23">
        <v>1213.6391999999998</v>
      </c>
      <c r="N49" s="23">
        <f t="shared" si="6"/>
        <v>-9.0002400000000762</v>
      </c>
      <c r="O49" s="24">
        <f t="shared" si="7"/>
        <v>0.99263868013287704</v>
      </c>
      <c r="P49" s="82">
        <f t="shared" si="8"/>
        <v>-57.950663294041831</v>
      </c>
      <c r="Q49" s="276">
        <v>38027.870240000004</v>
      </c>
      <c r="R49" s="276">
        <v>39494.175510000001</v>
      </c>
      <c r="S49" s="276">
        <v>38922.527700000006</v>
      </c>
      <c r="T49" s="82">
        <f t="shared" si="0"/>
        <v>-0.57164780999999498</v>
      </c>
      <c r="U49" s="23">
        <v>211.76859999999999</v>
      </c>
      <c r="V49" s="23">
        <v>3362.2820999999999</v>
      </c>
      <c r="W49" s="23">
        <v>3838.84548</v>
      </c>
      <c r="X49" s="23">
        <f t="shared" si="9"/>
        <v>476.56338000000005</v>
      </c>
      <c r="Y49" s="24">
        <f t="shared" si="10"/>
        <v>1.1417380712938989</v>
      </c>
      <c r="Z49" s="82">
        <f t="shared" si="11"/>
        <v>1712.7548087865719</v>
      </c>
      <c r="AA49" s="23">
        <f>данные!S49+данные!K49</f>
        <v>4747.4410000000007</v>
      </c>
      <c r="AB49" s="23">
        <f>данные!T49+данные!L49</f>
        <v>5909.6871300000003</v>
      </c>
      <c r="AC49" s="23">
        <f>данные!U49+данные!M49</f>
        <v>6137.9473900000003</v>
      </c>
      <c r="AD49" s="23">
        <f t="shared" si="12"/>
        <v>228.26026000000002</v>
      </c>
      <c r="AE49" s="24">
        <f t="shared" si="13"/>
        <v>1.0386247621877065</v>
      </c>
      <c r="AF49" s="82">
        <f t="shared" si="14"/>
        <v>29.289598122441106</v>
      </c>
      <c r="AG49" s="23">
        <v>6585.3658599999999</v>
      </c>
      <c r="AH49" s="23">
        <v>6256.0975599999992</v>
      </c>
      <c r="AI49" s="23">
        <v>383.00628999999998</v>
      </c>
      <c r="AJ49" s="23">
        <v>215.36323999999999</v>
      </c>
      <c r="AK49" s="23">
        <v>7682.9268300000003</v>
      </c>
      <c r="AL49" s="23">
        <v>7690.8069999999998</v>
      </c>
      <c r="AM49" s="23">
        <v>1052.9077400000001</v>
      </c>
      <c r="AN49" s="23">
        <v>1071.9858999999999</v>
      </c>
      <c r="AO49" s="23">
        <f t="shared" si="21"/>
        <v>57073.170750000005</v>
      </c>
      <c r="AP49" s="23">
        <f t="shared" si="22"/>
        <v>56772.498390000001</v>
      </c>
      <c r="AQ49" s="23">
        <f t="shared" si="15"/>
        <v>7345.6011600000002</v>
      </c>
      <c r="AR49" s="23">
        <f t="shared" si="15"/>
        <v>7425.2965299999996</v>
      </c>
    </row>
    <row r="50" spans="1:44" outlineLevel="1" x14ac:dyDescent="0.25">
      <c r="A50" s="65" t="s">
        <v>320</v>
      </c>
      <c r="B50" s="23">
        <v>11367.7186</v>
      </c>
      <c r="C50" s="23">
        <v>12382.97</v>
      </c>
      <c r="D50" s="23">
        <v>11045.64457</v>
      </c>
      <c r="E50" s="23">
        <f t="shared" si="3"/>
        <v>-1337.325429999999</v>
      </c>
      <c r="F50" s="24">
        <f t="shared" si="4"/>
        <v>0.89200285311197569</v>
      </c>
      <c r="G50" s="82">
        <f t="shared" si="5"/>
        <v>-2.8332336622055436</v>
      </c>
      <c r="H50" s="23">
        <v>-1142.0326399999999</v>
      </c>
      <c r="I50" s="23">
        <v>110.36706</v>
      </c>
      <c r="J50" s="23">
        <v>-298.30834999999996</v>
      </c>
      <c r="K50" s="23">
        <v>354.28571999999997</v>
      </c>
      <c r="L50" s="23">
        <v>354.28571999999997</v>
      </c>
      <c r="M50" s="23">
        <v>354.28571999999997</v>
      </c>
      <c r="N50" s="23">
        <f t="shared" si="6"/>
        <v>0</v>
      </c>
      <c r="O50" s="24">
        <f t="shared" si="7"/>
        <v>1</v>
      </c>
      <c r="P50" s="82">
        <f t="shared" si="8"/>
        <v>0</v>
      </c>
      <c r="Q50" s="276">
        <v>9306.0285000000003</v>
      </c>
      <c r="R50" s="276">
        <v>11658.537769999999</v>
      </c>
      <c r="S50" s="276">
        <v>10078.768470000001</v>
      </c>
      <c r="T50" s="82">
        <f t="shared" si="0"/>
        <v>-1.5797692999999982</v>
      </c>
      <c r="U50" s="23">
        <v>733.65442000000007</v>
      </c>
      <c r="V50" s="23">
        <v>667.83941000000004</v>
      </c>
      <c r="W50" s="23">
        <v>534.61419999999998</v>
      </c>
      <c r="X50" s="23">
        <f t="shared" si="9"/>
        <v>-133.22521000000006</v>
      </c>
      <c r="Y50" s="24">
        <f t="shared" si="10"/>
        <v>0.8005131053886142</v>
      </c>
      <c r="Z50" s="82">
        <f t="shared" si="11"/>
        <v>-27.129969448013426</v>
      </c>
      <c r="AA50" s="23">
        <f>данные!S50+данные!K50</f>
        <v>1131.35088</v>
      </c>
      <c r="AB50" s="23">
        <f>данные!T50+данные!L50</f>
        <v>1286.0702799999999</v>
      </c>
      <c r="AC50" s="23">
        <f>данные!U50+данные!M50</f>
        <v>1135.2848899999999</v>
      </c>
      <c r="AD50" s="23">
        <f t="shared" si="12"/>
        <v>-150.78539000000001</v>
      </c>
      <c r="AE50" s="24">
        <f t="shared" si="13"/>
        <v>0.88275493777836156</v>
      </c>
      <c r="AF50" s="82">
        <f t="shared" si="14"/>
        <v>0.34772678127939116</v>
      </c>
      <c r="AG50" s="23">
        <v>2103.5</v>
      </c>
      <c r="AH50" s="23">
        <v>1740.9938100000002</v>
      </c>
      <c r="AI50" s="23">
        <v>152.88013000000001</v>
      </c>
      <c r="AJ50" s="23">
        <v>114.74339000000001</v>
      </c>
      <c r="AK50" s="23">
        <v>2008.33</v>
      </c>
      <c r="AL50" s="23">
        <v>1903.64</v>
      </c>
      <c r="AM50" s="23">
        <v>53.218129999999995</v>
      </c>
      <c r="AN50" s="23">
        <v>114.32308</v>
      </c>
      <c r="AO50" s="23">
        <f t="shared" si="21"/>
        <v>16494.8</v>
      </c>
      <c r="AP50" s="23">
        <f t="shared" si="22"/>
        <v>14690.27838</v>
      </c>
      <c r="AQ50" s="23">
        <f t="shared" si="15"/>
        <v>1492.1685399999999</v>
      </c>
      <c r="AR50" s="23">
        <f t="shared" si="15"/>
        <v>1364.3513600000001</v>
      </c>
    </row>
    <row r="51" spans="1:44" outlineLevel="1" x14ac:dyDescent="0.25">
      <c r="A51" s="65" t="s">
        <v>321</v>
      </c>
      <c r="B51" s="23">
        <v>7272.3212000000003</v>
      </c>
      <c r="C51" s="23">
        <v>8587.0930000000008</v>
      </c>
      <c r="D51" s="23">
        <v>8048.7504100000006</v>
      </c>
      <c r="E51" s="23">
        <f t="shared" si="3"/>
        <v>-538.3425900000002</v>
      </c>
      <c r="F51" s="24">
        <f t="shared" si="4"/>
        <v>0.93730793529311951</v>
      </c>
      <c r="G51" s="82">
        <f t="shared" si="5"/>
        <v>10.676497759752408</v>
      </c>
      <c r="H51" s="23">
        <v>1129.5269900000001</v>
      </c>
      <c r="I51" s="23">
        <v>352.13478000000003</v>
      </c>
      <c r="J51" s="23">
        <v>863.84882999999991</v>
      </c>
      <c r="K51" s="23">
        <v>272.39345000000003</v>
      </c>
      <c r="L51" s="23">
        <v>177.38867999999999</v>
      </c>
      <c r="M51" s="23">
        <v>177.22479999999999</v>
      </c>
      <c r="N51" s="23">
        <f t="shared" si="6"/>
        <v>-0.16388000000000602</v>
      </c>
      <c r="O51" s="24">
        <f t="shared" si="7"/>
        <v>0.99907615299916541</v>
      </c>
      <c r="P51" s="82">
        <f t="shared" si="8"/>
        <v>-34.937936282975983</v>
      </c>
      <c r="Q51" s="276">
        <v>8825.5646099999994</v>
      </c>
      <c r="R51" s="276">
        <v>8678.1425299999992</v>
      </c>
      <c r="S51" s="276">
        <v>9504.4252899999992</v>
      </c>
      <c r="T51" s="82">
        <f t="shared" si="0"/>
        <v>0.82628276000000001</v>
      </c>
      <c r="U51" s="23">
        <v>-839.63831999999991</v>
      </c>
      <c r="V51" s="23">
        <v>208.86827</v>
      </c>
      <c r="W51" s="23">
        <v>-531.30037000000004</v>
      </c>
      <c r="X51" s="23">
        <f t="shared" si="9"/>
        <v>-740.1686400000001</v>
      </c>
      <c r="Y51" s="24">
        <f t="shared" si="10"/>
        <v>-2.5437103012343618</v>
      </c>
      <c r="Z51" s="82">
        <f>(W51/U51*100-100)*-1</f>
        <v>36.722710559470407</v>
      </c>
      <c r="AA51" s="23">
        <f>данные!S51+данные!K51</f>
        <v>-666.89433000000008</v>
      </c>
      <c r="AB51" s="23">
        <f>данные!T51+данные!L51</f>
        <v>-33.458850000000012</v>
      </c>
      <c r="AC51" s="23">
        <f>данные!U51+данные!M51</f>
        <v>-908.44250000000022</v>
      </c>
      <c r="AD51" s="23">
        <f t="shared" si="12"/>
        <v>-874.98365000000024</v>
      </c>
      <c r="AE51" s="24">
        <f t="shared" si="13"/>
        <v>27.151037767287278</v>
      </c>
      <c r="AF51" s="82">
        <f>(AC51/AA51*100-100)*-1</f>
        <v>-36.219856600070358</v>
      </c>
      <c r="AG51" s="23">
        <v>1206.7639999999999</v>
      </c>
      <c r="AH51" s="23">
        <v>1145.5150000000001</v>
      </c>
      <c r="AI51" s="23">
        <v>-6.6940100000000005</v>
      </c>
      <c r="AJ51" s="23">
        <v>-250.06451000000001</v>
      </c>
      <c r="AK51" s="23">
        <v>1572.0519999999999</v>
      </c>
      <c r="AL51" s="23">
        <v>1572.0519999999999</v>
      </c>
      <c r="AM51" s="23">
        <v>62.723059999999997</v>
      </c>
      <c r="AN51" s="23">
        <v>56.483059999999995</v>
      </c>
      <c r="AO51" s="23">
        <f t="shared" si="21"/>
        <v>11365.909</v>
      </c>
      <c r="AP51" s="23">
        <f t="shared" si="22"/>
        <v>10766.31741</v>
      </c>
      <c r="AQ51" s="23">
        <f t="shared" si="15"/>
        <v>22.570199999999986</v>
      </c>
      <c r="AR51" s="23">
        <f t="shared" si="15"/>
        <v>-1102.0239500000002</v>
      </c>
    </row>
    <row r="52" spans="1:44" outlineLevel="1" x14ac:dyDescent="0.25">
      <c r="A52" s="65" t="s">
        <v>322</v>
      </c>
      <c r="B52" s="23">
        <v>53560.075779999999</v>
      </c>
      <c r="C52" s="23">
        <v>69971.210000000006</v>
      </c>
      <c r="D52" s="23">
        <v>63049.019319999999</v>
      </c>
      <c r="E52" s="23">
        <f t="shared" si="3"/>
        <v>-6922.190680000007</v>
      </c>
      <c r="F52" s="24">
        <f t="shared" si="4"/>
        <v>0.90107087357786142</v>
      </c>
      <c r="G52" s="82">
        <f t="shared" si="5"/>
        <v>17.716449056151788</v>
      </c>
      <c r="H52" s="23">
        <v>-917.79362000000003</v>
      </c>
      <c r="I52" s="23">
        <v>122.57514</v>
      </c>
      <c r="J52" s="23">
        <v>3255.6972599999999</v>
      </c>
      <c r="K52" s="23">
        <v>9502.0170299999991</v>
      </c>
      <c r="L52" s="23">
        <v>4044.16878</v>
      </c>
      <c r="M52" s="23">
        <v>4142.6744500000004</v>
      </c>
      <c r="N52" s="23">
        <f t="shared" si="6"/>
        <v>98.505670000000464</v>
      </c>
      <c r="O52" s="24">
        <f t="shared" si="7"/>
        <v>1.0243574577023467</v>
      </c>
      <c r="P52" s="82">
        <f t="shared" si="8"/>
        <v>-56.402157174412046</v>
      </c>
      <c r="Q52" s="276">
        <v>66280.78740999999</v>
      </c>
      <c r="R52" s="276">
        <v>70273.895980000001</v>
      </c>
      <c r="S52" s="276">
        <v>73563.213359999994</v>
      </c>
      <c r="T52" s="82">
        <f t="shared" si="0"/>
        <v>3.2893173799999933</v>
      </c>
      <c r="U52" s="23">
        <v>-11070.832060000001</v>
      </c>
      <c r="V52" s="23">
        <v>-144.08848</v>
      </c>
      <c r="W52" s="23">
        <v>-5806.7387800000006</v>
      </c>
      <c r="X52" s="23">
        <f t="shared" si="9"/>
        <v>-5662.6503000000002</v>
      </c>
      <c r="Y52" s="24">
        <f t="shared" si="10"/>
        <v>40.299812864984077</v>
      </c>
      <c r="Z52" s="90">
        <f>(W52/U52*100-100)*-1</f>
        <v>47.549210858501631</v>
      </c>
      <c r="AA52" s="23">
        <f>данные!S52+данные!K52</f>
        <v>-1911.4635699999999</v>
      </c>
      <c r="AB52" s="23">
        <f>данные!T52+данные!L52</f>
        <v>6267.35725</v>
      </c>
      <c r="AC52" s="23">
        <f>данные!U52+данные!M52</f>
        <v>-148.21782000000076</v>
      </c>
      <c r="AD52" s="23">
        <f t="shared" si="12"/>
        <v>-6415.5750700000008</v>
      </c>
      <c r="AE52" s="24">
        <f t="shared" si="13"/>
        <v>-2.3649173660876082E-2</v>
      </c>
      <c r="AF52" s="90">
        <f>(AC52/AA52*100-100)*-1</f>
        <v>92.245846464131105</v>
      </c>
      <c r="AG52" s="23">
        <v>12000</v>
      </c>
      <c r="AH52" s="23">
        <v>11973.907999999999</v>
      </c>
      <c r="AI52" s="23">
        <v>507.92960999999997</v>
      </c>
      <c r="AJ52" s="23">
        <v>-1571.6059399999999</v>
      </c>
      <c r="AK52" s="23">
        <v>13000</v>
      </c>
      <c r="AL52" s="23">
        <v>12630</v>
      </c>
      <c r="AM52" s="23">
        <v>1006.65889</v>
      </c>
      <c r="AN52" s="23">
        <v>-2072.27691</v>
      </c>
      <c r="AO52" s="23">
        <f t="shared" si="21"/>
        <v>94971.21</v>
      </c>
      <c r="AP52" s="23">
        <f t="shared" si="22"/>
        <v>87652.927320000003</v>
      </c>
      <c r="AQ52" s="23">
        <f t="shared" si="15"/>
        <v>7781.9457499999999</v>
      </c>
      <c r="AR52" s="23">
        <f t="shared" si="15"/>
        <v>-3792.1006700000007</v>
      </c>
    </row>
    <row r="53" spans="1:44" outlineLevel="1" x14ac:dyDescent="0.25">
      <c r="A53" s="65" t="s">
        <v>323</v>
      </c>
      <c r="B53" s="23">
        <v>10288.5432</v>
      </c>
      <c r="C53" s="23">
        <v>12408.06518</v>
      </c>
      <c r="D53" s="23">
        <v>10085.999679999999</v>
      </c>
      <c r="E53" s="23">
        <f t="shared" si="3"/>
        <v>-2322.0655000000006</v>
      </c>
      <c r="F53" s="24">
        <f t="shared" si="4"/>
        <v>0.8128583734599627</v>
      </c>
      <c r="G53" s="82">
        <f t="shared" si="5"/>
        <v>-1.9686316717803294</v>
      </c>
      <c r="H53" s="23">
        <v>207.16230999999999</v>
      </c>
      <c r="I53" s="23">
        <v>181.68024</v>
      </c>
      <c r="J53" s="23">
        <v>292.30925000000002</v>
      </c>
      <c r="K53" s="23">
        <v>497.28570000000002</v>
      </c>
      <c r="L53" s="23">
        <v>497.28570000000002</v>
      </c>
      <c r="M53" s="23">
        <v>603.94133999999997</v>
      </c>
      <c r="N53" s="23">
        <f t="shared" si="6"/>
        <v>106.65563999999995</v>
      </c>
      <c r="O53" s="24">
        <f t="shared" si="7"/>
        <v>1.2144755821452335</v>
      </c>
      <c r="P53" s="82">
        <f t="shared" si="8"/>
        <v>21.447558214523355</v>
      </c>
      <c r="Q53" s="276">
        <v>10599.043470000001</v>
      </c>
      <c r="R53" s="276">
        <v>12257.091699999999</v>
      </c>
      <c r="S53" s="276">
        <v>11014.842560000001</v>
      </c>
      <c r="T53" s="82">
        <f t="shared" si="0"/>
        <v>-1.242249139999998</v>
      </c>
      <c r="U53" s="23">
        <v>-83.391759999999991</v>
      </c>
      <c r="V53" s="23">
        <v>266.12304</v>
      </c>
      <c r="W53" s="23">
        <v>-510.76774999999998</v>
      </c>
      <c r="X53" s="23">
        <f t="shared" si="9"/>
        <v>-776.89078999999992</v>
      </c>
      <c r="Y53" s="24">
        <f t="shared" si="10"/>
        <v>-1.9192917306220461</v>
      </c>
      <c r="Z53" s="82">
        <f>(W53/U53*100-100)*-1</f>
        <v>-512.49186970031576</v>
      </c>
      <c r="AA53" s="23">
        <f>данные!S53+данные!K53</f>
        <v>679.86653999999999</v>
      </c>
      <c r="AB53" s="23">
        <f>данные!T53+данные!L53</f>
        <v>386.96391000000006</v>
      </c>
      <c r="AC53" s="23">
        <f>данные!U53+данные!M53</f>
        <v>-189.19524000000001</v>
      </c>
      <c r="AD53" s="23">
        <f t="shared" si="12"/>
        <v>-576.15915000000007</v>
      </c>
      <c r="AE53" s="24">
        <f t="shared" si="13"/>
        <v>-0.48892218398351406</v>
      </c>
      <c r="AF53" s="82">
        <f t="shared" si="14"/>
        <v>-127.82829112313721</v>
      </c>
      <c r="AG53" s="23">
        <v>2182.15481</v>
      </c>
      <c r="AH53" s="23">
        <v>1150</v>
      </c>
      <c r="AI53" s="23">
        <v>214.68485999999999</v>
      </c>
      <c r="AJ53" s="23">
        <v>-471.14593000000002</v>
      </c>
      <c r="AK53" s="23">
        <v>2288.15481</v>
      </c>
      <c r="AL53" s="23">
        <v>1430</v>
      </c>
      <c r="AM53" s="23">
        <v>106.29607</v>
      </c>
      <c r="AN53" s="23">
        <v>-536.86779000000001</v>
      </c>
      <c r="AO53" s="23">
        <f t="shared" si="21"/>
        <v>16878.374799999998</v>
      </c>
      <c r="AP53" s="23">
        <f t="shared" si="22"/>
        <v>12665.999679999999</v>
      </c>
      <c r="AQ53" s="23">
        <f t="shared" si="15"/>
        <v>707.94484</v>
      </c>
      <c r="AR53" s="23">
        <f t="shared" si="15"/>
        <v>-1197.2089599999999</v>
      </c>
    </row>
    <row r="54" spans="1:44" outlineLevel="1" x14ac:dyDescent="0.25">
      <c r="A54" s="65" t="s">
        <v>324</v>
      </c>
      <c r="B54" s="23">
        <v>54974.565969999996</v>
      </c>
      <c r="C54" s="23">
        <v>62779.407520000001</v>
      </c>
      <c r="D54" s="23">
        <v>68187.93303</v>
      </c>
      <c r="E54" s="23">
        <f t="shared" si="3"/>
        <v>5408.5255099999995</v>
      </c>
      <c r="F54" s="24">
        <f t="shared" si="4"/>
        <v>1.0861512671695248</v>
      </c>
      <c r="G54" s="82">
        <f t="shared" si="5"/>
        <v>24.035418610145328</v>
      </c>
      <c r="H54" s="23">
        <v>3314.46054</v>
      </c>
      <c r="I54" s="23">
        <v>2473.9080600000002</v>
      </c>
      <c r="J54" s="23">
        <v>2172.1964900000003</v>
      </c>
      <c r="K54" s="23">
        <v>5692.8633499999996</v>
      </c>
      <c r="L54" s="23">
        <v>1064.9104</v>
      </c>
      <c r="M54" s="23">
        <v>1092.80132</v>
      </c>
      <c r="N54" s="23">
        <f t="shared" si="6"/>
        <v>27.890920000000051</v>
      </c>
      <c r="O54" s="24">
        <f t="shared" si="7"/>
        <v>1.0261908607522285</v>
      </c>
      <c r="P54" s="82">
        <f t="shared" si="8"/>
        <v>-80.804012799639736</v>
      </c>
      <c r="Q54" s="276">
        <v>55757.462599999999</v>
      </c>
      <c r="R54" s="276">
        <v>60481.779179999998</v>
      </c>
      <c r="S54" s="276">
        <v>62178.828549999998</v>
      </c>
      <c r="T54" s="82">
        <f t="shared" si="0"/>
        <v>1.6970493700000007</v>
      </c>
      <c r="U54" s="23">
        <v>1964.28397</v>
      </c>
      <c r="V54" s="23">
        <v>3817.2290699999999</v>
      </c>
      <c r="W54" s="23">
        <v>6807.5268299999998</v>
      </c>
      <c r="X54" s="23">
        <f t="shared" si="9"/>
        <v>2990.2977599999999</v>
      </c>
      <c r="Y54" s="24">
        <f t="shared" si="10"/>
        <v>1.7833686962883786</v>
      </c>
      <c r="Z54" s="82">
        <f t="shared" si="11"/>
        <v>246.56531000454072</v>
      </c>
      <c r="AA54" s="23">
        <f>данные!S54+данные!K54</f>
        <v>9492.5220499999996</v>
      </c>
      <c r="AB54" s="23">
        <f>данные!T54+данные!L54</f>
        <v>6456.9059399999996</v>
      </c>
      <c r="AC54" s="23">
        <f>данные!U54+данные!M54</f>
        <v>9902.6714300000003</v>
      </c>
      <c r="AD54" s="23">
        <f t="shared" si="12"/>
        <v>3445.7654900000007</v>
      </c>
      <c r="AE54" s="24">
        <f t="shared" si="13"/>
        <v>1.5336558286614905</v>
      </c>
      <c r="AF54" s="82">
        <f t="shared" si="14"/>
        <v>4.3207629946985406</v>
      </c>
      <c r="AG54" s="23">
        <v>11148.11541</v>
      </c>
      <c r="AH54" s="23">
        <v>8987.0812299999998</v>
      </c>
      <c r="AI54" s="23">
        <v>1022.51739</v>
      </c>
      <c r="AJ54" s="23">
        <v>440.11553999999995</v>
      </c>
      <c r="AK54" s="23">
        <v>11373.11541</v>
      </c>
      <c r="AL54" s="23">
        <v>11383.8007</v>
      </c>
      <c r="AM54" s="23">
        <v>1339.3290200000001</v>
      </c>
      <c r="AN54" s="23">
        <v>1302.8982900000001</v>
      </c>
      <c r="AO54" s="23">
        <f t="shared" si="21"/>
        <v>85300.638340000005</v>
      </c>
      <c r="AP54" s="23">
        <f t="shared" si="22"/>
        <v>88558.814959999989</v>
      </c>
      <c r="AQ54" s="23">
        <f t="shared" si="15"/>
        <v>8818.7523499999988</v>
      </c>
      <c r="AR54" s="23">
        <f t="shared" si="15"/>
        <v>11645.685260000002</v>
      </c>
    </row>
    <row r="55" spans="1:44" outlineLevel="1" x14ac:dyDescent="0.25">
      <c r="A55" s="65" t="s">
        <v>325</v>
      </c>
      <c r="B55" s="23">
        <v>50434.09966</v>
      </c>
      <c r="C55" s="23">
        <v>44331</v>
      </c>
      <c r="D55" s="23">
        <v>40482.068650000001</v>
      </c>
      <c r="E55" s="23">
        <f t="shared" si="3"/>
        <v>-3848.9313499999989</v>
      </c>
      <c r="F55" s="24">
        <f t="shared" si="4"/>
        <v>0.91317743001511364</v>
      </c>
      <c r="G55" s="82">
        <f t="shared" si="5"/>
        <v>-19.732742483937102</v>
      </c>
      <c r="H55" s="23">
        <v>629.22173999999995</v>
      </c>
      <c r="I55" s="23">
        <v>468.06732</v>
      </c>
      <c r="J55" s="23">
        <v>462.96914000000004</v>
      </c>
      <c r="K55" s="23">
        <v>449.57728000000003</v>
      </c>
      <c r="L55" s="23">
        <v>354.53154000000001</v>
      </c>
      <c r="M55" s="23">
        <v>354.28571999999997</v>
      </c>
      <c r="N55" s="23">
        <f t="shared" si="6"/>
        <v>-0.24582000000003745</v>
      </c>
      <c r="O55" s="24">
        <f t="shared" si="7"/>
        <v>0.99930663432652556</v>
      </c>
      <c r="P55" s="82">
        <f t="shared" si="8"/>
        <v>-21.195813098028452</v>
      </c>
      <c r="Q55" s="276">
        <v>43774.167409999995</v>
      </c>
      <c r="R55" s="276">
        <v>40025.00621</v>
      </c>
      <c r="S55" s="276">
        <v>34333.158859999996</v>
      </c>
      <c r="T55" s="82">
        <f t="shared" si="0"/>
        <v>-5.6918473500000033</v>
      </c>
      <c r="U55" s="23">
        <v>5851.9874900000004</v>
      </c>
      <c r="V55" s="23">
        <v>3819.2489300000002</v>
      </c>
      <c r="W55" s="23">
        <v>5338.7967099999996</v>
      </c>
      <c r="X55" s="23">
        <f t="shared" si="9"/>
        <v>1519.5477799999994</v>
      </c>
      <c r="Y55" s="24">
        <f t="shared" si="10"/>
        <v>1.3978656033818668</v>
      </c>
      <c r="Z55" s="82">
        <f t="shared" si="11"/>
        <v>-8.7695125951132411</v>
      </c>
      <c r="AA55" s="23">
        <f>данные!S55+данные!K55</f>
        <v>8253.4866899999997</v>
      </c>
      <c r="AB55" s="23">
        <f>данные!T55+данные!L55</f>
        <v>5768.3931600000005</v>
      </c>
      <c r="AC55" s="23">
        <f>данные!U55+данные!M55</f>
        <v>7480.7937700000002</v>
      </c>
      <c r="AD55" s="23">
        <f t="shared" si="12"/>
        <v>1712.4006099999997</v>
      </c>
      <c r="AE55" s="24">
        <f t="shared" si="13"/>
        <v>1.2968592054151871</v>
      </c>
      <c r="AF55" s="82">
        <f t="shared" si="14"/>
        <v>-9.3620181266688292</v>
      </c>
      <c r="AG55" s="23">
        <v>6888.5</v>
      </c>
      <c r="AH55" s="23">
        <v>5900.2242300000007</v>
      </c>
      <c r="AI55" s="23">
        <v>182.23525000000001</v>
      </c>
      <c r="AJ55" s="23">
        <v>452.76251999999999</v>
      </c>
      <c r="AK55" s="23">
        <v>8138.5</v>
      </c>
      <c r="AL55" s="23">
        <v>7488.5</v>
      </c>
      <c r="AM55" s="23">
        <v>1079.6254099999999</v>
      </c>
      <c r="AN55" s="23">
        <v>1070.16895</v>
      </c>
      <c r="AO55" s="23">
        <f t="shared" si="21"/>
        <v>59358</v>
      </c>
      <c r="AP55" s="23">
        <f t="shared" si="22"/>
        <v>53870.792880000001</v>
      </c>
      <c r="AQ55" s="23">
        <f t="shared" si="15"/>
        <v>7030.2538199999999</v>
      </c>
      <c r="AR55" s="23">
        <f t="shared" si="15"/>
        <v>9003.7252399999998</v>
      </c>
    </row>
    <row r="56" spans="1:44" ht="15.75" outlineLevel="1" thickBot="1" x14ac:dyDescent="0.3">
      <c r="A56" s="66" t="s">
        <v>326</v>
      </c>
      <c r="B56" s="72">
        <v>18344.13737</v>
      </c>
      <c r="C56" s="72">
        <v>20255.146000000001</v>
      </c>
      <c r="D56" s="72">
        <v>17050.011770000001</v>
      </c>
      <c r="E56" s="72">
        <f t="shared" si="3"/>
        <v>-3205.1342299999997</v>
      </c>
      <c r="F56" s="73">
        <f t="shared" si="4"/>
        <v>0.84176197841279443</v>
      </c>
      <c r="G56" s="92">
        <f t="shared" si="5"/>
        <v>-7.0547094905449796</v>
      </c>
      <c r="H56" s="72">
        <v>254.16785000000002</v>
      </c>
      <c r="I56" s="72">
        <v>341.55738000000002</v>
      </c>
      <c r="J56" s="72">
        <v>-417.80592999999999</v>
      </c>
      <c r="K56" s="72">
        <v>1352.90373</v>
      </c>
      <c r="L56" s="72">
        <v>1155.1428600000002</v>
      </c>
      <c r="M56" s="72">
        <v>1155.0609199999999</v>
      </c>
      <c r="N56" s="72">
        <f t="shared" si="6"/>
        <v>-8.1940000000258806E-2</v>
      </c>
      <c r="O56" s="73">
        <f t="shared" si="7"/>
        <v>0.99992906505088019</v>
      </c>
      <c r="P56" s="92">
        <f t="shared" si="8"/>
        <v>-14.623568965989918</v>
      </c>
      <c r="Q56" s="273">
        <v>19970.363879999997</v>
      </c>
      <c r="R56" s="273">
        <v>19281.966969999998</v>
      </c>
      <c r="S56" s="273">
        <v>16936.29852</v>
      </c>
      <c r="T56" s="92">
        <f t="shared" si="0"/>
        <v>-2.3456684499999976</v>
      </c>
      <c r="U56" s="72">
        <v>-1099.0309600000001</v>
      </c>
      <c r="V56" s="72">
        <v>1051.7891299999999</v>
      </c>
      <c r="W56" s="72">
        <v>-234.26407</v>
      </c>
      <c r="X56" s="72">
        <f t="shared" si="9"/>
        <v>-1286.0531999999998</v>
      </c>
      <c r="Y56" s="73">
        <f t="shared" si="10"/>
        <v>-0.22272912251907379</v>
      </c>
      <c r="Z56" s="92">
        <f>(W56/U56*100-100)*-1</f>
        <v>78.684488560722627</v>
      </c>
      <c r="AA56" s="72">
        <f>данные!S56+данные!K56</f>
        <v>1033.7262700000001</v>
      </c>
      <c r="AB56" s="72">
        <f>данные!T56+данные!L56</f>
        <v>2617.5862200000001</v>
      </c>
      <c r="AC56" s="72">
        <f>данные!U56+данные!M56</f>
        <v>2104.7341500000002</v>
      </c>
      <c r="AD56" s="72">
        <f t="shared" si="12"/>
        <v>-512.85206999999991</v>
      </c>
      <c r="AE56" s="73">
        <f t="shared" si="13"/>
        <v>0.80407443083192887</v>
      </c>
      <c r="AF56" s="92">
        <f t="shared" si="14"/>
        <v>103.60652631958359</v>
      </c>
      <c r="AG56" s="72">
        <v>3337.75</v>
      </c>
      <c r="AH56" s="72">
        <v>2220</v>
      </c>
      <c r="AI56" s="72">
        <v>251.19658999999999</v>
      </c>
      <c r="AJ56" s="72">
        <v>-532.46709999999996</v>
      </c>
      <c r="AK56" s="72">
        <v>3600</v>
      </c>
      <c r="AL56" s="72">
        <v>3610</v>
      </c>
      <c r="AM56" s="72">
        <v>239.72595999999999</v>
      </c>
      <c r="AN56" s="72">
        <v>315.96012000000002</v>
      </c>
      <c r="AO56" s="72">
        <f t="shared" si="21"/>
        <v>27192.896000000001</v>
      </c>
      <c r="AP56" s="72">
        <f t="shared" si="22"/>
        <v>22880.011770000001</v>
      </c>
      <c r="AQ56" s="72">
        <f t="shared" si="15"/>
        <v>3108.5087700000004</v>
      </c>
      <c r="AR56" s="72">
        <f t="shared" si="15"/>
        <v>1888.2271700000003</v>
      </c>
    </row>
    <row r="57" spans="1:44" ht="15.75" thickBot="1" x14ac:dyDescent="0.3">
      <c r="A57" s="61" t="s">
        <v>327</v>
      </c>
      <c r="B57" s="74">
        <v>553413.7755499999</v>
      </c>
      <c r="C57" s="74">
        <v>594382.42848</v>
      </c>
      <c r="D57" s="74">
        <v>630003.16283000004</v>
      </c>
      <c r="E57" s="75">
        <f t="shared" si="3"/>
        <v>35620.734350000042</v>
      </c>
      <c r="F57" s="76">
        <f t="shared" si="4"/>
        <v>1.0599289828286009</v>
      </c>
      <c r="G57" s="77">
        <f t="shared" si="5"/>
        <v>13.839443588819805</v>
      </c>
      <c r="H57" s="74">
        <v>13641.56604</v>
      </c>
      <c r="I57" s="74">
        <v>14368.18044</v>
      </c>
      <c r="J57" s="74">
        <v>5965.1785799999998</v>
      </c>
      <c r="K57" s="74">
        <v>38741.078130000002</v>
      </c>
      <c r="L57" s="74">
        <v>26426.03775</v>
      </c>
      <c r="M57" s="74">
        <v>26677.044109999999</v>
      </c>
      <c r="N57" s="75">
        <f t="shared" si="6"/>
        <v>251.0063599999994</v>
      </c>
      <c r="O57" s="76">
        <f t="shared" si="7"/>
        <v>1.00949844855194</v>
      </c>
      <c r="P57" s="77">
        <f t="shared" si="8"/>
        <v>-31.140160786227455</v>
      </c>
      <c r="Q57" s="274">
        <v>469563.08477999998</v>
      </c>
      <c r="R57" s="274">
        <v>515964.61574000004</v>
      </c>
      <c r="S57" s="274">
        <v>521883.55998000002</v>
      </c>
      <c r="T57" s="100">
        <f t="shared" si="0"/>
        <v>5.9189442399999823</v>
      </c>
      <c r="U57" s="74">
        <v>85271.106769999999</v>
      </c>
      <c r="V57" s="74">
        <v>74243.369480000008</v>
      </c>
      <c r="W57" s="74">
        <v>92368.689299999998</v>
      </c>
      <c r="X57" s="75">
        <f t="shared" si="9"/>
        <v>18125.31981999999</v>
      </c>
      <c r="Y57" s="76">
        <f t="shared" si="10"/>
        <v>1.244133852584407</v>
      </c>
      <c r="Z57" s="77">
        <f t="shared" si="11"/>
        <v>8.3235492054115809</v>
      </c>
      <c r="AA57" s="74">
        <f>данные!S57+данные!K57</f>
        <v>146572.38586000001</v>
      </c>
      <c r="AB57" s="74">
        <f>данные!T57+данные!L57</f>
        <v>127046.85051999999</v>
      </c>
      <c r="AC57" s="74">
        <f>данные!U57+данные!M57</f>
        <v>144628.73668</v>
      </c>
      <c r="AD57" s="75">
        <f t="shared" si="12"/>
        <v>17581.886160000009</v>
      </c>
      <c r="AE57" s="76">
        <f t="shared" si="13"/>
        <v>1.1383889965633758</v>
      </c>
      <c r="AF57" s="77">
        <f t="shared" si="14"/>
        <v>-1.3260677777712573</v>
      </c>
      <c r="AG57" s="74">
        <v>96794.774160000001</v>
      </c>
      <c r="AH57" s="74">
        <v>99997.388980000003</v>
      </c>
      <c r="AI57" s="74">
        <v>12358.95407</v>
      </c>
      <c r="AJ57" s="74">
        <v>8908.0059999999994</v>
      </c>
      <c r="AK57" s="74">
        <v>107374.44527</v>
      </c>
      <c r="AL57" s="74">
        <v>106919.63047</v>
      </c>
      <c r="AM57" s="74">
        <v>19104.77349</v>
      </c>
      <c r="AN57" s="74">
        <v>14529.112529999999</v>
      </c>
      <c r="AO57" s="74">
        <f t="shared" si="21"/>
        <v>798551.64791000006</v>
      </c>
      <c r="AP57" s="74">
        <f t="shared" si="22"/>
        <v>836920.18228000007</v>
      </c>
      <c r="AQ57" s="74">
        <f t="shared" si="15"/>
        <v>158510.57807999998</v>
      </c>
      <c r="AR57" s="74">
        <f t="shared" si="15"/>
        <v>168065.85521000001</v>
      </c>
    </row>
    <row r="58" spans="1:44" outlineLevel="1" x14ac:dyDescent="0.25">
      <c r="A58" s="64" t="s">
        <v>328</v>
      </c>
      <c r="B58" s="59">
        <v>155578.55515999999</v>
      </c>
      <c r="C58" s="59">
        <v>168440.06746000002</v>
      </c>
      <c r="D58" s="59">
        <v>177140.87039</v>
      </c>
      <c r="E58" s="59">
        <f t="shared" si="3"/>
        <v>8700.8029299999762</v>
      </c>
      <c r="F58" s="58">
        <f t="shared" si="4"/>
        <v>1.0516551854983447</v>
      </c>
      <c r="G58" s="90">
        <f t="shared" si="5"/>
        <v>13.859439180306637</v>
      </c>
      <c r="H58" s="59">
        <v>7720.9105099999997</v>
      </c>
      <c r="I58" s="59">
        <v>7527.38274</v>
      </c>
      <c r="J58" s="59">
        <v>-934.87103999999999</v>
      </c>
      <c r="K58" s="59">
        <v>11915.881539999998</v>
      </c>
      <c r="L58" s="59">
        <v>6763.9546799999998</v>
      </c>
      <c r="M58" s="59">
        <v>6950.5034999999998</v>
      </c>
      <c r="N58" s="59">
        <f t="shared" si="6"/>
        <v>186.54881999999998</v>
      </c>
      <c r="O58" s="58">
        <f t="shared" si="7"/>
        <v>1.0275798447543709</v>
      </c>
      <c r="P58" s="90">
        <f t="shared" si="8"/>
        <v>-41.67025346242238</v>
      </c>
      <c r="Q58" s="275">
        <v>145851.94706999999</v>
      </c>
      <c r="R58" s="275">
        <v>163473.41356000002</v>
      </c>
      <c r="S58" s="275">
        <v>157127.27437</v>
      </c>
      <c r="T58" s="90">
        <f t="shared" si="0"/>
        <v>-6.3461391900000166</v>
      </c>
      <c r="U58" s="59">
        <v>13712.13624</v>
      </c>
      <c r="V58" s="59">
        <v>9995.2293000000009</v>
      </c>
      <c r="W58" s="59">
        <v>15332.16937</v>
      </c>
      <c r="X58" s="59">
        <f t="shared" si="9"/>
        <v>5336.9400699999987</v>
      </c>
      <c r="Y58" s="58">
        <f t="shared" si="10"/>
        <v>1.5339487379244015</v>
      </c>
      <c r="Z58" s="90">
        <f t="shared" si="11"/>
        <v>11.814593303661638</v>
      </c>
      <c r="AA58" s="59">
        <f>данные!S58+данные!K58</f>
        <v>29694.75058</v>
      </c>
      <c r="AB58" s="59">
        <f>данные!T58+данные!L58</f>
        <v>23427.698199999999</v>
      </c>
      <c r="AC58" s="59">
        <f>данные!U58+данные!M58</f>
        <v>29140.59605</v>
      </c>
      <c r="AD58" s="59">
        <f t="shared" si="12"/>
        <v>5712.8978500000012</v>
      </c>
      <c r="AE58" s="58">
        <f t="shared" si="13"/>
        <v>1.2438522897652831</v>
      </c>
      <c r="AF58" s="90">
        <f t="shared" si="14"/>
        <v>-1.8661700104436534</v>
      </c>
      <c r="AG58" s="59">
        <v>27451.20033</v>
      </c>
      <c r="AH58" s="59">
        <v>27451.20033</v>
      </c>
      <c r="AI58" s="59">
        <v>1434.76872</v>
      </c>
      <c r="AJ58" s="59">
        <v>1721.7716699999999</v>
      </c>
      <c r="AK58" s="59">
        <v>30586.571739999999</v>
      </c>
      <c r="AL58" s="59">
        <v>30586.571739999999</v>
      </c>
      <c r="AM58" s="59">
        <v>4105.9420600000003</v>
      </c>
      <c r="AN58" s="59">
        <v>2980.7093</v>
      </c>
      <c r="AO58" s="59">
        <f t="shared" si="21"/>
        <v>226477.83953</v>
      </c>
      <c r="AP58" s="59">
        <f t="shared" si="22"/>
        <v>235178.64246</v>
      </c>
      <c r="AQ58" s="59">
        <f t="shared" si="15"/>
        <v>28968.40898</v>
      </c>
      <c r="AR58" s="59">
        <f t="shared" si="15"/>
        <v>33843.077019999997</v>
      </c>
    </row>
    <row r="59" spans="1:44" outlineLevel="1" x14ac:dyDescent="0.25">
      <c r="A59" s="65" t="s">
        <v>329</v>
      </c>
      <c r="B59" s="23">
        <v>16997.409059999998</v>
      </c>
      <c r="C59" s="23">
        <v>19324.953460000001</v>
      </c>
      <c r="D59" s="23">
        <v>17374.481190000002</v>
      </c>
      <c r="E59" s="23">
        <f t="shared" si="3"/>
        <v>-1950.4722699999984</v>
      </c>
      <c r="F59" s="24">
        <f t="shared" si="4"/>
        <v>0.89906975589684046</v>
      </c>
      <c r="G59" s="82">
        <f t="shared" si="5"/>
        <v>2.2184094568116706</v>
      </c>
      <c r="H59" s="23">
        <v>1531.5582400000001</v>
      </c>
      <c r="I59" s="23">
        <v>2157.9015600000002</v>
      </c>
      <c r="J59" s="23">
        <v>1125.7122199999999</v>
      </c>
      <c r="K59" s="23">
        <v>1586.23594</v>
      </c>
      <c r="L59" s="23">
        <v>787.17251999999996</v>
      </c>
      <c r="M59" s="23">
        <v>787.17251999999996</v>
      </c>
      <c r="N59" s="23">
        <f t="shared" si="6"/>
        <v>0</v>
      </c>
      <c r="O59" s="24">
        <f t="shared" si="7"/>
        <v>1</v>
      </c>
      <c r="P59" s="82">
        <f t="shared" si="8"/>
        <v>-50.37481498496372</v>
      </c>
      <c r="Q59" s="276">
        <v>19837.94168</v>
      </c>
      <c r="R59" s="276">
        <v>20401.99123</v>
      </c>
      <c r="S59" s="276">
        <v>18445.18534</v>
      </c>
      <c r="T59" s="82">
        <f t="shared" si="0"/>
        <v>-1.9568058899999996</v>
      </c>
      <c r="U59" s="23">
        <v>-1074.71658</v>
      </c>
      <c r="V59" s="23">
        <v>864.69103000000007</v>
      </c>
      <c r="W59" s="23">
        <v>160.09735999999998</v>
      </c>
      <c r="X59" s="23">
        <f t="shared" si="9"/>
        <v>-704.59367000000009</v>
      </c>
      <c r="Y59" s="24">
        <f t="shared" si="10"/>
        <v>0.18514978697072867</v>
      </c>
      <c r="Z59" s="82">
        <f>(W59/U59*100-100)*-1</f>
        <v>114.89670513876318</v>
      </c>
      <c r="AA59" s="23">
        <f>данные!S59+данные!K59</f>
        <v>1265.0763299999999</v>
      </c>
      <c r="AB59" s="23">
        <f>данные!T59+данные!L59</f>
        <v>1884.6925000000001</v>
      </c>
      <c r="AC59" s="23">
        <f>данные!U59+данные!M59</f>
        <v>1098.58277</v>
      </c>
      <c r="AD59" s="23">
        <f t="shared" si="12"/>
        <v>-786.10973000000013</v>
      </c>
      <c r="AE59" s="24">
        <f t="shared" si="13"/>
        <v>0.5828976185770357</v>
      </c>
      <c r="AF59" s="82">
        <f t="shared" si="14"/>
        <v>-13.160752126316353</v>
      </c>
      <c r="AG59" s="23">
        <v>3091.5417599999996</v>
      </c>
      <c r="AH59" s="23">
        <v>2787.9670000000001</v>
      </c>
      <c r="AI59" s="23">
        <v>194.90164000000001</v>
      </c>
      <c r="AJ59" s="23">
        <v>15.24386</v>
      </c>
      <c r="AK59" s="23">
        <v>3331.9737500000001</v>
      </c>
      <c r="AL59" s="23">
        <v>3166</v>
      </c>
      <c r="AM59" s="23">
        <v>79.180859999999996</v>
      </c>
      <c r="AN59" s="23">
        <v>113.32414</v>
      </c>
      <c r="AO59" s="23">
        <f t="shared" si="21"/>
        <v>25748.468970000002</v>
      </c>
      <c r="AP59" s="23">
        <f t="shared" si="22"/>
        <v>23328.448190000003</v>
      </c>
      <c r="AQ59" s="23">
        <f t="shared" si="15"/>
        <v>2158.7750000000001</v>
      </c>
      <c r="AR59" s="23">
        <f t="shared" si="15"/>
        <v>1227.15077</v>
      </c>
    </row>
    <row r="60" spans="1:44" outlineLevel="1" x14ac:dyDescent="0.25">
      <c r="A60" s="65" t="s">
        <v>330</v>
      </c>
      <c r="B60" s="23">
        <v>23538.07561</v>
      </c>
      <c r="C60" s="23">
        <v>24941.164210000003</v>
      </c>
      <c r="D60" s="23">
        <v>24923.625059999998</v>
      </c>
      <c r="E60" s="23">
        <f t="shared" si="3"/>
        <v>-17.539150000004156</v>
      </c>
      <c r="F60" s="24">
        <f t="shared" si="4"/>
        <v>0.9992967790175179</v>
      </c>
      <c r="G60" s="82">
        <f t="shared" si="5"/>
        <v>5.8864177044760453</v>
      </c>
      <c r="H60" s="23">
        <v>54.895669999999996</v>
      </c>
      <c r="I60" s="23">
        <v>64.225319999999996</v>
      </c>
      <c r="J60" s="23">
        <v>175.18982</v>
      </c>
      <c r="K60" s="23">
        <v>1467.8780200000001</v>
      </c>
      <c r="L60" s="23">
        <v>558.82925999999998</v>
      </c>
      <c r="M60" s="23">
        <v>473.30503999999996</v>
      </c>
      <c r="N60" s="23">
        <f t="shared" si="6"/>
        <v>-85.524220000000014</v>
      </c>
      <c r="O60" s="24">
        <f t="shared" si="7"/>
        <v>0.84695822835046253</v>
      </c>
      <c r="P60" s="82">
        <f t="shared" si="8"/>
        <v>-67.75583300852206</v>
      </c>
      <c r="Q60" s="276">
        <v>17235.493420000003</v>
      </c>
      <c r="R60" s="276">
        <v>18333.80876</v>
      </c>
      <c r="S60" s="276">
        <v>17762.938280000002</v>
      </c>
      <c r="T60" s="82">
        <f t="shared" si="0"/>
        <v>-0.57087047999999774</v>
      </c>
      <c r="U60" s="23">
        <v>5089.2707099999998</v>
      </c>
      <c r="V60" s="23">
        <v>5337.2634400000006</v>
      </c>
      <c r="W60" s="23">
        <v>5820.4714899999999</v>
      </c>
      <c r="X60" s="23">
        <f t="shared" si="9"/>
        <v>483.20804999999928</v>
      </c>
      <c r="Y60" s="24">
        <f t="shared" si="10"/>
        <v>1.0905347947374318</v>
      </c>
      <c r="Z60" s="82">
        <f t="shared" si="11"/>
        <v>14.367496281210791</v>
      </c>
      <c r="AA60" s="23">
        <f>данные!S60+данные!K60</f>
        <v>8130.8196000000007</v>
      </c>
      <c r="AB60" s="23">
        <f>данные!T60+данные!L60</f>
        <v>7950.1427000000003</v>
      </c>
      <c r="AC60" s="23">
        <f>данные!U60+данные!M60</f>
        <v>7516.5438200000008</v>
      </c>
      <c r="AD60" s="23">
        <f t="shared" si="12"/>
        <v>-433.59887999999955</v>
      </c>
      <c r="AE60" s="24">
        <f t="shared" si="13"/>
        <v>0.94546023934891132</v>
      </c>
      <c r="AF60" s="82">
        <f t="shared" si="14"/>
        <v>-7.5549060269397614</v>
      </c>
      <c r="AG60" s="23">
        <v>4439.0939600000002</v>
      </c>
      <c r="AH60" s="23">
        <v>4109.8022599999995</v>
      </c>
      <c r="AI60" s="23">
        <v>1138.6018200000001</v>
      </c>
      <c r="AJ60" s="23">
        <v>1107.06755</v>
      </c>
      <c r="AK60" s="23">
        <v>5102.6690499999995</v>
      </c>
      <c r="AL60" s="23">
        <v>5102.6690499999995</v>
      </c>
      <c r="AM60" s="23">
        <v>1541.78232</v>
      </c>
      <c r="AN60" s="23">
        <v>1542.0193100000001</v>
      </c>
      <c r="AO60" s="23">
        <f t="shared" si="21"/>
        <v>34482.927219999998</v>
      </c>
      <c r="AP60" s="23">
        <f t="shared" si="22"/>
        <v>34136.096369999999</v>
      </c>
      <c r="AQ60" s="23">
        <f t="shared" si="15"/>
        <v>10630.52684</v>
      </c>
      <c r="AR60" s="23">
        <f t="shared" si="15"/>
        <v>10165.63068</v>
      </c>
    </row>
    <row r="61" spans="1:44" outlineLevel="1" x14ac:dyDescent="0.25">
      <c r="A61" s="65" t="s">
        <v>331</v>
      </c>
      <c r="B61" s="23">
        <v>30328.938289999998</v>
      </c>
      <c r="C61" s="23">
        <v>29997.226629999997</v>
      </c>
      <c r="D61" s="23">
        <v>31095.522430000001</v>
      </c>
      <c r="E61" s="23">
        <f t="shared" si="3"/>
        <v>1098.2958000000035</v>
      </c>
      <c r="F61" s="24">
        <f t="shared" si="4"/>
        <v>1.0366132447358185</v>
      </c>
      <c r="G61" s="82">
        <f t="shared" si="5"/>
        <v>2.5275666845639506</v>
      </c>
      <c r="H61" s="23">
        <v>1063.35031</v>
      </c>
      <c r="I61" s="23">
        <v>593.52804000000003</v>
      </c>
      <c r="J61" s="23">
        <v>1059.7874899999999</v>
      </c>
      <c r="K61" s="23">
        <v>1664.79051</v>
      </c>
      <c r="L61" s="23">
        <v>1327.9628400000001</v>
      </c>
      <c r="M61" s="23">
        <v>1362.0202099999999</v>
      </c>
      <c r="N61" s="23">
        <f t="shared" si="6"/>
        <v>34.057369999999764</v>
      </c>
      <c r="O61" s="24">
        <f t="shared" si="7"/>
        <v>1.0256463275734431</v>
      </c>
      <c r="P61" s="82">
        <f t="shared" si="8"/>
        <v>-18.186690648542921</v>
      </c>
      <c r="Q61" s="276">
        <v>24825.847730000001</v>
      </c>
      <c r="R61" s="276">
        <v>25198.552179999999</v>
      </c>
      <c r="S61" s="276">
        <v>26546.304660000002</v>
      </c>
      <c r="T61" s="82">
        <f t="shared" si="0"/>
        <v>1.3477524800000029</v>
      </c>
      <c r="U61" s="23">
        <v>5203.23963</v>
      </c>
      <c r="V61" s="23">
        <v>4313.7619999999997</v>
      </c>
      <c r="W61" s="23">
        <v>4544.5037599999996</v>
      </c>
      <c r="X61" s="23">
        <f t="shared" si="9"/>
        <v>230.74175999999989</v>
      </c>
      <c r="Y61" s="24">
        <f t="shared" si="10"/>
        <v>1.0534896825555049</v>
      </c>
      <c r="Z61" s="82">
        <f t="shared" si="11"/>
        <v>-12.660110178319812</v>
      </c>
      <c r="AA61" s="23">
        <f>данные!S61+данные!K61</f>
        <v>8424.21227</v>
      </c>
      <c r="AB61" s="23">
        <f>данные!T61+данные!L61</f>
        <v>6981.3313899999994</v>
      </c>
      <c r="AC61" s="23">
        <f>данные!U61+данные!M61</f>
        <v>6996.6672500000004</v>
      </c>
      <c r="AD61" s="23">
        <f t="shared" si="12"/>
        <v>15.335860000001048</v>
      </c>
      <c r="AE61" s="24">
        <f t="shared" si="13"/>
        <v>1.0021966956076556</v>
      </c>
      <c r="AF61" s="82">
        <f t="shared" si="14"/>
        <v>-16.945738951566085</v>
      </c>
      <c r="AG61" s="23">
        <v>4549.5236299999997</v>
      </c>
      <c r="AH61" s="23">
        <v>4687</v>
      </c>
      <c r="AI61" s="23">
        <v>479.99626000000001</v>
      </c>
      <c r="AJ61" s="23">
        <v>478.65717000000001</v>
      </c>
      <c r="AK61" s="23">
        <v>5579.4462000000003</v>
      </c>
      <c r="AL61" s="23">
        <v>5021</v>
      </c>
      <c r="AM61" s="23">
        <v>1195.68334</v>
      </c>
      <c r="AN61" s="23">
        <v>409.11590000000001</v>
      </c>
      <c r="AO61" s="23">
        <f t="shared" si="21"/>
        <v>40126.196459999999</v>
      </c>
      <c r="AP61" s="23">
        <f t="shared" si="22"/>
        <v>40803.522429999997</v>
      </c>
      <c r="AQ61" s="23">
        <f t="shared" si="15"/>
        <v>8657.0109899999989</v>
      </c>
      <c r="AR61" s="23">
        <f t="shared" si="15"/>
        <v>7884.4403200000006</v>
      </c>
    </row>
    <row r="62" spans="1:44" outlineLevel="1" x14ac:dyDescent="0.25">
      <c r="A62" s="65" t="s">
        <v>332</v>
      </c>
      <c r="B62" s="23">
        <v>151363.40714</v>
      </c>
      <c r="C62" s="23">
        <v>163227.709</v>
      </c>
      <c r="D62" s="23">
        <v>171329.93281999999</v>
      </c>
      <c r="E62" s="23">
        <f t="shared" si="3"/>
        <v>8102.2238199999847</v>
      </c>
      <c r="F62" s="24">
        <f t="shared" si="4"/>
        <v>1.0496375515507601</v>
      </c>
      <c r="G62" s="82">
        <f t="shared" si="5"/>
        <v>13.191118023349219</v>
      </c>
      <c r="H62" s="23">
        <v>2463.7022099999999</v>
      </c>
      <c r="I62" s="23">
        <v>843.60821999999996</v>
      </c>
      <c r="J62" s="23">
        <v>-232.64718999999999</v>
      </c>
      <c r="K62" s="23">
        <v>13266.10274</v>
      </c>
      <c r="L62" s="23">
        <v>12184.295189999999</v>
      </c>
      <c r="M62" s="23">
        <v>12269.67777</v>
      </c>
      <c r="N62" s="23">
        <f t="shared" si="6"/>
        <v>85.382580000001326</v>
      </c>
      <c r="O62" s="24">
        <f t="shared" si="7"/>
        <v>1.0070075928618405</v>
      </c>
      <c r="P62" s="82">
        <f t="shared" si="8"/>
        <v>-7.5110602528018688</v>
      </c>
      <c r="Q62" s="276">
        <v>108004.70743000001</v>
      </c>
      <c r="R62" s="276">
        <v>118487.81737999999</v>
      </c>
      <c r="S62" s="276">
        <v>121591.66240999999</v>
      </c>
      <c r="T62" s="82">
        <f t="shared" si="0"/>
        <v>3.1038450299999969</v>
      </c>
      <c r="U62" s="23">
        <v>44002.977880000006</v>
      </c>
      <c r="V62" s="23">
        <v>36466.799869999995</v>
      </c>
      <c r="W62" s="23">
        <v>40309.597430000002</v>
      </c>
      <c r="X62" s="23">
        <f t="shared" si="9"/>
        <v>3842.7975600000063</v>
      </c>
      <c r="Y62" s="24">
        <f t="shared" si="10"/>
        <v>1.1053779759589311</v>
      </c>
      <c r="Z62" s="82">
        <f t="shared" si="11"/>
        <v>-8.3934784142840897</v>
      </c>
      <c r="AA62" s="23">
        <f>данные!S62+данные!K62</f>
        <v>65069.299220000001</v>
      </c>
      <c r="AB62" s="23">
        <f>данные!T62+данные!L62</f>
        <v>58697.359649999999</v>
      </c>
      <c r="AC62" s="23">
        <f>данные!U62+данные!M62</f>
        <v>63354.506999999998</v>
      </c>
      <c r="AD62" s="23">
        <f t="shared" si="12"/>
        <v>4657.1473499999993</v>
      </c>
      <c r="AE62" s="24">
        <f t="shared" si="13"/>
        <v>1.0793416838128596</v>
      </c>
      <c r="AF62" s="82">
        <f t="shared" si="14"/>
        <v>-2.6353322389446276</v>
      </c>
      <c r="AG62" s="23">
        <v>27675.793000000001</v>
      </c>
      <c r="AH62" s="23">
        <v>29137.109</v>
      </c>
      <c r="AI62" s="23">
        <v>7102.7424299999993</v>
      </c>
      <c r="AJ62" s="23">
        <v>4363.4552000000003</v>
      </c>
      <c r="AK62" s="23">
        <v>29401.505000000001</v>
      </c>
      <c r="AL62" s="23">
        <v>29631</v>
      </c>
      <c r="AM62" s="23">
        <v>7760.2072500000004</v>
      </c>
      <c r="AN62" s="23">
        <v>7786.06</v>
      </c>
      <c r="AO62" s="23">
        <f t="shared" si="21"/>
        <v>220305.00700000001</v>
      </c>
      <c r="AP62" s="23">
        <f t="shared" si="22"/>
        <v>230098.04181999998</v>
      </c>
      <c r="AQ62" s="23">
        <f t="shared" si="15"/>
        <v>73560.309330000004</v>
      </c>
      <c r="AR62" s="23">
        <f t="shared" si="15"/>
        <v>75504.022199999992</v>
      </c>
    </row>
    <row r="63" spans="1:44" outlineLevel="1" x14ac:dyDescent="0.25">
      <c r="A63" s="65" t="s">
        <v>333</v>
      </c>
      <c r="B63" s="23">
        <v>15869.89374</v>
      </c>
      <c r="C63" s="23">
        <v>16367.33301</v>
      </c>
      <c r="D63" s="23">
        <v>15937.828</v>
      </c>
      <c r="E63" s="23">
        <f t="shared" si="3"/>
        <v>-429.50501000000077</v>
      </c>
      <c r="F63" s="24">
        <f t="shared" si="4"/>
        <v>0.97375839975043066</v>
      </c>
      <c r="G63" s="82">
        <f t="shared" si="5"/>
        <v>0.42807003697052437</v>
      </c>
      <c r="H63" s="23">
        <v>482.53957000000003</v>
      </c>
      <c r="I63" s="23">
        <v>1286.3323799999998</v>
      </c>
      <c r="J63" s="23">
        <v>562.79294999999991</v>
      </c>
      <c r="K63" s="23">
        <v>450.44703999999996</v>
      </c>
      <c r="L63" s="23">
        <v>354.52170000000001</v>
      </c>
      <c r="M63" s="23">
        <v>354.28571999999997</v>
      </c>
      <c r="N63" s="23">
        <f t="shared" si="6"/>
        <v>-0.23598000000004049</v>
      </c>
      <c r="O63" s="24">
        <f t="shared" si="7"/>
        <v>0.99933437078745802</v>
      </c>
      <c r="P63" s="82">
        <f t="shared" si="8"/>
        <v>-21.347974669785813</v>
      </c>
      <c r="Q63" s="276">
        <v>15833.27281</v>
      </c>
      <c r="R63" s="276">
        <v>16495.813560000002</v>
      </c>
      <c r="S63" s="276">
        <v>16092.5669</v>
      </c>
      <c r="T63" s="82">
        <f t="shared" si="0"/>
        <v>-0.40324666000000253</v>
      </c>
      <c r="U63" s="23">
        <v>361.10333000000003</v>
      </c>
      <c r="V63" s="23">
        <v>926.28144999999995</v>
      </c>
      <c r="W63" s="23">
        <v>367.52931000000001</v>
      </c>
      <c r="X63" s="23">
        <f t="shared" si="9"/>
        <v>-558.75213999999994</v>
      </c>
      <c r="Y63" s="24">
        <f t="shared" si="10"/>
        <v>0.39677930503736203</v>
      </c>
      <c r="Z63" s="82">
        <f t="shared" si="11"/>
        <v>1.7795404988372638</v>
      </c>
      <c r="AA63" s="23">
        <f>данные!S63+данные!K63</f>
        <v>1014.37243</v>
      </c>
      <c r="AB63" s="23">
        <f>данные!T63+данные!L63</f>
        <v>1429.14285</v>
      </c>
      <c r="AC63" s="23">
        <f>данные!U63+данные!M63</f>
        <v>784.09307000000001</v>
      </c>
      <c r="AD63" s="23">
        <f t="shared" si="12"/>
        <v>-645.04977999999994</v>
      </c>
      <c r="AE63" s="24">
        <f t="shared" si="13"/>
        <v>0.54864569346584213</v>
      </c>
      <c r="AF63" s="82">
        <f t="shared" si="14"/>
        <v>-22.701658009376303</v>
      </c>
      <c r="AG63" s="23">
        <v>2663.51</v>
      </c>
      <c r="AH63" s="23">
        <v>2677.8817799999997</v>
      </c>
      <c r="AI63" s="23">
        <v>189.85410999999999</v>
      </c>
      <c r="AJ63" s="23">
        <v>97.171139999999994</v>
      </c>
      <c r="AK63" s="23">
        <v>2804.194</v>
      </c>
      <c r="AL63" s="23">
        <v>2844.3041499999999</v>
      </c>
      <c r="AM63" s="23">
        <v>136.71173999999999</v>
      </c>
      <c r="AN63" s="23">
        <v>67.812149999999988</v>
      </c>
      <c r="AO63" s="23">
        <f t="shared" si="21"/>
        <v>21835.03701</v>
      </c>
      <c r="AP63" s="23">
        <f t="shared" si="22"/>
        <v>21460.013929999997</v>
      </c>
      <c r="AQ63" s="23">
        <f t="shared" si="15"/>
        <v>1755.7086999999999</v>
      </c>
      <c r="AR63" s="23">
        <f t="shared" si="15"/>
        <v>949.07636000000002</v>
      </c>
    </row>
    <row r="64" spans="1:44" outlineLevel="1" x14ac:dyDescent="0.25">
      <c r="A64" s="65" t="s">
        <v>334</v>
      </c>
      <c r="B64" s="23">
        <v>59722.223239999999</v>
      </c>
      <c r="C64" s="23">
        <v>64280.222999999998</v>
      </c>
      <c r="D64" s="23">
        <v>62536.660060000002</v>
      </c>
      <c r="E64" s="23">
        <f t="shared" si="3"/>
        <v>-1743.5629399999962</v>
      </c>
      <c r="F64" s="24">
        <f t="shared" si="4"/>
        <v>0.97287559285536396</v>
      </c>
      <c r="G64" s="82">
        <f t="shared" si="5"/>
        <v>4.7125452927127185</v>
      </c>
      <c r="H64" s="23">
        <v>2024.40545</v>
      </c>
      <c r="I64" s="23">
        <v>1816.1333400000001</v>
      </c>
      <c r="J64" s="23">
        <v>3134.6394799999998</v>
      </c>
      <c r="K64" s="23">
        <v>3943.8219900000004</v>
      </c>
      <c r="L64" s="23">
        <v>1297.95264</v>
      </c>
      <c r="M64" s="23">
        <v>1328.99269</v>
      </c>
      <c r="N64" s="23">
        <f t="shared" si="6"/>
        <v>31.040050000000065</v>
      </c>
      <c r="O64" s="24">
        <f t="shared" si="7"/>
        <v>1.0239146244966226</v>
      </c>
      <c r="P64" s="82">
        <f t="shared" si="8"/>
        <v>-66.301909838481322</v>
      </c>
      <c r="Q64" s="276">
        <v>59505.601219999997</v>
      </c>
      <c r="R64" s="276">
        <v>61517.56364</v>
      </c>
      <c r="S64" s="276">
        <v>58761.153039999997</v>
      </c>
      <c r="T64" s="82">
        <f t="shared" si="0"/>
        <v>-2.7564106000000028</v>
      </c>
      <c r="U64" s="23">
        <v>2087.3971299999998</v>
      </c>
      <c r="V64" s="23">
        <v>3677.6102099999998</v>
      </c>
      <c r="W64" s="23">
        <v>5498.8818000000001</v>
      </c>
      <c r="X64" s="23">
        <f t="shared" si="9"/>
        <v>1821.2715900000003</v>
      </c>
      <c r="Y64" s="24">
        <f t="shared" si="10"/>
        <v>1.4952323617787651</v>
      </c>
      <c r="Z64" s="82">
        <f t="shared" si="11"/>
        <v>163.43246912483778</v>
      </c>
      <c r="AA64" s="23">
        <f>данные!S64+данные!K64</f>
        <v>7411.8137499999993</v>
      </c>
      <c r="AB64" s="23">
        <f>данные!T64+данные!L64</f>
        <v>6656.15049</v>
      </c>
      <c r="AC64" s="23">
        <f>данные!U64+данные!M64</f>
        <v>8136.9081499999993</v>
      </c>
      <c r="AD64" s="23">
        <f t="shared" si="12"/>
        <v>1480.7576599999993</v>
      </c>
      <c r="AE64" s="24">
        <f t="shared" si="13"/>
        <v>1.2224645705088317</v>
      </c>
      <c r="AF64" s="82">
        <f t="shared" si="14"/>
        <v>9.7829549481056546</v>
      </c>
      <c r="AG64" s="23">
        <v>11036.112999999999</v>
      </c>
      <c r="AH64" s="23">
        <v>10035.50261</v>
      </c>
      <c r="AI64" s="23">
        <v>827.32884999999999</v>
      </c>
      <c r="AJ64" s="23">
        <v>54.092160000000007</v>
      </c>
      <c r="AK64" s="23">
        <v>11596.323</v>
      </c>
      <c r="AL64" s="23">
        <v>11596.323</v>
      </c>
      <c r="AM64" s="23">
        <v>1146.6178799999998</v>
      </c>
      <c r="AN64" s="23">
        <v>56.876139999999999</v>
      </c>
      <c r="AO64" s="23">
        <f t="shared" si="21"/>
        <v>86912.659</v>
      </c>
      <c r="AP64" s="23">
        <f t="shared" si="22"/>
        <v>84168.485670000009</v>
      </c>
      <c r="AQ64" s="23">
        <f t="shared" si="15"/>
        <v>8630.0972199999997</v>
      </c>
      <c r="AR64" s="23">
        <f t="shared" si="15"/>
        <v>8247.8764499999997</v>
      </c>
    </row>
    <row r="65" spans="1:44" outlineLevel="1" x14ac:dyDescent="0.25">
      <c r="A65" s="65" t="s">
        <v>335</v>
      </c>
      <c r="B65" s="23">
        <v>42911.925159999999</v>
      </c>
      <c r="C65" s="23">
        <v>46108.319040000002</v>
      </c>
      <c r="D65" s="23">
        <v>63007.965380000001</v>
      </c>
      <c r="E65" s="23">
        <f t="shared" si="3"/>
        <v>16899.646339999999</v>
      </c>
      <c r="F65" s="24">
        <f t="shared" si="4"/>
        <v>1.3665205475250395</v>
      </c>
      <c r="G65" s="82">
        <f t="shared" si="5"/>
        <v>46.830898742180779</v>
      </c>
      <c r="H65" s="23">
        <v>-2223.4755599999999</v>
      </c>
      <c r="I65" s="23">
        <v>-663.17831999999999</v>
      </c>
      <c r="J65" s="23">
        <v>609.23090000000002</v>
      </c>
      <c r="K65" s="23">
        <v>2442.9753799999999</v>
      </c>
      <c r="L65" s="23">
        <v>913.85652000000005</v>
      </c>
      <c r="M65" s="23">
        <v>913.59431999999993</v>
      </c>
      <c r="N65" s="23">
        <f t="shared" si="6"/>
        <v>-0.26220000000012078</v>
      </c>
      <c r="O65" s="24">
        <f t="shared" si="7"/>
        <v>0.99971308406269277</v>
      </c>
      <c r="P65" s="82">
        <f t="shared" si="8"/>
        <v>-62.60321215353386</v>
      </c>
      <c r="Q65" s="276">
        <v>36285.59158</v>
      </c>
      <c r="R65" s="276">
        <v>41149.467360000002</v>
      </c>
      <c r="S65" s="276">
        <v>54732.755570000001</v>
      </c>
      <c r="T65" s="82">
        <f t="shared" si="0"/>
        <v>13.583288209999999</v>
      </c>
      <c r="U65" s="23">
        <v>3545.8212400000002</v>
      </c>
      <c r="V65" s="23">
        <v>3436.5387299999998</v>
      </c>
      <c r="W65" s="23">
        <v>7262.1610300000002</v>
      </c>
      <c r="X65" s="23">
        <f t="shared" si="9"/>
        <v>3825.6223000000005</v>
      </c>
      <c r="Y65" s="24">
        <f t="shared" si="10"/>
        <v>2.1132196086147417</v>
      </c>
      <c r="Z65" s="82">
        <f t="shared" si="11"/>
        <v>104.80900018524341</v>
      </c>
      <c r="AA65" s="23">
        <f>данные!S65+данные!K65</f>
        <v>7663.9550300000001</v>
      </c>
      <c r="AB65" s="23">
        <f>данные!T65+данные!L65</f>
        <v>5692.2163999999993</v>
      </c>
      <c r="AC65" s="23">
        <f>данные!U65+данные!M65</f>
        <v>9330.7997099999993</v>
      </c>
      <c r="AD65" s="23">
        <f t="shared" si="12"/>
        <v>3638.58331</v>
      </c>
      <c r="AE65" s="24">
        <f t="shared" si="13"/>
        <v>1.6392208332065521</v>
      </c>
      <c r="AF65" s="82">
        <f t="shared" si="14"/>
        <v>21.749144840689368</v>
      </c>
      <c r="AG65" s="23">
        <v>6777.0724800000007</v>
      </c>
      <c r="AH65" s="23">
        <v>10000</v>
      </c>
      <c r="AI65" s="23">
        <v>281.79930000000002</v>
      </c>
      <c r="AJ65" s="23">
        <v>494.52572999999995</v>
      </c>
      <c r="AK65" s="23">
        <v>8259.9965300000003</v>
      </c>
      <c r="AL65" s="23">
        <v>8259.9965300000003</v>
      </c>
      <c r="AM65" s="23">
        <v>811.11073999999996</v>
      </c>
      <c r="AN65" s="23">
        <v>11.23968</v>
      </c>
      <c r="AO65" s="23">
        <f t="shared" si="21"/>
        <v>61145.388050000009</v>
      </c>
      <c r="AP65" s="23">
        <f t="shared" si="22"/>
        <v>81267.961910000013</v>
      </c>
      <c r="AQ65" s="23">
        <f t="shared" si="15"/>
        <v>6785.1264399999991</v>
      </c>
      <c r="AR65" s="23">
        <f t="shared" si="15"/>
        <v>9836.5651199999993</v>
      </c>
    </row>
    <row r="66" spans="1:44" ht="15.75" outlineLevel="1" thickBot="1" x14ac:dyDescent="0.3">
      <c r="A66" s="66" t="s">
        <v>336</v>
      </c>
      <c r="B66" s="72">
        <v>57103.348149999998</v>
      </c>
      <c r="C66" s="72">
        <v>61695.432670000002</v>
      </c>
      <c r="D66" s="72">
        <v>66656.277499999997</v>
      </c>
      <c r="E66" s="72">
        <f t="shared" si="3"/>
        <v>4960.8448299999945</v>
      </c>
      <c r="F66" s="73">
        <f t="shared" si="4"/>
        <v>1.0804086237069581</v>
      </c>
      <c r="G66" s="92">
        <f t="shared" si="5"/>
        <v>16.729193049952528</v>
      </c>
      <c r="H66" s="72">
        <v>523.67964000000006</v>
      </c>
      <c r="I66" s="72">
        <v>742.24716000000001</v>
      </c>
      <c r="J66" s="72">
        <v>465.34395000000001</v>
      </c>
      <c r="K66" s="72">
        <v>2002.94497</v>
      </c>
      <c r="L66" s="72">
        <v>2237.4924000000001</v>
      </c>
      <c r="M66" s="72">
        <v>2237.4923399999998</v>
      </c>
      <c r="N66" s="72">
        <f t="shared" si="6"/>
        <v>-6.0000000303261913E-5</v>
      </c>
      <c r="O66" s="73">
        <f t="shared" si="7"/>
        <v>0.99999997318426637</v>
      </c>
      <c r="P66" s="92">
        <f t="shared" si="8"/>
        <v>11.710125515829816</v>
      </c>
      <c r="Q66" s="273">
        <v>42182.681840000005</v>
      </c>
      <c r="R66" s="273">
        <v>50906.188070000004</v>
      </c>
      <c r="S66" s="273">
        <v>50823.719409999998</v>
      </c>
      <c r="T66" s="92">
        <f t="shared" si="0"/>
        <v>-8.2468660000005911E-2</v>
      </c>
      <c r="U66" s="72">
        <v>12343.877189999999</v>
      </c>
      <c r="V66" s="72">
        <v>9225.1934499999988</v>
      </c>
      <c r="W66" s="72">
        <v>13073.277749999999</v>
      </c>
      <c r="X66" s="72">
        <f t="shared" si="9"/>
        <v>3848.0843000000004</v>
      </c>
      <c r="Y66" s="73">
        <f t="shared" si="10"/>
        <v>1.4171277622367908</v>
      </c>
      <c r="Z66" s="92">
        <f t="shared" si="11"/>
        <v>5.9090069414405804</v>
      </c>
      <c r="AA66" s="72">
        <f>данные!S66+данные!K66</f>
        <v>17898.086650000001</v>
      </c>
      <c r="AB66" s="72">
        <f>данные!T66+данные!L66</f>
        <v>14328.11634</v>
      </c>
      <c r="AC66" s="72">
        <f>данные!U66+данные!M66</f>
        <v>18270.038860000001</v>
      </c>
      <c r="AD66" s="72">
        <f t="shared" si="12"/>
        <v>3941.9225200000001</v>
      </c>
      <c r="AE66" s="73">
        <f t="shared" si="13"/>
        <v>1.2751179866536455</v>
      </c>
      <c r="AF66" s="92">
        <f t="shared" si="14"/>
        <v>2.0781674447866152</v>
      </c>
      <c r="AG66" s="72">
        <v>9110.9259999999995</v>
      </c>
      <c r="AH66" s="72">
        <v>9110.9259999999995</v>
      </c>
      <c r="AI66" s="72">
        <v>708.96093999999994</v>
      </c>
      <c r="AJ66" s="72">
        <v>576.02152000000001</v>
      </c>
      <c r="AK66" s="72">
        <v>10711.766</v>
      </c>
      <c r="AL66" s="72">
        <v>10711.766</v>
      </c>
      <c r="AM66" s="72">
        <v>2327.5373</v>
      </c>
      <c r="AN66" s="72">
        <v>1561.9559099999999</v>
      </c>
      <c r="AO66" s="72">
        <f t="shared" si="21"/>
        <v>81518.124670000005</v>
      </c>
      <c r="AP66" s="72">
        <f t="shared" si="22"/>
        <v>86478.969500000007</v>
      </c>
      <c r="AQ66" s="72">
        <f t="shared" si="15"/>
        <v>17364.614580000001</v>
      </c>
      <c r="AR66" s="72">
        <f t="shared" si="15"/>
        <v>20408.01629</v>
      </c>
    </row>
    <row r="67" spans="1:44" ht="15.75" thickBot="1" x14ac:dyDescent="0.3">
      <c r="A67" s="61" t="s">
        <v>337</v>
      </c>
      <c r="B67" s="74">
        <v>471200.97873000003</v>
      </c>
      <c r="C67" s="74">
        <v>497512.61700999999</v>
      </c>
      <c r="D67" s="74">
        <v>484696.80926999997</v>
      </c>
      <c r="E67" s="75">
        <f t="shared" si="3"/>
        <v>-12815.807740000018</v>
      </c>
      <c r="F67" s="76">
        <f t="shared" si="4"/>
        <v>0.97424023572101204</v>
      </c>
      <c r="G67" s="77">
        <f t="shared" si="5"/>
        <v>2.8641346578639286</v>
      </c>
      <c r="H67" s="74">
        <v>5680.8636699999997</v>
      </c>
      <c r="I67" s="74">
        <v>4202.1196799999998</v>
      </c>
      <c r="J67" s="74">
        <v>1014.9804</v>
      </c>
      <c r="K67" s="74">
        <v>30564.418399999999</v>
      </c>
      <c r="L67" s="74">
        <v>25833.171050000001</v>
      </c>
      <c r="M67" s="74">
        <v>25809.806960000002</v>
      </c>
      <c r="N67" s="75">
        <f t="shared" si="6"/>
        <v>-23.364089999999123</v>
      </c>
      <c r="O67" s="76">
        <f t="shared" si="7"/>
        <v>0.99909557793138215</v>
      </c>
      <c r="P67" s="77">
        <f t="shared" si="8"/>
        <v>-15.556034398482126</v>
      </c>
      <c r="Q67" s="274">
        <v>477015.66291000001</v>
      </c>
      <c r="R67" s="274">
        <v>505592.86298999999</v>
      </c>
      <c r="S67" s="274">
        <v>495877.54461000004</v>
      </c>
      <c r="T67" s="100">
        <f t="shared" si="0"/>
        <v>-9.7153183799999532</v>
      </c>
      <c r="U67" s="74">
        <v>-78.781259999999989</v>
      </c>
      <c r="V67" s="74">
        <v>-3101.7811099999999</v>
      </c>
      <c r="W67" s="74">
        <v>-8013.36157</v>
      </c>
      <c r="X67" s="75">
        <f t="shared" si="9"/>
        <v>-4911.5804600000001</v>
      </c>
      <c r="Y67" s="76">
        <f t="shared" si="10"/>
        <v>2.5834710077269123</v>
      </c>
      <c r="Z67" s="90">
        <f>(W67/U67*100-100)*-1</f>
        <v>-10071.659567262572</v>
      </c>
      <c r="AA67" s="74">
        <f>данные!S67+данные!K67</f>
        <v>47312.598030000001</v>
      </c>
      <c r="AB67" s="74">
        <f>данные!T67+данные!L67</f>
        <v>41387.9015</v>
      </c>
      <c r="AC67" s="74">
        <f>данные!U67+данные!M67</f>
        <v>27677.171719999998</v>
      </c>
      <c r="AD67" s="75">
        <f t="shared" si="12"/>
        <v>-13710.729780000001</v>
      </c>
      <c r="AE67" s="76">
        <f t="shared" si="13"/>
        <v>0.66872614259024465</v>
      </c>
      <c r="AF67" s="90">
        <f t="shared" si="14"/>
        <v>-41.501475563759058</v>
      </c>
      <c r="AG67" s="74">
        <v>82882.051390000008</v>
      </c>
      <c r="AH67" s="74">
        <v>74795.06753</v>
      </c>
      <c r="AI67" s="74">
        <v>67.697419999999994</v>
      </c>
      <c r="AJ67" s="74">
        <v>-2849.9001899999998</v>
      </c>
      <c r="AK67" s="74">
        <v>99333.925959999993</v>
      </c>
      <c r="AL67" s="74">
        <v>93307.02953</v>
      </c>
      <c r="AM67" s="74">
        <v>10665.997429999999</v>
      </c>
      <c r="AN67" s="74">
        <v>8878.4918300000008</v>
      </c>
      <c r="AO67" s="74">
        <f t="shared" si="21"/>
        <v>679728.59435999999</v>
      </c>
      <c r="AP67" s="74">
        <f t="shared" si="22"/>
        <v>652798.90632999991</v>
      </c>
      <c r="AQ67" s="74">
        <f t="shared" si="15"/>
        <v>52121.596349999993</v>
      </c>
      <c r="AR67" s="74">
        <f t="shared" si="15"/>
        <v>33705.763359999997</v>
      </c>
    </row>
    <row r="68" spans="1:44" outlineLevel="1" x14ac:dyDescent="0.25">
      <c r="A68" s="64" t="s">
        <v>338</v>
      </c>
      <c r="B68" s="59">
        <v>94513.824599999993</v>
      </c>
      <c r="C68" s="59">
        <v>96011.899000000005</v>
      </c>
      <c r="D68" s="59">
        <v>92935.049299999999</v>
      </c>
      <c r="E68" s="59">
        <f t="shared" si="3"/>
        <v>-3076.8497000000061</v>
      </c>
      <c r="F68" s="58">
        <f t="shared" si="4"/>
        <v>0.96795345439423075</v>
      </c>
      <c r="G68" s="90">
        <f t="shared" si="5"/>
        <v>-1.6704173243244185</v>
      </c>
      <c r="H68" s="59">
        <v>728.11568999999997</v>
      </c>
      <c r="I68" s="59">
        <v>-516.07626000000005</v>
      </c>
      <c r="J68" s="59">
        <v>3219.4056299999997</v>
      </c>
      <c r="K68" s="59">
        <v>9085.8755700000002</v>
      </c>
      <c r="L68" s="59">
        <v>6267.3549599999997</v>
      </c>
      <c r="M68" s="59">
        <v>6376.5652800000007</v>
      </c>
      <c r="N68" s="59">
        <f t="shared" si="6"/>
        <v>109.21032000000105</v>
      </c>
      <c r="O68" s="58">
        <f t="shared" si="7"/>
        <v>1.0174252648361248</v>
      </c>
      <c r="P68" s="90">
        <f t="shared" si="8"/>
        <v>-29.818923549268888</v>
      </c>
      <c r="Q68" s="275">
        <v>100609.11022</v>
      </c>
      <c r="R68" s="275">
        <v>102764.07028</v>
      </c>
      <c r="S68" s="275">
        <v>99948.887470000001</v>
      </c>
      <c r="T68" s="90">
        <f t="shared" si="0"/>
        <v>-2.8151828099999983</v>
      </c>
      <c r="U68" s="59">
        <v>-3806.8187799999996</v>
      </c>
      <c r="V68" s="59">
        <v>-5814.5979699999998</v>
      </c>
      <c r="W68" s="59">
        <v>-3440.5209599999998</v>
      </c>
      <c r="X68" s="59">
        <f t="shared" si="9"/>
        <v>2374.07701</v>
      </c>
      <c r="Y68" s="58">
        <f t="shared" si="10"/>
        <v>0.5917040142329909</v>
      </c>
      <c r="Z68" s="90">
        <f>(W68/U68*100-100)*-1</f>
        <v>9.6221501775821281</v>
      </c>
      <c r="AA68" s="59">
        <f>данные!S68+данные!K68</f>
        <v>7823.7841600000011</v>
      </c>
      <c r="AB68" s="59">
        <f>данные!T68+данные!L68</f>
        <v>2623.7800000000007</v>
      </c>
      <c r="AC68" s="59">
        <f>данные!U68+данные!M68</f>
        <v>5322.3185900000008</v>
      </c>
      <c r="AD68" s="59">
        <f t="shared" si="12"/>
        <v>2698.5385900000001</v>
      </c>
      <c r="AE68" s="58">
        <f t="shared" si="13"/>
        <v>2.0284927051810744</v>
      </c>
      <c r="AF68" s="90">
        <f t="shared" si="14"/>
        <v>-31.972578982802617</v>
      </c>
      <c r="AG68" s="59">
        <v>15240.726000000001</v>
      </c>
      <c r="AH68" s="59">
        <v>14008.352999999999</v>
      </c>
      <c r="AI68" s="59">
        <v>-1546.9338500000001</v>
      </c>
      <c r="AJ68" s="59">
        <v>-920.47050000000002</v>
      </c>
      <c r="AK68" s="59">
        <v>17395.432000000001</v>
      </c>
      <c r="AL68" s="59">
        <v>16628.352999999999</v>
      </c>
      <c r="AM68" s="59">
        <v>-41.482939999999999</v>
      </c>
      <c r="AN68" s="59">
        <v>500.39096000000001</v>
      </c>
      <c r="AO68" s="59">
        <f t="shared" si="21"/>
        <v>128648.057</v>
      </c>
      <c r="AP68" s="59">
        <f t="shared" si="22"/>
        <v>123571.7553</v>
      </c>
      <c r="AQ68" s="59">
        <f t="shared" si="15"/>
        <v>1035.3632100000004</v>
      </c>
      <c r="AR68" s="59">
        <f t="shared" si="15"/>
        <v>4902.2390500000001</v>
      </c>
    </row>
    <row r="69" spans="1:44" outlineLevel="1" x14ac:dyDescent="0.25">
      <c r="A69" s="65" t="s">
        <v>339</v>
      </c>
      <c r="B69" s="23">
        <v>28985.21632</v>
      </c>
      <c r="C69" s="23">
        <v>32447.979930000001</v>
      </c>
      <c r="D69" s="23">
        <v>30868.456559999999</v>
      </c>
      <c r="E69" s="23">
        <f t="shared" si="3"/>
        <v>-1579.5233700000026</v>
      </c>
      <c r="F69" s="24">
        <f t="shared" si="4"/>
        <v>0.95132136504622145</v>
      </c>
      <c r="G69" s="82">
        <f t="shared" si="5"/>
        <v>6.4972440405785363</v>
      </c>
      <c r="H69" s="23">
        <v>174.98357000000001</v>
      </c>
      <c r="I69" s="23">
        <v>431.31647999999996</v>
      </c>
      <c r="J69" s="23">
        <v>470.90403000000003</v>
      </c>
      <c r="K69" s="23">
        <v>2457.3490400000001</v>
      </c>
      <c r="L69" s="23">
        <v>1724.3955900000001</v>
      </c>
      <c r="M69" s="23">
        <v>1769.2971299999999</v>
      </c>
      <c r="N69" s="23">
        <f t="shared" si="6"/>
        <v>44.901539999999841</v>
      </c>
      <c r="O69" s="24">
        <f t="shared" si="7"/>
        <v>1.026039001874274</v>
      </c>
      <c r="P69" s="82">
        <f t="shared" si="8"/>
        <v>-27.999763110575458</v>
      </c>
      <c r="Q69" s="276">
        <v>31206.746170000002</v>
      </c>
      <c r="R69" s="276">
        <v>34207.608469999999</v>
      </c>
      <c r="S69" s="276">
        <v>33164.874429999996</v>
      </c>
      <c r="T69" s="82">
        <f t="shared" si="0"/>
        <v>-1.0427340400000029</v>
      </c>
      <c r="U69" s="23">
        <v>-1638.9261200000001</v>
      </c>
      <c r="V69" s="23">
        <v>-1062.64969</v>
      </c>
      <c r="W69" s="23">
        <v>-1477.10853</v>
      </c>
      <c r="X69" s="23">
        <f t="shared" si="9"/>
        <v>-414.45884000000001</v>
      </c>
      <c r="Y69" s="24">
        <f t="shared" si="10"/>
        <v>1.3900239598244273</v>
      </c>
      <c r="Z69" s="90">
        <f>(W69/U69*100-100)*-1</f>
        <v>9.8733913643404492</v>
      </c>
      <c r="AA69" s="23">
        <f>данные!S69+данные!K69</f>
        <v>1257.7048399999999</v>
      </c>
      <c r="AB69" s="23">
        <f>данные!T69+данные!L69</f>
        <v>873.86496000000011</v>
      </c>
      <c r="AC69" s="23">
        <f>данные!U69+данные!M69</f>
        <v>420.35633000000007</v>
      </c>
      <c r="AD69" s="23">
        <f t="shared" si="12"/>
        <v>-453.50863000000004</v>
      </c>
      <c r="AE69" s="24">
        <f t="shared" si="13"/>
        <v>0.48103122249002866</v>
      </c>
      <c r="AF69" s="90">
        <f t="shared" si="14"/>
        <v>-66.577505577540748</v>
      </c>
      <c r="AG69" s="23">
        <v>5107.3299900000002</v>
      </c>
      <c r="AH69" s="23">
        <v>4900</v>
      </c>
      <c r="AI69" s="23">
        <v>-72.184339999999992</v>
      </c>
      <c r="AJ69" s="23">
        <v>-209.65199999999999</v>
      </c>
      <c r="AK69" s="23">
        <v>6607.3300099999997</v>
      </c>
      <c r="AL69" s="23">
        <v>6000</v>
      </c>
      <c r="AM69" s="23">
        <v>972.92994999999996</v>
      </c>
      <c r="AN69" s="23">
        <v>953.3048</v>
      </c>
      <c r="AO69" s="23">
        <f t="shared" si="21"/>
        <v>44162.639929999998</v>
      </c>
      <c r="AP69" s="23">
        <f t="shared" si="22"/>
        <v>41768.456559999999</v>
      </c>
      <c r="AQ69" s="23">
        <f t="shared" si="15"/>
        <v>1774.6105700000001</v>
      </c>
      <c r="AR69" s="23">
        <f t="shared" si="15"/>
        <v>1164.0091300000001</v>
      </c>
    </row>
    <row r="70" spans="1:44" outlineLevel="1" x14ac:dyDescent="0.25">
      <c r="A70" s="65" t="s">
        <v>340</v>
      </c>
      <c r="B70" s="23">
        <v>53557.488560000005</v>
      </c>
      <c r="C70" s="23">
        <v>50298.125</v>
      </c>
      <c r="D70" s="23">
        <v>45159.643659999994</v>
      </c>
      <c r="E70" s="23">
        <f t="shared" si="3"/>
        <v>-5138.4813400000057</v>
      </c>
      <c r="F70" s="24">
        <f t="shared" si="4"/>
        <v>0.89783950515053979</v>
      </c>
      <c r="G70" s="82">
        <f t="shared" si="5"/>
        <v>-15.680057309991255</v>
      </c>
      <c r="H70" s="23">
        <v>-1243.33779</v>
      </c>
      <c r="I70" s="23">
        <v>-473.48485999999997</v>
      </c>
      <c r="J70" s="23">
        <v>-449.25271999999995</v>
      </c>
      <c r="K70" s="23">
        <v>2069.26703</v>
      </c>
      <c r="L70" s="23">
        <v>3367.1833500000002</v>
      </c>
      <c r="M70" s="23">
        <v>2962.19857</v>
      </c>
      <c r="N70" s="23">
        <f t="shared" si="6"/>
        <v>-404.98478000000023</v>
      </c>
      <c r="O70" s="24">
        <f t="shared" si="7"/>
        <v>0.87972594958335126</v>
      </c>
      <c r="P70" s="82">
        <f t="shared" si="8"/>
        <v>43.152069165283137</v>
      </c>
      <c r="Q70" s="276">
        <v>50537.37601</v>
      </c>
      <c r="R70" s="276">
        <v>51217.982819999997</v>
      </c>
      <c r="S70" s="276">
        <v>47989.93518</v>
      </c>
      <c r="T70" s="82">
        <f t="shared" ref="T70:T95" si="23">(S70-R70)/1000</f>
        <v>-3.2280476399999971</v>
      </c>
      <c r="U70" s="23">
        <v>1331.37246</v>
      </c>
      <c r="V70" s="23">
        <v>-1114.67417</v>
      </c>
      <c r="W70" s="23">
        <v>-2369.2787699999999</v>
      </c>
      <c r="X70" s="23">
        <f t="shared" si="9"/>
        <v>-1254.6045999999999</v>
      </c>
      <c r="Y70" s="24">
        <f t="shared" si="10"/>
        <v>2.125534827814302</v>
      </c>
      <c r="Z70" s="90">
        <f t="shared" si="11"/>
        <v>-277.95762201660682</v>
      </c>
      <c r="AA70" s="23">
        <f>данные!S70+данные!K70</f>
        <v>6602.5589099999997</v>
      </c>
      <c r="AB70" s="23">
        <f>данные!T70+данные!L70</f>
        <v>5150.8335500000003</v>
      </c>
      <c r="AC70" s="23">
        <f>данные!U70+данные!M70</f>
        <v>2333.8644299999996</v>
      </c>
      <c r="AD70" s="23">
        <f t="shared" si="12"/>
        <v>-2816.9691200000007</v>
      </c>
      <c r="AE70" s="24">
        <f t="shared" si="13"/>
        <v>0.45310422232533598</v>
      </c>
      <c r="AF70" s="90">
        <f t="shared" si="14"/>
        <v>-64.652122581364438</v>
      </c>
      <c r="AG70" s="23">
        <v>7786.7359999999999</v>
      </c>
      <c r="AH70" s="23">
        <v>6434.6</v>
      </c>
      <c r="AI70" s="23">
        <v>-160.77564000000001</v>
      </c>
      <c r="AJ70" s="23">
        <v>-1495.0633</v>
      </c>
      <c r="AK70" s="23">
        <v>10187.315000000001</v>
      </c>
      <c r="AL70" s="23">
        <v>8883.73</v>
      </c>
      <c r="AM70" s="23">
        <v>1234.09887</v>
      </c>
      <c r="AN70" s="23">
        <v>369.08057000000002</v>
      </c>
      <c r="AO70" s="23">
        <f t="shared" si="21"/>
        <v>68272.175999999992</v>
      </c>
      <c r="AP70" s="23">
        <f t="shared" si="22"/>
        <v>60477.973659999989</v>
      </c>
      <c r="AQ70" s="23">
        <f t="shared" si="15"/>
        <v>6224.1567800000003</v>
      </c>
      <c r="AR70" s="23">
        <f t="shared" si="15"/>
        <v>1207.8816999999997</v>
      </c>
    </row>
    <row r="71" spans="1:44" outlineLevel="1" x14ac:dyDescent="0.25">
      <c r="A71" s="65" t="s">
        <v>341</v>
      </c>
      <c r="B71" s="23">
        <v>51285.260499999997</v>
      </c>
      <c r="C71" s="23">
        <v>62652.21</v>
      </c>
      <c r="D71" s="23">
        <v>66564.921350000004</v>
      </c>
      <c r="E71" s="23">
        <f t="shared" ref="E71:E95" si="24">(D71-C71)</f>
        <v>3912.711350000005</v>
      </c>
      <c r="F71" s="24">
        <f t="shared" ref="F71:F95" si="25">(IFERROR(D71/C71,0))</f>
        <v>1.0624512902258356</v>
      </c>
      <c r="G71" s="82">
        <f t="shared" ref="G71:G95" si="26">(D71/B71*100-100)</f>
        <v>29.793474189333637</v>
      </c>
      <c r="H71" s="23">
        <v>3993.0198799999998</v>
      </c>
      <c r="I71" s="23">
        <v>1156.07258</v>
      </c>
      <c r="J71" s="23">
        <v>-212.49115</v>
      </c>
      <c r="K71" s="23">
        <v>4754.9251599999998</v>
      </c>
      <c r="L71" s="23">
        <v>4660.9550599999993</v>
      </c>
      <c r="M71" s="23">
        <v>4570.6669400000001</v>
      </c>
      <c r="N71" s="23">
        <f t="shared" ref="N71:N87" si="27">(M71-L71)</f>
        <v>-90.288119999999253</v>
      </c>
      <c r="O71" s="24">
        <f t="shared" ref="O71:O87" si="28">(IFERROR(M71/L71,0))</f>
        <v>0.98062883704353943</v>
      </c>
      <c r="P71" s="82">
        <f t="shared" ref="P71:P87" si="29">(M71/K71*100-100)</f>
        <v>-3.8751024211703822</v>
      </c>
      <c r="Q71" s="276">
        <v>59079.337460000002</v>
      </c>
      <c r="R71" s="276">
        <v>65787.475149999998</v>
      </c>
      <c r="S71" s="276">
        <v>68722.415480000011</v>
      </c>
      <c r="T71" s="82">
        <f t="shared" si="23"/>
        <v>2.9349403300000123</v>
      </c>
      <c r="U71" s="23">
        <v>-3100.8910900000001</v>
      </c>
      <c r="V71" s="23">
        <v>-1583.3540500000001</v>
      </c>
      <c r="W71" s="23">
        <v>-1737.94292</v>
      </c>
      <c r="X71" s="23">
        <f t="shared" si="9"/>
        <v>-154.58886999999982</v>
      </c>
      <c r="Y71" s="24">
        <f t="shared" si="10"/>
        <v>1.0976337983283018</v>
      </c>
      <c r="Z71" s="90">
        <f>(W71/U71*100-100)*-1</f>
        <v>43.953435655813379</v>
      </c>
      <c r="AA71" s="23">
        <f>данные!S71+данные!K71</f>
        <v>3131.4909199999997</v>
      </c>
      <c r="AB71" s="23">
        <f>данные!T71+данные!L71</f>
        <v>6830.2692199999992</v>
      </c>
      <c r="AC71" s="23">
        <f>данные!U71+данные!M71</f>
        <v>3865.1301800000001</v>
      </c>
      <c r="AD71" s="23">
        <f t="shared" si="12"/>
        <v>-2965.1390399999991</v>
      </c>
      <c r="AE71" s="24">
        <f t="shared" si="13"/>
        <v>0.56588255243034191</v>
      </c>
      <c r="AF71" s="90">
        <f t="shared" ref="AF71:AF87" si="30">(AC71/AA71*100-100)</f>
        <v>23.427794579075467</v>
      </c>
      <c r="AG71" s="23">
        <v>10469.032999999999</v>
      </c>
      <c r="AH71" s="23">
        <v>8542.0830000000005</v>
      </c>
      <c r="AI71" s="23">
        <v>-407.31383</v>
      </c>
      <c r="AJ71" s="23">
        <v>-1161.93976</v>
      </c>
      <c r="AK71" s="23">
        <v>13633.9</v>
      </c>
      <c r="AL71" s="23">
        <v>11550</v>
      </c>
      <c r="AM71" s="23">
        <v>2005.0284299999998</v>
      </c>
      <c r="AN71" s="23">
        <v>1373.7883300000001</v>
      </c>
      <c r="AO71" s="23">
        <f t="shared" si="21"/>
        <v>86755.142999999996</v>
      </c>
      <c r="AP71" s="23">
        <f t="shared" si="22"/>
        <v>86657.004350000003</v>
      </c>
      <c r="AQ71" s="23">
        <f t="shared" si="15"/>
        <v>8427.9838199999995</v>
      </c>
      <c r="AR71" s="23">
        <f t="shared" si="15"/>
        <v>4076.9787500000002</v>
      </c>
    </row>
    <row r="72" spans="1:44" outlineLevel="1" x14ac:dyDescent="0.25">
      <c r="A72" s="65" t="s">
        <v>342</v>
      </c>
      <c r="B72" s="23">
        <v>30414.897809999999</v>
      </c>
      <c r="C72" s="23">
        <v>33163.723899999997</v>
      </c>
      <c r="D72" s="23">
        <v>26250.489829999999</v>
      </c>
      <c r="E72" s="23">
        <f t="shared" si="24"/>
        <v>-6913.2340699999986</v>
      </c>
      <c r="F72" s="24">
        <f t="shared" si="25"/>
        <v>0.79154228605792976</v>
      </c>
      <c r="G72" s="82">
        <f t="shared" si="26"/>
        <v>-13.692000565034945</v>
      </c>
      <c r="H72" s="23">
        <v>838.85351000000003</v>
      </c>
      <c r="I72" s="23">
        <v>818.67114000000004</v>
      </c>
      <c r="J72" s="23">
        <v>1648.15374</v>
      </c>
      <c r="K72" s="23">
        <v>2248.4674300000001</v>
      </c>
      <c r="L72" s="23">
        <v>1520.4756599999998</v>
      </c>
      <c r="M72" s="23">
        <v>1608.25837</v>
      </c>
      <c r="N72" s="23">
        <f t="shared" si="27"/>
        <v>87.782710000000179</v>
      </c>
      <c r="O72" s="24">
        <f t="shared" si="28"/>
        <v>1.0577337160398872</v>
      </c>
      <c r="P72" s="82">
        <f t="shared" si="29"/>
        <v>-28.473130251212936</v>
      </c>
      <c r="Q72" s="276">
        <v>35429.974829999999</v>
      </c>
      <c r="R72" s="276">
        <v>37098.447460000003</v>
      </c>
      <c r="S72" s="276">
        <v>33363.273789999999</v>
      </c>
      <c r="T72" s="82">
        <f t="shared" si="23"/>
        <v>-3.7351736700000036</v>
      </c>
      <c r="U72" s="23">
        <v>-3614.04369</v>
      </c>
      <c r="V72" s="23">
        <v>-2492.8419700000004</v>
      </c>
      <c r="W72" s="23">
        <v>-4303.4355599999999</v>
      </c>
      <c r="X72" s="23">
        <f t="shared" si="9"/>
        <v>-1810.5935899999995</v>
      </c>
      <c r="Y72" s="24">
        <f t="shared" si="10"/>
        <v>1.7263170356522837</v>
      </c>
      <c r="Z72" s="90">
        <f>(W72/U72*100-100)*-1</f>
        <v>-19.075360707662043</v>
      </c>
      <c r="AA72" s="23">
        <f>данные!S72+данные!K72</f>
        <v>-1120.7231099999999</v>
      </c>
      <c r="AB72" s="23">
        <f>данные!T72+данные!L72</f>
        <v>388.39670999999998</v>
      </c>
      <c r="AC72" s="23">
        <f>данные!U72+данные!M72</f>
        <v>-2163.5039000000002</v>
      </c>
      <c r="AD72" s="23">
        <f t="shared" si="12"/>
        <v>-2551.9006100000001</v>
      </c>
      <c r="AE72" s="24">
        <f t="shared" si="13"/>
        <v>-5.5703455881487773</v>
      </c>
      <c r="AF72" s="90">
        <f>(AC72/AA72*100-100)*-1</f>
        <v>-93.045354440848485</v>
      </c>
      <c r="AG72" s="23">
        <v>4670.8983499999995</v>
      </c>
      <c r="AH72" s="23">
        <v>3865</v>
      </c>
      <c r="AI72" s="23">
        <v>-844.14979000000005</v>
      </c>
      <c r="AJ72" s="23">
        <v>-930.68959999999993</v>
      </c>
      <c r="AK72" s="23">
        <v>7212.0907500000003</v>
      </c>
      <c r="AL72" s="23">
        <v>4970</v>
      </c>
      <c r="AM72" s="23">
        <v>1253.3108400000001</v>
      </c>
      <c r="AN72" s="23">
        <v>-127.82524000000001</v>
      </c>
      <c r="AO72" s="23">
        <f t="shared" si="21"/>
        <v>45046.713000000003</v>
      </c>
      <c r="AP72" s="23">
        <f t="shared" si="22"/>
        <v>35085.489829999999</v>
      </c>
      <c r="AQ72" s="23">
        <f t="shared" si="15"/>
        <v>797.55776000000003</v>
      </c>
      <c r="AR72" s="23">
        <f t="shared" si="15"/>
        <v>-3222.0187400000004</v>
      </c>
    </row>
    <row r="73" spans="1:44" outlineLevel="1" x14ac:dyDescent="0.25">
      <c r="A73" s="65" t="s">
        <v>343</v>
      </c>
      <c r="B73" s="23">
        <v>113386.14507</v>
      </c>
      <c r="C73" s="23">
        <v>120623.74378</v>
      </c>
      <c r="D73" s="23">
        <v>116958.73301000001</v>
      </c>
      <c r="E73" s="23">
        <f t="shared" si="24"/>
        <v>-3665.0107699999935</v>
      </c>
      <c r="F73" s="24">
        <f t="shared" si="25"/>
        <v>0.96961617460087768</v>
      </c>
      <c r="G73" s="82">
        <f t="shared" si="26"/>
        <v>3.1508152409577548</v>
      </c>
      <c r="H73" s="23">
        <v>1611.24108</v>
      </c>
      <c r="I73" s="23">
        <v>1764.6315</v>
      </c>
      <c r="J73" s="23">
        <v>-1487.2905499999999</v>
      </c>
      <c r="K73" s="23">
        <v>2925.0542</v>
      </c>
      <c r="L73" s="23">
        <v>2378.6012700000001</v>
      </c>
      <c r="M73" s="23">
        <v>2515.2093399999999</v>
      </c>
      <c r="N73" s="23">
        <f t="shared" si="27"/>
        <v>136.60806999999977</v>
      </c>
      <c r="O73" s="24">
        <f t="shared" si="28"/>
        <v>1.0574321016821788</v>
      </c>
      <c r="P73" s="82">
        <f t="shared" si="29"/>
        <v>-14.011530453008362</v>
      </c>
      <c r="Q73" s="276">
        <v>97027.314060000004</v>
      </c>
      <c r="R73" s="276">
        <v>105411.17224</v>
      </c>
      <c r="S73" s="276">
        <v>98460.694409999996</v>
      </c>
      <c r="T73" s="82">
        <f t="shared" si="23"/>
        <v>-6.9504778300000032</v>
      </c>
      <c r="U73" s="23">
        <v>14405.83244</v>
      </c>
      <c r="V73" s="23">
        <v>13582.48244</v>
      </c>
      <c r="W73" s="23">
        <v>13582.889880000001</v>
      </c>
      <c r="X73" s="23">
        <f t="shared" ref="X73:X95" si="31">W73-V73</f>
        <v>0.40744000000086089</v>
      </c>
      <c r="Y73" s="24">
        <f t="shared" ref="Y73:Y95" si="32">IFERROR(W73/V73,0)</f>
        <v>1.0000299974619369</v>
      </c>
      <c r="Z73" s="82">
        <f t="shared" ref="Z73:Z82" si="33">(W73/U73*100-100)</f>
        <v>-5.7125651254624756</v>
      </c>
      <c r="AA73" s="23">
        <f>данные!S73+данные!K73</f>
        <v>23582.191070000001</v>
      </c>
      <c r="AB73" s="23">
        <f>данные!T73+данные!L73</f>
        <v>20639.398249999998</v>
      </c>
      <c r="AC73" s="23">
        <f>данные!U73+данные!M73</f>
        <v>19075.38435</v>
      </c>
      <c r="AD73" s="23">
        <f t="shared" ref="AD73:AD95" si="34">AC73-AB73</f>
        <v>-1564.0138999999981</v>
      </c>
      <c r="AE73" s="24">
        <f t="shared" ref="AE73:AE95" si="35">IFERROR(AC73/AB73,0)</f>
        <v>0.92422192347589405</v>
      </c>
      <c r="AF73" s="82">
        <f t="shared" si="30"/>
        <v>-19.111060149679304</v>
      </c>
      <c r="AG73" s="23">
        <v>21756.222850000002</v>
      </c>
      <c r="AH73" s="23">
        <v>20685</v>
      </c>
      <c r="AI73" s="23">
        <v>4065.24179</v>
      </c>
      <c r="AJ73" s="23">
        <v>3328.6944199999998</v>
      </c>
      <c r="AK73" s="23">
        <v>23440.274000000001</v>
      </c>
      <c r="AL73" s="23">
        <v>22296</v>
      </c>
      <c r="AM73" s="23">
        <v>3518.8970800000002</v>
      </c>
      <c r="AN73" s="23">
        <v>2633.3846899999999</v>
      </c>
      <c r="AO73" s="23">
        <f t="shared" si="21"/>
        <v>165820.24063000001</v>
      </c>
      <c r="AP73" s="23">
        <f t="shared" si="22"/>
        <v>159939.73301000003</v>
      </c>
      <c r="AQ73" s="23">
        <f t="shared" ref="AQ73:AR95" si="36">AB73+AI73+AM73</f>
        <v>28223.537119999997</v>
      </c>
      <c r="AR73" s="23">
        <f t="shared" si="36"/>
        <v>25037.463459999999</v>
      </c>
    </row>
    <row r="74" spans="1:44" outlineLevel="1" x14ac:dyDescent="0.25">
      <c r="A74" s="65" t="s">
        <v>344</v>
      </c>
      <c r="B74" s="23">
        <v>39644.823810000002</v>
      </c>
      <c r="C74" s="23">
        <v>35967.851999999999</v>
      </c>
      <c r="D74" s="23">
        <v>37378.902259999995</v>
      </c>
      <c r="E74" s="23">
        <f t="shared" si="24"/>
        <v>1411.0502599999963</v>
      </c>
      <c r="F74" s="24">
        <f t="shared" si="25"/>
        <v>1.0392308737257925</v>
      </c>
      <c r="G74" s="82">
        <f t="shared" si="26"/>
        <v>-5.7155545976432194</v>
      </c>
      <c r="H74" s="23">
        <v>201.71047000000002</v>
      </c>
      <c r="I74" s="23">
        <v>547.13406000000009</v>
      </c>
      <c r="J74" s="23">
        <v>-538.67819999999995</v>
      </c>
      <c r="K74" s="23">
        <v>1760.93229</v>
      </c>
      <c r="L74" s="23">
        <v>1563.1714199999999</v>
      </c>
      <c r="M74" s="23">
        <v>1575.00459</v>
      </c>
      <c r="N74" s="23">
        <f t="shared" si="27"/>
        <v>11.833170000000109</v>
      </c>
      <c r="O74" s="24">
        <f t="shared" si="28"/>
        <v>1.0075699759147336</v>
      </c>
      <c r="P74" s="82">
        <f t="shared" si="29"/>
        <v>-10.558480928304164</v>
      </c>
      <c r="Q74" s="276">
        <v>31295.678390000001</v>
      </c>
      <c r="R74" s="276">
        <v>31417.654629999997</v>
      </c>
      <c r="S74" s="276">
        <v>30803.479239999997</v>
      </c>
      <c r="T74" s="82">
        <f t="shared" si="23"/>
        <v>-0.61417539000000032</v>
      </c>
      <c r="U74" s="23">
        <v>6951.1730499999994</v>
      </c>
      <c r="V74" s="23">
        <v>4077.8650600000001</v>
      </c>
      <c r="W74" s="23">
        <v>4859.4577599999993</v>
      </c>
      <c r="X74" s="23">
        <f t="shared" si="31"/>
        <v>781.59269999999924</v>
      </c>
      <c r="Y74" s="24">
        <f t="shared" si="32"/>
        <v>1.1916671318201979</v>
      </c>
      <c r="Z74" s="82">
        <f t="shared" si="33"/>
        <v>-30.091543901356332</v>
      </c>
      <c r="AA74" s="23">
        <f>данные!S74+данные!K74</f>
        <v>10342.285160000001</v>
      </c>
      <c r="AB74" s="23">
        <f>данные!T74+данные!L74</f>
        <v>7414.0510800000002</v>
      </c>
      <c r="AC74" s="23">
        <f>данные!U74+данные!M74</f>
        <v>7764.0371200000009</v>
      </c>
      <c r="AD74" s="23">
        <f t="shared" si="34"/>
        <v>349.98604000000068</v>
      </c>
      <c r="AE74" s="24">
        <f t="shared" si="35"/>
        <v>1.0472057767371088</v>
      </c>
      <c r="AF74" s="82">
        <f t="shared" si="30"/>
        <v>-24.929191180800899</v>
      </c>
      <c r="AG74" s="23">
        <v>6820.9840000000004</v>
      </c>
      <c r="AH74" s="23">
        <v>6200.9080000000004</v>
      </c>
      <c r="AI74" s="23">
        <v>572.08690000000001</v>
      </c>
      <c r="AJ74" s="23">
        <v>534.42329000000007</v>
      </c>
      <c r="AK74" s="23">
        <v>7881.8950000000004</v>
      </c>
      <c r="AL74" s="23">
        <v>8764.3220000000001</v>
      </c>
      <c r="AM74" s="23">
        <v>1325.1196100000002</v>
      </c>
      <c r="AN74" s="23">
        <v>1345.9371999999998</v>
      </c>
      <c r="AO74" s="23">
        <f t="shared" si="21"/>
        <v>50670.731</v>
      </c>
      <c r="AP74" s="23">
        <f t="shared" si="22"/>
        <v>52344.132259999998</v>
      </c>
      <c r="AQ74" s="23">
        <f t="shared" si="36"/>
        <v>9311.2575900000011</v>
      </c>
      <c r="AR74" s="23">
        <f t="shared" si="36"/>
        <v>9644.3976100000018</v>
      </c>
    </row>
    <row r="75" spans="1:44" outlineLevel="1" x14ac:dyDescent="0.25">
      <c r="A75" s="65" t="s">
        <v>345</v>
      </c>
      <c r="B75" s="23">
        <v>10617.952640000001</v>
      </c>
      <c r="C75" s="23">
        <v>11593.8884</v>
      </c>
      <c r="D75" s="23">
        <v>13429.292529999999</v>
      </c>
      <c r="E75" s="23">
        <f t="shared" si="24"/>
        <v>1835.404129999999</v>
      </c>
      <c r="F75" s="24">
        <f t="shared" si="25"/>
        <v>1.158307900393452</v>
      </c>
      <c r="G75" s="82">
        <f t="shared" si="26"/>
        <v>26.477231395901171</v>
      </c>
      <c r="H75" s="23">
        <v>-482.39429999999999</v>
      </c>
      <c r="I75" s="23">
        <v>9.4819800000000001</v>
      </c>
      <c r="J75" s="23">
        <v>-1651.8835800000002</v>
      </c>
      <c r="K75" s="23">
        <v>354.28571999999997</v>
      </c>
      <c r="L75" s="23">
        <v>354.28571999999997</v>
      </c>
      <c r="M75" s="23">
        <v>354.28571999999997</v>
      </c>
      <c r="N75" s="23">
        <f t="shared" si="27"/>
        <v>0</v>
      </c>
      <c r="O75" s="24">
        <f t="shared" si="28"/>
        <v>1</v>
      </c>
      <c r="P75" s="82">
        <f t="shared" si="29"/>
        <v>0</v>
      </c>
      <c r="Q75" s="276">
        <v>10184.9239</v>
      </c>
      <c r="R75" s="276">
        <v>12132.662319999999</v>
      </c>
      <c r="S75" s="276">
        <v>12118.29643</v>
      </c>
      <c r="T75" s="82">
        <f t="shared" si="23"/>
        <v>-1.4365889999999127E-2</v>
      </c>
      <c r="U75" s="23">
        <v>-56.857639999999996</v>
      </c>
      <c r="V75" s="23">
        <v>-423.43357000000003</v>
      </c>
      <c r="W75" s="23">
        <v>-285.50081</v>
      </c>
      <c r="X75" s="23">
        <f t="shared" si="31"/>
        <v>137.93276000000003</v>
      </c>
      <c r="Y75" s="24">
        <f t="shared" si="32"/>
        <v>0.67425171320261634</v>
      </c>
      <c r="Z75" s="90">
        <f>(W75/U75*100-100)*-1</f>
        <v>-402.13271250794094</v>
      </c>
      <c r="AA75" s="23">
        <f>данные!S75+данные!K75</f>
        <v>312.60735</v>
      </c>
      <c r="AB75" s="23">
        <f>данные!T75+данные!L75</f>
        <v>100.93218000000007</v>
      </c>
      <c r="AC75" s="23">
        <f>данные!U75+данные!M75</f>
        <v>-53.571409999999958</v>
      </c>
      <c r="AD75" s="23">
        <f t="shared" si="34"/>
        <v>-154.50359000000003</v>
      </c>
      <c r="AE75" s="24">
        <f t="shared" si="35"/>
        <v>-0.53076640175610912</v>
      </c>
      <c r="AF75" s="90">
        <f t="shared" si="30"/>
        <v>-117.1369643100202</v>
      </c>
      <c r="AG75" s="23">
        <v>1832.0431999999998</v>
      </c>
      <c r="AH75" s="23">
        <v>1833.6235300000001</v>
      </c>
      <c r="AI75" s="23">
        <v>-188.08170999999999</v>
      </c>
      <c r="AJ75" s="23">
        <v>-140.34607</v>
      </c>
      <c r="AK75" s="23">
        <v>2388.0442000000003</v>
      </c>
      <c r="AL75" s="23">
        <v>2389.6245299999996</v>
      </c>
      <c r="AM75" s="23">
        <v>291.44246999999996</v>
      </c>
      <c r="AN75" s="23">
        <v>258.73671000000002</v>
      </c>
      <c r="AO75" s="23">
        <f t="shared" si="21"/>
        <v>15813.9758</v>
      </c>
      <c r="AP75" s="23">
        <f t="shared" si="22"/>
        <v>17652.540590000001</v>
      </c>
      <c r="AQ75" s="23">
        <f t="shared" si="36"/>
        <v>204.29294000000004</v>
      </c>
      <c r="AR75" s="23">
        <f t="shared" si="36"/>
        <v>64.819230000000061</v>
      </c>
    </row>
    <row r="76" spans="1:44" outlineLevel="1" x14ac:dyDescent="0.25">
      <c r="A76" s="65" t="s">
        <v>346</v>
      </c>
      <c r="B76" s="23">
        <v>31682.000399999997</v>
      </c>
      <c r="C76" s="23">
        <v>34979.29</v>
      </c>
      <c r="D76" s="23">
        <v>32995.588349999998</v>
      </c>
      <c r="E76" s="23">
        <f t="shared" si="24"/>
        <v>-1983.7016500000027</v>
      </c>
      <c r="F76" s="24">
        <f t="shared" si="25"/>
        <v>0.94328925344110748</v>
      </c>
      <c r="G76" s="82">
        <f t="shared" si="26"/>
        <v>4.1461648046693398</v>
      </c>
      <c r="H76" s="23">
        <v>283.72176000000002</v>
      </c>
      <c r="I76" s="23">
        <v>168.55944</v>
      </c>
      <c r="J76" s="23">
        <v>-634.68262000000004</v>
      </c>
      <c r="K76" s="23">
        <v>3059.1164399999998</v>
      </c>
      <c r="L76" s="23">
        <v>2461.7012999999997</v>
      </c>
      <c r="M76" s="23">
        <v>2538.9687599999997</v>
      </c>
      <c r="N76" s="23">
        <f t="shared" si="27"/>
        <v>77.267460000000028</v>
      </c>
      <c r="O76" s="24">
        <f t="shared" si="28"/>
        <v>1.03138782922201</v>
      </c>
      <c r="P76" s="82">
        <f t="shared" si="29"/>
        <v>-17.003199786667807</v>
      </c>
      <c r="Q76" s="276">
        <v>37525.778770000004</v>
      </c>
      <c r="R76" s="276">
        <v>39129.690609999998</v>
      </c>
      <c r="S76" s="276">
        <v>42199.900609999997</v>
      </c>
      <c r="T76" s="82">
        <f t="shared" si="23"/>
        <v>3.070209999999999</v>
      </c>
      <c r="U76" s="23">
        <v>-4870.6838299999999</v>
      </c>
      <c r="V76" s="23">
        <v>-3185.47289</v>
      </c>
      <c r="W76" s="23">
        <v>-7774.3227999999999</v>
      </c>
      <c r="X76" s="23">
        <f t="shared" si="31"/>
        <v>-4588.8499099999999</v>
      </c>
      <c r="Y76" s="24">
        <f t="shared" si="32"/>
        <v>2.440555317361373</v>
      </c>
      <c r="Z76" s="90">
        <f>(W76/U76*100-100)*-1</f>
        <v>-59.614605902268153</v>
      </c>
      <c r="AA76" s="23">
        <f>данные!S76+данные!K76</f>
        <v>-561.3467599999999</v>
      </c>
      <c r="AB76" s="23">
        <f>данные!T76+данные!L76</f>
        <v>733.39727000000039</v>
      </c>
      <c r="AC76" s="23">
        <f>данные!U76+данные!M76</f>
        <v>-5076.8670700000002</v>
      </c>
      <c r="AD76" s="23">
        <f t="shared" si="34"/>
        <v>-5810.2643400000006</v>
      </c>
      <c r="AE76" s="24">
        <f t="shared" si="35"/>
        <v>-6.9223970113769271</v>
      </c>
      <c r="AF76" s="90">
        <f t="shared" si="30"/>
        <v>804.40836783310226</v>
      </c>
      <c r="AG76" s="23">
        <v>5997.6450000000004</v>
      </c>
      <c r="AH76" s="23">
        <v>5125</v>
      </c>
      <c r="AI76" s="23">
        <v>-387.51471999999995</v>
      </c>
      <c r="AJ76" s="23">
        <v>-781.04043000000001</v>
      </c>
      <c r="AK76" s="23">
        <v>6657.6450000000004</v>
      </c>
      <c r="AL76" s="23">
        <v>5885</v>
      </c>
      <c r="AM76" s="23">
        <v>164.89443</v>
      </c>
      <c r="AN76" s="23">
        <v>168.30437000000001</v>
      </c>
      <c r="AO76" s="23">
        <f t="shared" si="21"/>
        <v>47634.58</v>
      </c>
      <c r="AP76" s="23">
        <f t="shared" si="22"/>
        <v>44005.588349999998</v>
      </c>
      <c r="AQ76" s="23">
        <f t="shared" si="36"/>
        <v>510.77698000000044</v>
      </c>
      <c r="AR76" s="23">
        <f t="shared" si="36"/>
        <v>-5689.6031300000004</v>
      </c>
    </row>
    <row r="77" spans="1:44" ht="15.75" outlineLevel="1" thickBot="1" x14ac:dyDescent="0.3">
      <c r="A77" s="66" t="s">
        <v>347</v>
      </c>
      <c r="B77" s="72">
        <v>17113.369019999998</v>
      </c>
      <c r="C77" s="72">
        <v>19773.904999999999</v>
      </c>
      <c r="D77" s="72">
        <v>22155.73242</v>
      </c>
      <c r="E77" s="72">
        <f t="shared" si="24"/>
        <v>2381.8274200000014</v>
      </c>
      <c r="F77" s="73">
        <f t="shared" si="25"/>
        <v>1.1204530627612503</v>
      </c>
      <c r="G77" s="92">
        <f t="shared" si="26"/>
        <v>29.464469527345017</v>
      </c>
      <c r="H77" s="72">
        <v>-425.05020000000002</v>
      </c>
      <c r="I77" s="72">
        <v>295.81362000000001</v>
      </c>
      <c r="J77" s="72">
        <v>650.79581999999994</v>
      </c>
      <c r="K77" s="72">
        <v>1849.14552</v>
      </c>
      <c r="L77" s="72">
        <v>1535.0467200000001</v>
      </c>
      <c r="M77" s="72">
        <v>1539.3522600000001</v>
      </c>
      <c r="N77" s="72">
        <f t="shared" si="27"/>
        <v>4.3055400000000645</v>
      </c>
      <c r="O77" s="73">
        <f t="shared" si="28"/>
        <v>1.0028048266830603</v>
      </c>
      <c r="P77" s="92">
        <f t="shared" si="29"/>
        <v>-16.753319663019269</v>
      </c>
      <c r="Q77" s="273">
        <v>24119.4231</v>
      </c>
      <c r="R77" s="273">
        <v>26426.099010000002</v>
      </c>
      <c r="S77" s="273">
        <v>29105.78757</v>
      </c>
      <c r="T77" s="92">
        <f t="shared" si="23"/>
        <v>2.6796885599999989</v>
      </c>
      <c r="U77" s="72">
        <v>-5678.9380599999995</v>
      </c>
      <c r="V77" s="72">
        <v>-5085.1043</v>
      </c>
      <c r="W77" s="72">
        <v>-5067.5988600000001</v>
      </c>
      <c r="X77" s="72">
        <f t="shared" si="31"/>
        <v>17.505439999999908</v>
      </c>
      <c r="Y77" s="73">
        <f t="shared" si="32"/>
        <v>0.99655750620493666</v>
      </c>
      <c r="Z77" s="92">
        <f t="shared" si="33"/>
        <v>-10.765026727549824</v>
      </c>
      <c r="AA77" s="72">
        <f>данные!S77+данные!K77</f>
        <v>-4057.95451</v>
      </c>
      <c r="AB77" s="72">
        <f>данные!T77+данные!L77</f>
        <v>-3367.0217199999988</v>
      </c>
      <c r="AC77" s="72">
        <f>данные!U77+данные!M77</f>
        <v>-3809.9769000000001</v>
      </c>
      <c r="AD77" s="72">
        <f t="shared" si="34"/>
        <v>-442.95518000000129</v>
      </c>
      <c r="AE77" s="73">
        <f t="shared" si="35"/>
        <v>1.1315569713639986</v>
      </c>
      <c r="AF77" s="92">
        <f>(AC77/AA77*100-100)*-1</f>
        <v>6.1109016719854736</v>
      </c>
      <c r="AG77" s="72">
        <v>3200.433</v>
      </c>
      <c r="AH77" s="72">
        <v>3200.5</v>
      </c>
      <c r="AI77" s="72">
        <v>-962.67739000000006</v>
      </c>
      <c r="AJ77" s="72">
        <v>-1073.8162399999999</v>
      </c>
      <c r="AK77" s="72">
        <v>3930</v>
      </c>
      <c r="AL77" s="72">
        <v>5940</v>
      </c>
      <c r="AM77" s="72">
        <v>-58.241309999999999</v>
      </c>
      <c r="AN77" s="72">
        <v>1403.3894399999999</v>
      </c>
      <c r="AO77" s="72">
        <f t="shared" si="21"/>
        <v>26904.338</v>
      </c>
      <c r="AP77" s="72">
        <f t="shared" si="22"/>
        <v>31296.23242</v>
      </c>
      <c r="AQ77" s="72">
        <f t="shared" si="36"/>
        <v>-4387.940419999999</v>
      </c>
      <c r="AR77" s="72">
        <f t="shared" si="36"/>
        <v>-3480.4036999999998</v>
      </c>
    </row>
    <row r="78" spans="1:44" ht="15.75" thickBot="1" x14ac:dyDescent="0.3">
      <c r="A78" s="61" t="s">
        <v>348</v>
      </c>
      <c r="B78" s="74">
        <v>326424.04930000001</v>
      </c>
      <c r="C78" s="74">
        <v>371690.96865</v>
      </c>
      <c r="D78" s="74">
        <v>377965.38737000001</v>
      </c>
      <c r="E78" s="75">
        <f t="shared" si="24"/>
        <v>6274.418720000016</v>
      </c>
      <c r="F78" s="76">
        <f t="shared" si="25"/>
        <v>1.0168807403171216</v>
      </c>
      <c r="G78" s="77">
        <f t="shared" si="26"/>
        <v>15.789687733035549</v>
      </c>
      <c r="H78" s="74">
        <v>5258.5407000000005</v>
      </c>
      <c r="I78" s="74">
        <v>2975.0532000000003</v>
      </c>
      <c r="J78" s="74">
        <v>3046.7103700000002</v>
      </c>
      <c r="K78" s="74">
        <v>14375.133099999999</v>
      </c>
      <c r="L78" s="74">
        <v>11129.90467</v>
      </c>
      <c r="M78" s="74">
        <v>11915.082699999999</v>
      </c>
      <c r="N78" s="75">
        <f t="shared" si="27"/>
        <v>785.17802999999913</v>
      </c>
      <c r="O78" s="76">
        <f t="shared" si="28"/>
        <v>1.0705466985819205</v>
      </c>
      <c r="P78" s="77">
        <f t="shared" si="29"/>
        <v>-17.113235633275636</v>
      </c>
      <c r="Q78" s="274">
        <v>341341.87097000005</v>
      </c>
      <c r="R78" s="274">
        <v>371818.95399000001</v>
      </c>
      <c r="S78" s="274">
        <v>351027.82500000001</v>
      </c>
      <c r="T78" s="100">
        <f t="shared" si="23"/>
        <v>-20.791128989999997</v>
      </c>
      <c r="U78" s="74">
        <v>-7737.6141399999997</v>
      </c>
      <c r="V78" s="74">
        <v>2278.95523</v>
      </c>
      <c r="W78" s="74">
        <v>24985.405600000002</v>
      </c>
      <c r="X78" s="75">
        <f t="shared" si="31"/>
        <v>22706.450370000002</v>
      </c>
      <c r="Y78" s="76">
        <f t="shared" si="32"/>
        <v>10.963535075675884</v>
      </c>
      <c r="Z78" s="77">
        <f>(W78/U78*100-100)*-1</f>
        <v>422.90839460237032</v>
      </c>
      <c r="AA78" s="74">
        <f>данные!S78+данные!K78</f>
        <v>26332.702880000001</v>
      </c>
      <c r="AB78" s="74">
        <f>данные!T78+данные!L78</f>
        <v>33269.595419999998</v>
      </c>
      <c r="AC78" s="74">
        <f>данные!U78+данные!M78</f>
        <v>51743.355319999995</v>
      </c>
      <c r="AD78" s="75">
        <f t="shared" si="34"/>
        <v>18473.759899999997</v>
      </c>
      <c r="AE78" s="76">
        <f t="shared" si="35"/>
        <v>1.5552745582500984</v>
      </c>
      <c r="AF78" s="77">
        <f t="shared" si="30"/>
        <v>96.498458801582728</v>
      </c>
      <c r="AG78" s="74">
        <v>58017.334049999998</v>
      </c>
      <c r="AH78" s="74">
        <v>60898.555249999998</v>
      </c>
      <c r="AI78" s="74">
        <v>-1663.3847700000001</v>
      </c>
      <c r="AJ78" s="74">
        <v>-1444.0977600000001</v>
      </c>
      <c r="AK78" s="74">
        <v>80489.644799999995</v>
      </c>
      <c r="AL78" s="74">
        <v>77186.956420000002</v>
      </c>
      <c r="AM78" s="74">
        <v>12116.88715</v>
      </c>
      <c r="AN78" s="74">
        <v>10256.89709</v>
      </c>
      <c r="AO78" s="74">
        <f t="shared" ref="AO78:AO95" si="37">C78+AG78+AK78</f>
        <v>510197.94750000001</v>
      </c>
      <c r="AP78" s="74">
        <f t="shared" ref="AP78:AP95" si="38">D78+AH78+AL78</f>
        <v>516050.89903999999</v>
      </c>
      <c r="AQ78" s="74">
        <f t="shared" si="36"/>
        <v>43723.097799999996</v>
      </c>
      <c r="AR78" s="74">
        <f t="shared" si="36"/>
        <v>60556.154649999997</v>
      </c>
    </row>
    <row r="79" spans="1:44" outlineLevel="1" x14ac:dyDescent="0.25">
      <c r="A79" s="64" t="s">
        <v>349</v>
      </c>
      <c r="B79" s="59">
        <v>88702.506810000006</v>
      </c>
      <c r="C79" s="59">
        <v>86951.418099999995</v>
      </c>
      <c r="D79" s="59">
        <v>87920.993579999995</v>
      </c>
      <c r="E79" s="59">
        <f t="shared" si="24"/>
        <v>969.57547999999952</v>
      </c>
      <c r="F79" s="58">
        <f t="shared" si="25"/>
        <v>1.0111507724794657</v>
      </c>
      <c r="G79" s="90">
        <f t="shared" si="26"/>
        <v>-0.88104976748178387</v>
      </c>
      <c r="H79" s="59">
        <v>930.02531999999997</v>
      </c>
      <c r="I79" s="59">
        <v>641.96100000000001</v>
      </c>
      <c r="J79" s="59">
        <v>502.01253000000003</v>
      </c>
      <c r="K79" s="59">
        <v>4072.59962</v>
      </c>
      <c r="L79" s="59">
        <v>3226.1760800000002</v>
      </c>
      <c r="M79" s="59">
        <v>3319.69805</v>
      </c>
      <c r="N79" s="59">
        <f t="shared" si="27"/>
        <v>93.521969999999783</v>
      </c>
      <c r="O79" s="58">
        <f t="shared" si="28"/>
        <v>1.0289884890597787</v>
      </c>
      <c r="P79" s="90">
        <f t="shared" si="29"/>
        <v>-18.487001921391922</v>
      </c>
      <c r="Q79" s="275">
        <v>82135.272120000009</v>
      </c>
      <c r="R79" s="275">
        <v>82832.271180000011</v>
      </c>
      <c r="S79" s="275">
        <v>79562.347120000006</v>
      </c>
      <c r="T79" s="90">
        <f t="shared" si="23"/>
        <v>-3.269924060000005</v>
      </c>
      <c r="U79" s="59">
        <v>5507.4461500000007</v>
      </c>
      <c r="V79" s="59">
        <v>3808.8863900000001</v>
      </c>
      <c r="W79" s="59">
        <v>7317.9353499999997</v>
      </c>
      <c r="X79" s="59">
        <f t="shared" si="31"/>
        <v>3509.0489599999996</v>
      </c>
      <c r="Y79" s="58">
        <f t="shared" si="32"/>
        <v>1.9212795029047847</v>
      </c>
      <c r="Z79" s="90">
        <f t="shared" si="33"/>
        <v>32.873479843284514</v>
      </c>
      <c r="AA79" s="59">
        <f>данные!S79+данные!K79</f>
        <v>16498.784879999999</v>
      </c>
      <c r="AB79" s="59">
        <f>данные!T79+данные!L79</f>
        <v>12793.22745</v>
      </c>
      <c r="AC79" s="59">
        <f>данные!U79+данные!M79</f>
        <v>15193.325919999999</v>
      </c>
      <c r="AD79" s="59">
        <f t="shared" si="34"/>
        <v>2400.098469999999</v>
      </c>
      <c r="AE79" s="58">
        <f t="shared" si="35"/>
        <v>1.1876069568355871</v>
      </c>
      <c r="AF79" s="90">
        <f t="shared" si="30"/>
        <v>-7.9124551868210062</v>
      </c>
      <c r="AG79" s="59">
        <v>12030.232470000001</v>
      </c>
      <c r="AH79" s="59">
        <v>15049.73827</v>
      </c>
      <c r="AI79" s="59">
        <v>-1235.47694</v>
      </c>
      <c r="AJ79" s="59">
        <v>-839.11431999999991</v>
      </c>
      <c r="AK79" s="59">
        <v>19316.974249999999</v>
      </c>
      <c r="AL79" s="59">
        <v>19316.971750000001</v>
      </c>
      <c r="AM79" s="59">
        <v>4254.5901699999995</v>
      </c>
      <c r="AN79" s="59">
        <v>4181.2193399999996</v>
      </c>
      <c r="AO79" s="59">
        <f t="shared" si="37"/>
        <v>118298.62482</v>
      </c>
      <c r="AP79" s="59">
        <f t="shared" si="38"/>
        <v>122287.70359999999</v>
      </c>
      <c r="AQ79" s="59">
        <f t="shared" si="36"/>
        <v>15812.340679999999</v>
      </c>
      <c r="AR79" s="59">
        <f t="shared" si="36"/>
        <v>18535.430939999998</v>
      </c>
    </row>
    <row r="80" spans="1:44" outlineLevel="1" x14ac:dyDescent="0.25">
      <c r="A80" s="65" t="s">
        <v>350</v>
      </c>
      <c r="B80" s="23">
        <v>29225.698260000001</v>
      </c>
      <c r="C80" s="23">
        <v>37647.911509999998</v>
      </c>
      <c r="D80" s="23">
        <v>35497.168819999999</v>
      </c>
      <c r="E80" s="23">
        <f t="shared" si="24"/>
        <v>-2150.7426899999991</v>
      </c>
      <c r="F80" s="24">
        <f t="shared" si="25"/>
        <v>0.94287219121228749</v>
      </c>
      <c r="G80" s="82">
        <f t="shared" si="26"/>
        <v>21.458753540145523</v>
      </c>
      <c r="H80" s="23">
        <v>485.69652000000002</v>
      </c>
      <c r="I80" s="23">
        <v>255.76578000000001</v>
      </c>
      <c r="J80" s="23">
        <v>55.748699999999999</v>
      </c>
      <c r="K80" s="23">
        <v>1284.0591999999999</v>
      </c>
      <c r="L80" s="23">
        <v>1235.18182</v>
      </c>
      <c r="M80" s="23">
        <v>1420.97694</v>
      </c>
      <c r="N80" s="23">
        <f t="shared" si="27"/>
        <v>185.79512</v>
      </c>
      <c r="O80" s="24">
        <f t="shared" si="28"/>
        <v>1.1504192475889905</v>
      </c>
      <c r="P80" s="82">
        <f t="shared" si="29"/>
        <v>10.662883767352781</v>
      </c>
      <c r="Q80" s="276">
        <v>26546.11911</v>
      </c>
      <c r="R80" s="276">
        <v>31376.28773</v>
      </c>
      <c r="S80" s="276">
        <v>29720.798589999999</v>
      </c>
      <c r="T80" s="82">
        <f t="shared" si="23"/>
        <v>-1.6554891400000016</v>
      </c>
      <c r="U80" s="23">
        <v>2512.6383500000002</v>
      </c>
      <c r="V80" s="23">
        <v>5221.9116599999998</v>
      </c>
      <c r="W80" s="23">
        <v>4630.6683700000003</v>
      </c>
      <c r="X80" s="23">
        <f t="shared" si="31"/>
        <v>-591.24328999999943</v>
      </c>
      <c r="Y80" s="24">
        <f t="shared" si="32"/>
        <v>0.88677646645596464</v>
      </c>
      <c r="Z80" s="82">
        <f t="shared" si="33"/>
        <v>84.295060608304397</v>
      </c>
      <c r="AA80" s="23">
        <f>данные!S80+данные!K80</f>
        <v>6918.7978400000002</v>
      </c>
      <c r="AB80" s="23">
        <f>данные!T80+данные!L80</f>
        <v>9513.0316399999992</v>
      </c>
      <c r="AC80" s="23">
        <f>данные!U80+данные!M80</f>
        <v>8153.9516800000001</v>
      </c>
      <c r="AD80" s="23">
        <f t="shared" si="34"/>
        <v>-1359.0799599999991</v>
      </c>
      <c r="AE80" s="24">
        <f t="shared" si="35"/>
        <v>0.85713492696845495</v>
      </c>
      <c r="AF80" s="82">
        <f t="shared" si="30"/>
        <v>17.852145250713079</v>
      </c>
      <c r="AG80" s="23">
        <v>7513.4591799999998</v>
      </c>
      <c r="AH80" s="23">
        <v>7248.4407699999992</v>
      </c>
      <c r="AI80" s="23">
        <v>1674.1023300000002</v>
      </c>
      <c r="AJ80" s="23">
        <v>1265.0361200000002</v>
      </c>
      <c r="AK80" s="23">
        <v>8078.3259500000004</v>
      </c>
      <c r="AL80" s="23">
        <v>7658.3185400000002</v>
      </c>
      <c r="AM80" s="23">
        <v>2273.5954100000004</v>
      </c>
      <c r="AN80" s="23">
        <v>1597.90625</v>
      </c>
      <c r="AO80" s="23">
        <f t="shared" si="37"/>
        <v>53239.696639999995</v>
      </c>
      <c r="AP80" s="23">
        <f t="shared" si="38"/>
        <v>50403.92813</v>
      </c>
      <c r="AQ80" s="23">
        <f t="shared" si="36"/>
        <v>13460.729379999999</v>
      </c>
      <c r="AR80" s="23">
        <f t="shared" si="36"/>
        <v>11016.894050000001</v>
      </c>
    </row>
    <row r="81" spans="1:44" outlineLevel="1" x14ac:dyDescent="0.25">
      <c r="A81" s="65" t="s">
        <v>351</v>
      </c>
      <c r="B81" s="23">
        <v>32732.084149999999</v>
      </c>
      <c r="C81" s="23">
        <v>32853.752269999997</v>
      </c>
      <c r="D81" s="23">
        <v>34764.825069999999</v>
      </c>
      <c r="E81" s="23">
        <f t="shared" si="24"/>
        <v>1911.0728000000017</v>
      </c>
      <c r="F81" s="24">
        <f t="shared" si="25"/>
        <v>1.0581690877892531</v>
      </c>
      <c r="G81" s="82">
        <f t="shared" si="26"/>
        <v>6.2102398083930126</v>
      </c>
      <c r="H81" s="23">
        <v>74.113410000000002</v>
      </c>
      <c r="I81" s="23">
        <v>271.44041999999996</v>
      </c>
      <c r="J81" s="23">
        <v>-14.70274</v>
      </c>
      <c r="K81" s="23">
        <v>0</v>
      </c>
      <c r="L81" s="23">
        <v>0</v>
      </c>
      <c r="M81" s="23">
        <v>0</v>
      </c>
      <c r="N81" s="23">
        <f t="shared" si="27"/>
        <v>0</v>
      </c>
      <c r="O81" s="24">
        <f t="shared" si="28"/>
        <v>0</v>
      </c>
      <c r="P81" s="82" t="e">
        <f t="shared" si="29"/>
        <v>#DIV/0!</v>
      </c>
      <c r="Q81" s="276">
        <v>34521.753109999998</v>
      </c>
      <c r="R81" s="276">
        <v>35262.054680000001</v>
      </c>
      <c r="S81" s="276">
        <v>32926.013019999999</v>
      </c>
      <c r="T81" s="82">
        <f t="shared" si="23"/>
        <v>-2.3360416600000025</v>
      </c>
      <c r="U81" s="23">
        <v>-1340.94676</v>
      </c>
      <c r="V81" s="23">
        <v>-1708.5692199999999</v>
      </c>
      <c r="W81" s="23">
        <v>1474.22264</v>
      </c>
      <c r="X81" s="23">
        <f t="shared" si="31"/>
        <v>3182.7918599999998</v>
      </c>
      <c r="Y81" s="24">
        <f t="shared" si="32"/>
        <v>-0.86284045313657243</v>
      </c>
      <c r="Z81" s="90">
        <f>(W81/U81*100-100)*-1</f>
        <v>209.9389389627967</v>
      </c>
      <c r="AA81" s="23">
        <f>данные!S81+данные!K81</f>
        <v>1832.5976599999999</v>
      </c>
      <c r="AB81" s="23">
        <f>данные!T81+данные!L81</f>
        <v>-1613.67569</v>
      </c>
      <c r="AC81" s="23">
        <f>данные!U81+данные!M81</f>
        <v>1119.4661000000001</v>
      </c>
      <c r="AD81" s="23">
        <f t="shared" si="34"/>
        <v>2733.1417900000001</v>
      </c>
      <c r="AE81" s="24">
        <f t="shared" si="35"/>
        <v>-0.69373673219307164</v>
      </c>
      <c r="AF81" s="90">
        <f>(AC81/AA81*100-100)*-1</f>
        <v>38.913700239036643</v>
      </c>
      <c r="AG81" s="23">
        <v>5260.5066500000003</v>
      </c>
      <c r="AH81" s="23">
        <v>5557.1180000000004</v>
      </c>
      <c r="AI81" s="23">
        <v>-292.63418999999999</v>
      </c>
      <c r="AJ81" s="23">
        <v>-71.047449999999998</v>
      </c>
      <c r="AK81" s="23">
        <v>6143.2456199999997</v>
      </c>
      <c r="AL81" s="23">
        <v>5905.0000199999995</v>
      </c>
      <c r="AM81" s="23">
        <v>-47.856859999999998</v>
      </c>
      <c r="AN81" s="23">
        <v>-543.75757999999996</v>
      </c>
      <c r="AO81" s="23">
        <f t="shared" si="37"/>
        <v>44257.504540000002</v>
      </c>
      <c r="AP81" s="23">
        <f t="shared" si="38"/>
        <v>46226.943090000001</v>
      </c>
      <c r="AQ81" s="23">
        <f t="shared" si="36"/>
        <v>-1954.1667400000001</v>
      </c>
      <c r="AR81" s="23">
        <f t="shared" si="36"/>
        <v>504.66107000000011</v>
      </c>
    </row>
    <row r="82" spans="1:44" outlineLevel="1" x14ac:dyDescent="0.25">
      <c r="A82" s="65" t="s">
        <v>353</v>
      </c>
      <c r="B82" s="23">
        <v>50585.391360000001</v>
      </c>
      <c r="C82" s="23">
        <v>55372.401979999995</v>
      </c>
      <c r="D82" s="23">
        <v>48180.063470000001</v>
      </c>
      <c r="E82" s="23">
        <f t="shared" si="24"/>
        <v>-7192.3385099999941</v>
      </c>
      <c r="F82" s="24">
        <f t="shared" si="25"/>
        <v>0.87010968907222408</v>
      </c>
      <c r="G82" s="82">
        <f t="shared" si="26"/>
        <v>-4.7549852345354964</v>
      </c>
      <c r="H82" s="23">
        <v>1241.3885299999999</v>
      </c>
      <c r="I82" s="23">
        <v>1775.4834599999999</v>
      </c>
      <c r="J82" s="23">
        <v>2156.5323699999999</v>
      </c>
      <c r="K82" s="23">
        <v>2529.0176699999997</v>
      </c>
      <c r="L82" s="23">
        <v>1293.6615400000001</v>
      </c>
      <c r="M82" s="23">
        <v>1293.6614399999999</v>
      </c>
      <c r="N82" s="23">
        <f t="shared" si="27"/>
        <v>-1.0000000020227162E-4</v>
      </c>
      <c r="O82" s="24">
        <f t="shared" si="28"/>
        <v>0.99999992270002847</v>
      </c>
      <c r="P82" s="82">
        <f t="shared" si="29"/>
        <v>-48.847275551064065</v>
      </c>
      <c r="Q82" s="276">
        <v>47535.259090000007</v>
      </c>
      <c r="R82" s="276">
        <v>50116.445570000003</v>
      </c>
      <c r="S82" s="276">
        <v>45391.367279999999</v>
      </c>
      <c r="T82" s="82">
        <f t="shared" si="23"/>
        <v>-4.7250782900000052</v>
      </c>
      <c r="U82" s="23">
        <v>3845.9626800000001</v>
      </c>
      <c r="V82" s="23">
        <v>5625.1519000000008</v>
      </c>
      <c r="W82" s="23">
        <v>4419.7147699999996</v>
      </c>
      <c r="X82" s="23">
        <f t="shared" si="31"/>
        <v>-1205.4371300000012</v>
      </c>
      <c r="Y82" s="24">
        <f t="shared" si="32"/>
        <v>0.78570585267217385</v>
      </c>
      <c r="Z82" s="82">
        <f t="shared" si="33"/>
        <v>14.918295827041135</v>
      </c>
      <c r="AA82" s="23">
        <f>данные!S82+данные!K82</f>
        <v>8857.1883300000009</v>
      </c>
      <c r="AB82" s="23">
        <f>данные!T82+данные!L82</f>
        <v>9901.5669400000006</v>
      </c>
      <c r="AC82" s="23">
        <f>данные!U82+данные!M82</f>
        <v>7343.9072200000001</v>
      </c>
      <c r="AD82" s="23">
        <f t="shared" si="34"/>
        <v>-2557.6597200000006</v>
      </c>
      <c r="AE82" s="24">
        <f t="shared" si="35"/>
        <v>0.7416914175808218</v>
      </c>
      <c r="AF82" s="82">
        <f t="shared" si="30"/>
        <v>-17.085344170388666</v>
      </c>
      <c r="AG82" s="23">
        <v>7607.8329599999997</v>
      </c>
      <c r="AH82" s="23">
        <v>5885.0745700000007</v>
      </c>
      <c r="AI82" s="23">
        <v>63.36459</v>
      </c>
      <c r="AJ82" s="23">
        <v>-523.02566999999999</v>
      </c>
      <c r="AK82" s="23">
        <v>11669.84383</v>
      </c>
      <c r="AL82" s="23">
        <v>9271.1379499999985</v>
      </c>
      <c r="AM82" s="23">
        <v>1688.04835</v>
      </c>
      <c r="AN82" s="23">
        <v>1961.6272200000001</v>
      </c>
      <c r="AO82" s="23">
        <f t="shared" si="37"/>
        <v>74650.078769999993</v>
      </c>
      <c r="AP82" s="23">
        <f t="shared" si="38"/>
        <v>63336.275990000002</v>
      </c>
      <c r="AQ82" s="23">
        <f t="shared" si="36"/>
        <v>11652.979879999999</v>
      </c>
      <c r="AR82" s="23">
        <f t="shared" si="36"/>
        <v>8782.5087700000004</v>
      </c>
    </row>
    <row r="83" spans="1:44" outlineLevel="1" x14ac:dyDescent="0.25">
      <c r="A83" s="65" t="s">
        <v>352</v>
      </c>
      <c r="B83" s="23">
        <v>19196.77535</v>
      </c>
      <c r="C83" s="23">
        <v>24241.753140000001</v>
      </c>
      <c r="D83" s="23">
        <v>23816.919190000001</v>
      </c>
      <c r="E83" s="23">
        <f t="shared" si="24"/>
        <v>-424.83395000000019</v>
      </c>
      <c r="F83" s="24">
        <f t="shared" si="25"/>
        <v>0.98247511442153068</v>
      </c>
      <c r="G83" s="82">
        <f t="shared" si="26"/>
        <v>24.067291280772324</v>
      </c>
      <c r="H83" s="23">
        <v>229.251</v>
      </c>
      <c r="I83" s="23">
        <v>-264.80238000000003</v>
      </c>
      <c r="J83" s="23">
        <v>-265.63585</v>
      </c>
      <c r="K83" s="23">
        <v>1246.5221999999999</v>
      </c>
      <c r="L83" s="23">
        <v>1285.8232499999999</v>
      </c>
      <c r="M83" s="23">
        <v>1326.2100399999999</v>
      </c>
      <c r="N83" s="23">
        <f t="shared" si="27"/>
        <v>40.386790000000019</v>
      </c>
      <c r="O83" s="24">
        <f t="shared" si="28"/>
        <v>1.0314092858408028</v>
      </c>
      <c r="P83" s="82">
        <f t="shared" si="29"/>
        <v>6.392813541547838</v>
      </c>
      <c r="Q83" s="276">
        <v>27609.708160000002</v>
      </c>
      <c r="R83" s="276">
        <v>29602.095440000001</v>
      </c>
      <c r="S83" s="276">
        <v>27867.234899999999</v>
      </c>
      <c r="T83" s="82">
        <f t="shared" si="23"/>
        <v>-1.7348605400000014</v>
      </c>
      <c r="U83" s="23">
        <v>-6531.8829500000002</v>
      </c>
      <c r="V83" s="23">
        <v>-4500.1157000000003</v>
      </c>
      <c r="W83" s="23">
        <v>-3457.26386</v>
      </c>
      <c r="X83" s="23">
        <f t="shared" si="31"/>
        <v>1042.8518400000003</v>
      </c>
      <c r="Y83" s="24">
        <f t="shared" si="32"/>
        <v>0.76826110493114652</v>
      </c>
      <c r="Z83" s="90">
        <f>(W83/U83*100-100)*-1</f>
        <v>47.070945905422271</v>
      </c>
      <c r="AA83" s="23">
        <f>данные!S83+данные!K83</f>
        <v>-1536.8744099999999</v>
      </c>
      <c r="AB83" s="23">
        <f>данные!T83+данные!L83</f>
        <v>1037.47237</v>
      </c>
      <c r="AC83" s="23">
        <f>данные!U83+данные!M83</f>
        <v>1821.45039</v>
      </c>
      <c r="AD83" s="23">
        <f t="shared" si="34"/>
        <v>783.97802000000001</v>
      </c>
      <c r="AE83" s="24">
        <f t="shared" si="35"/>
        <v>1.7556615893298442</v>
      </c>
      <c r="AF83" s="90">
        <f>(AC83/AA83*100-100)*-1</f>
        <v>218.51654098398319</v>
      </c>
      <c r="AG83" s="23">
        <v>4312.0597400000006</v>
      </c>
      <c r="AH83" s="23">
        <v>5064.933</v>
      </c>
      <c r="AI83" s="23">
        <v>-579.68538999999998</v>
      </c>
      <c r="AJ83" s="23">
        <v>-547.82278000000008</v>
      </c>
      <c r="AK83" s="23">
        <v>10073.658740000001</v>
      </c>
      <c r="AL83" s="23">
        <v>11040.732</v>
      </c>
      <c r="AM83" s="23">
        <v>3471.2034700000004</v>
      </c>
      <c r="AN83" s="23">
        <v>3170.1793600000001</v>
      </c>
      <c r="AO83" s="23">
        <f t="shared" si="37"/>
        <v>38627.471620000004</v>
      </c>
      <c r="AP83" s="23">
        <f t="shared" si="38"/>
        <v>39922.584190000001</v>
      </c>
      <c r="AQ83" s="23">
        <f t="shared" si="36"/>
        <v>3928.9904500000002</v>
      </c>
      <c r="AR83" s="23">
        <f t="shared" si="36"/>
        <v>4443.8069699999996</v>
      </c>
    </row>
    <row r="84" spans="1:44" outlineLevel="1" x14ac:dyDescent="0.25">
      <c r="A84" s="65" t="s">
        <v>354</v>
      </c>
      <c r="B84" s="23">
        <v>32557.98473</v>
      </c>
      <c r="C84" s="23">
        <v>33151.32877</v>
      </c>
      <c r="D84" s="23">
        <v>31060.64847</v>
      </c>
      <c r="E84" s="23">
        <f t="shared" si="24"/>
        <v>-2090.6803</v>
      </c>
      <c r="F84" s="24">
        <f t="shared" si="25"/>
        <v>0.93693524882502022</v>
      </c>
      <c r="G84" s="82">
        <f t="shared" si="26"/>
        <v>-4.5989832368841519</v>
      </c>
      <c r="H84" s="23">
        <v>119.06009</v>
      </c>
      <c r="I84" s="23">
        <v>121.27632000000001</v>
      </c>
      <c r="J84" s="23">
        <v>126.78662</v>
      </c>
      <c r="K84" s="23">
        <v>1409.2568799999999</v>
      </c>
      <c r="L84" s="23">
        <v>287.57784000000004</v>
      </c>
      <c r="M84" s="23">
        <v>552.89030000000002</v>
      </c>
      <c r="N84" s="23">
        <f t="shared" si="27"/>
        <v>265.31245999999999</v>
      </c>
      <c r="O84" s="24">
        <f t="shared" si="28"/>
        <v>1.9225761623357347</v>
      </c>
      <c r="P84" s="82">
        <f t="shared" si="29"/>
        <v>-60.767244932662663</v>
      </c>
      <c r="Q84" s="276">
        <v>34312.37614</v>
      </c>
      <c r="R84" s="276">
        <v>35961.784850000004</v>
      </c>
      <c r="S84" s="276">
        <v>31219.316910000001</v>
      </c>
      <c r="T84" s="82">
        <f t="shared" si="23"/>
        <v>-4.7424679400000027</v>
      </c>
      <c r="U84" s="23">
        <v>-1380.81702</v>
      </c>
      <c r="V84" s="23">
        <v>-2150.96335</v>
      </c>
      <c r="W84" s="23">
        <v>11.33328</v>
      </c>
      <c r="X84" s="23">
        <f t="shared" si="31"/>
        <v>2162.2966299999998</v>
      </c>
      <c r="Y84" s="24">
        <f t="shared" si="32"/>
        <v>-5.2689321740419246E-3</v>
      </c>
      <c r="Z84" s="90">
        <f>(W84/U84*100-100)*-1</f>
        <v>100.82076624461075</v>
      </c>
      <c r="AA84" s="23">
        <f>данные!S84+данные!K84</f>
        <v>458.72382999999991</v>
      </c>
      <c r="AB84" s="23">
        <f>данные!T84+данные!L84</f>
        <v>-1319.5738200000001</v>
      </c>
      <c r="AC84" s="23">
        <f>данные!U84+данные!M84</f>
        <v>828.51800000000003</v>
      </c>
      <c r="AD84" s="23">
        <f t="shared" si="34"/>
        <v>2148.0918200000001</v>
      </c>
      <c r="AE84" s="24">
        <f t="shared" si="35"/>
        <v>-0.62786786721791732</v>
      </c>
      <c r="AF84" s="90">
        <f t="shared" si="30"/>
        <v>80.613682092774695</v>
      </c>
      <c r="AG84" s="23">
        <v>6037.46929</v>
      </c>
      <c r="AH84" s="23">
        <v>4467.2925100000002</v>
      </c>
      <c r="AI84" s="23">
        <v>136.68063000000001</v>
      </c>
      <c r="AJ84" s="23">
        <v>-425.45017999999999</v>
      </c>
      <c r="AK84" s="23">
        <v>6371.8687099999997</v>
      </c>
      <c r="AL84" s="23">
        <v>5174.2088899999999</v>
      </c>
      <c r="AM84" s="23">
        <v>235.25304</v>
      </c>
      <c r="AN84" s="23">
        <v>-85.735060000000004</v>
      </c>
      <c r="AO84" s="23">
        <f t="shared" si="37"/>
        <v>45560.666770000003</v>
      </c>
      <c r="AP84" s="23">
        <f t="shared" si="38"/>
        <v>40702.149870000001</v>
      </c>
      <c r="AQ84" s="23">
        <f t="shared" si="36"/>
        <v>-947.64014999999995</v>
      </c>
      <c r="AR84" s="23">
        <f t="shared" si="36"/>
        <v>317.33276000000001</v>
      </c>
    </row>
    <row r="85" spans="1:44" outlineLevel="1" x14ac:dyDescent="0.25">
      <c r="A85" s="65" t="s">
        <v>355</v>
      </c>
      <c r="B85" s="23">
        <v>17797.952819999999</v>
      </c>
      <c r="C85" s="23">
        <v>23145.57143</v>
      </c>
      <c r="D85" s="23">
        <v>23356.484550000001</v>
      </c>
      <c r="E85" s="23">
        <f t="shared" si="24"/>
        <v>210.91312000000107</v>
      </c>
      <c r="F85" s="24">
        <f t="shared" si="25"/>
        <v>1.0091124611305395</v>
      </c>
      <c r="G85" s="82">
        <f t="shared" si="26"/>
        <v>31.231298263437054</v>
      </c>
      <c r="H85" s="23">
        <v>215.83670999999998</v>
      </c>
      <c r="I85" s="23">
        <v>-0.29627999999999999</v>
      </c>
      <c r="J85" s="23">
        <v>479.47159999999997</v>
      </c>
      <c r="K85" s="23">
        <v>1821.73317</v>
      </c>
      <c r="L85" s="23">
        <v>2321.8516199999999</v>
      </c>
      <c r="M85" s="23">
        <v>2343.5037699999998</v>
      </c>
      <c r="N85" s="23">
        <f t="shared" si="27"/>
        <v>21.652149999999892</v>
      </c>
      <c r="O85" s="24">
        <f t="shared" si="28"/>
        <v>1.0093253805770757</v>
      </c>
      <c r="P85" s="82">
        <f t="shared" si="29"/>
        <v>28.641439294866643</v>
      </c>
      <c r="Q85" s="276">
        <v>22237.677800000001</v>
      </c>
      <c r="R85" s="276">
        <v>29405.235679999998</v>
      </c>
      <c r="S85" s="276">
        <v>25894.390890000002</v>
      </c>
      <c r="T85" s="82">
        <f t="shared" si="23"/>
        <v>-3.5108447899999957</v>
      </c>
      <c r="U85" s="23">
        <v>-3380.4882599999996</v>
      </c>
      <c r="V85" s="23">
        <v>-5007.9684299999999</v>
      </c>
      <c r="W85" s="23">
        <v>-1639.2855199999999</v>
      </c>
      <c r="X85" s="23">
        <f t="shared" si="31"/>
        <v>3368.68291</v>
      </c>
      <c r="Y85" s="24">
        <f t="shared" si="32"/>
        <v>0.32733543410136873</v>
      </c>
      <c r="Z85" s="90">
        <f>(W85/U85*100-100)*-1</f>
        <v>51.507433426199796</v>
      </c>
      <c r="AA85" s="23">
        <f>данные!S85+данные!K85</f>
        <v>-1423.2434900000003</v>
      </c>
      <c r="AB85" s="23">
        <f>данные!T85+данные!L85</f>
        <v>-1523.4521800000002</v>
      </c>
      <c r="AC85" s="23">
        <f>данные!U85+данные!M85</f>
        <v>1059.6636699999999</v>
      </c>
      <c r="AD85" s="23">
        <f t="shared" si="34"/>
        <v>2583.1158500000001</v>
      </c>
      <c r="AE85" s="24">
        <f t="shared" si="35"/>
        <v>-0.69556739877453833</v>
      </c>
      <c r="AF85" s="90">
        <f>(AC85/AA85*100-100)*-1</f>
        <v>174.45413785100115</v>
      </c>
      <c r="AG85" s="23">
        <v>3432.2619199999999</v>
      </c>
      <c r="AH85" s="23">
        <v>3388.0840099999996</v>
      </c>
      <c r="AI85" s="23">
        <v>-1434.0106599999999</v>
      </c>
      <c r="AJ85" s="23">
        <v>-973.22914000000003</v>
      </c>
      <c r="AK85" s="23">
        <v>4132.2618999999995</v>
      </c>
      <c r="AL85" s="23">
        <v>4088.0839900000001</v>
      </c>
      <c r="AM85" s="23">
        <v>-405.88521999999995</v>
      </c>
      <c r="AN85" s="23">
        <v>-698.31131000000005</v>
      </c>
      <c r="AO85" s="23">
        <f t="shared" si="37"/>
        <v>30710.095249999998</v>
      </c>
      <c r="AP85" s="23">
        <f t="shared" si="38"/>
        <v>30832.652549999999</v>
      </c>
      <c r="AQ85" s="23">
        <f t="shared" si="36"/>
        <v>-3363.3480600000003</v>
      </c>
      <c r="AR85" s="23">
        <f t="shared" si="36"/>
        <v>-611.87678000000017</v>
      </c>
    </row>
    <row r="86" spans="1:44" ht="15.75" outlineLevel="1" thickBot="1" x14ac:dyDescent="0.3">
      <c r="A86" s="66" t="s">
        <v>356</v>
      </c>
      <c r="B86" s="72">
        <v>55625.65582</v>
      </c>
      <c r="C86" s="72">
        <v>78326.831449999998</v>
      </c>
      <c r="D86" s="72">
        <v>93368.284220000001</v>
      </c>
      <c r="E86" s="72">
        <f t="shared" si="24"/>
        <v>15041.452770000004</v>
      </c>
      <c r="F86" s="73">
        <f t="shared" si="25"/>
        <v>1.192034485393447</v>
      </c>
      <c r="G86" s="92">
        <f t="shared" si="26"/>
        <v>67.851116258533665</v>
      </c>
      <c r="H86" s="72">
        <v>1963.16912</v>
      </c>
      <c r="I86" s="72">
        <v>174.22488000000001</v>
      </c>
      <c r="J86" s="72">
        <v>6.4971399999999999</v>
      </c>
      <c r="K86" s="72">
        <v>2011.9443600000002</v>
      </c>
      <c r="L86" s="72">
        <v>1479.6325200000001</v>
      </c>
      <c r="M86" s="72">
        <v>1658.1421599999999</v>
      </c>
      <c r="N86" s="72">
        <f t="shared" si="27"/>
        <v>178.50963999999976</v>
      </c>
      <c r="O86" s="73">
        <f t="shared" si="28"/>
        <v>1.1206445773441096</v>
      </c>
      <c r="P86" s="92">
        <f t="shared" si="29"/>
        <v>-17.585088685056888</v>
      </c>
      <c r="Q86" s="273">
        <v>66443.705439999991</v>
      </c>
      <c r="R86" s="273">
        <v>77262.778860000006</v>
      </c>
      <c r="S86" s="273">
        <v>78446.356290000011</v>
      </c>
      <c r="T86" s="92">
        <f t="shared" si="23"/>
        <v>1.1835774300000048</v>
      </c>
      <c r="U86" s="72">
        <v>-6969.5263299999997</v>
      </c>
      <c r="V86" s="72">
        <v>990.62198000000001</v>
      </c>
      <c r="W86" s="72">
        <v>12228.08057</v>
      </c>
      <c r="X86" s="72">
        <f t="shared" si="31"/>
        <v>11237.45859</v>
      </c>
      <c r="Y86" s="73">
        <f t="shared" si="32"/>
        <v>12.343841361161802</v>
      </c>
      <c r="Z86" s="92">
        <f>(W86/U86*100-100)*-1</f>
        <v>275.45066896963715</v>
      </c>
      <c r="AA86" s="72">
        <f>данные!S86+данные!K86</f>
        <v>-2514.7545099999998</v>
      </c>
      <c r="AB86" s="72">
        <f>данные!T86+данные!L86</f>
        <v>4480.9987099999998</v>
      </c>
      <c r="AC86" s="72">
        <f>данные!U86+данные!M86</f>
        <v>16223.072340000001</v>
      </c>
      <c r="AD86" s="72">
        <f t="shared" si="34"/>
        <v>11742.073630000001</v>
      </c>
      <c r="AE86" s="73">
        <f t="shared" si="35"/>
        <v>3.6204144187312211</v>
      </c>
      <c r="AF86" s="92">
        <f>(AC86/AA86*100-100)*-1</f>
        <v>745.11554807789184</v>
      </c>
      <c r="AG86" s="72">
        <v>11823.511839999999</v>
      </c>
      <c r="AH86" s="72">
        <v>14237.874119999999</v>
      </c>
      <c r="AI86" s="72">
        <v>4.2748599999999994</v>
      </c>
      <c r="AJ86" s="72">
        <v>670.55565999999999</v>
      </c>
      <c r="AK86" s="72">
        <v>14703.4658</v>
      </c>
      <c r="AL86" s="72">
        <v>14732.503279999999</v>
      </c>
      <c r="AM86" s="72">
        <v>647.93879000000004</v>
      </c>
      <c r="AN86" s="72">
        <v>673.76886999999999</v>
      </c>
      <c r="AO86" s="72">
        <f t="shared" si="37"/>
        <v>104853.80909</v>
      </c>
      <c r="AP86" s="72">
        <f t="shared" si="38"/>
        <v>122338.66162</v>
      </c>
      <c r="AQ86" s="72">
        <f t="shared" si="36"/>
        <v>5133.2123600000004</v>
      </c>
      <c r="AR86" s="72">
        <f t="shared" si="36"/>
        <v>17567.39687</v>
      </c>
    </row>
    <row r="87" spans="1:44" ht="28.5" x14ac:dyDescent="0.25">
      <c r="A87" s="67" t="s">
        <v>357</v>
      </c>
      <c r="B87" s="78">
        <v>914623.80700000003</v>
      </c>
      <c r="C87" s="78">
        <v>1387179.6616499999</v>
      </c>
      <c r="D87" s="78">
        <v>1685668.6261699998</v>
      </c>
      <c r="E87" s="79">
        <f t="shared" si="24"/>
        <v>298488.96451999992</v>
      </c>
      <c r="F87" s="80">
        <f t="shared" si="25"/>
        <v>1.2151768604832038</v>
      </c>
      <c r="G87" s="81">
        <f t="shared" si="26"/>
        <v>84.301853206626589</v>
      </c>
      <c r="H87" s="78">
        <v>27716.80629</v>
      </c>
      <c r="I87" s="78">
        <v>-31464.86996</v>
      </c>
      <c r="J87" s="78">
        <v>-52563.877740000004</v>
      </c>
      <c r="K87" s="78">
        <f>((-22975067.19-9601577.41)*-1)/1000</f>
        <v>32576.644600000003</v>
      </c>
      <c r="L87" s="78">
        <v>31539.97119</v>
      </c>
      <c r="M87" s="78">
        <v>32006.370449999999</v>
      </c>
      <c r="N87" s="79">
        <f t="shared" si="27"/>
        <v>466.39925999999832</v>
      </c>
      <c r="O87" s="80">
        <f t="shared" si="28"/>
        <v>1.0147875613833115</v>
      </c>
      <c r="P87" s="81">
        <f t="shared" si="29"/>
        <v>-1.7505613515518661</v>
      </c>
      <c r="Q87" s="278">
        <v>1025116.34615</v>
      </c>
      <c r="R87" s="278">
        <v>1336874.90329</v>
      </c>
      <c r="S87" s="278">
        <v>1525601.2215500001</v>
      </c>
      <c r="T87" s="101">
        <f t="shared" si="23"/>
        <v>188.72631826000008</v>
      </c>
      <c r="U87" s="78">
        <v>-18855.228320000002</v>
      </c>
      <c r="V87" s="78">
        <v>80943.26834000001</v>
      </c>
      <c r="W87" s="78">
        <v>152498.83227000001</v>
      </c>
      <c r="X87" s="79">
        <f t="shared" si="31"/>
        <v>71555.563930000004</v>
      </c>
      <c r="Y87" s="80">
        <f t="shared" si="32"/>
        <v>1.884021184188323</v>
      </c>
      <c r="Z87" s="81">
        <f>(W87/U87*100-100)*-1</f>
        <v>908.78804372918887</v>
      </c>
      <c r="AA87" s="78">
        <f>данные!S87+данные!K87</f>
        <v>55411.769270000004</v>
      </c>
      <c r="AB87" s="78">
        <f>данные!T87+данные!L87</f>
        <v>146734.53422</v>
      </c>
      <c r="AC87" s="78">
        <f>данные!U87+данные!M87</f>
        <v>219111.34553999998</v>
      </c>
      <c r="AD87" s="79">
        <f t="shared" si="34"/>
        <v>72376.811319999979</v>
      </c>
      <c r="AE87" s="80">
        <f t="shared" si="35"/>
        <v>1.4932500157835031</v>
      </c>
      <c r="AF87" s="81">
        <f t="shared" si="30"/>
        <v>295.42383942363506</v>
      </c>
      <c r="AG87" s="78">
        <v>199714.11812</v>
      </c>
      <c r="AH87" s="78">
        <v>244836.79800000001</v>
      </c>
      <c r="AI87" s="78">
        <v>8835.1564499999986</v>
      </c>
      <c r="AJ87" s="78">
        <v>10624.263429999999</v>
      </c>
      <c r="AK87" s="78">
        <v>252133.61050000001</v>
      </c>
      <c r="AL87" s="78">
        <v>252133.61050000001</v>
      </c>
      <c r="AM87" s="78">
        <v>6914.1256800000001</v>
      </c>
      <c r="AN87" s="78">
        <v>6821.0884400000004</v>
      </c>
      <c r="AO87" s="78">
        <f t="shared" si="37"/>
        <v>1839027.3902699999</v>
      </c>
      <c r="AP87" s="78">
        <f t="shared" si="38"/>
        <v>2182639.03467</v>
      </c>
      <c r="AQ87" s="78">
        <f t="shared" si="36"/>
        <v>162483.81635000001</v>
      </c>
      <c r="AR87" s="78">
        <f t="shared" si="36"/>
        <v>236556.69740999996</v>
      </c>
    </row>
    <row r="88" spans="1:44" hidden="1" x14ac:dyDescent="0.25">
      <c r="A88" s="70" t="s">
        <v>358</v>
      </c>
      <c r="B88" s="62">
        <v>306084.42949000001</v>
      </c>
      <c r="C88" s="62">
        <v>0</v>
      </c>
      <c r="D88" s="62">
        <v>0</v>
      </c>
      <c r="E88" s="63">
        <f t="shared" si="24"/>
        <v>0</v>
      </c>
      <c r="F88" s="24">
        <f t="shared" si="25"/>
        <v>0</v>
      </c>
      <c r="G88" s="82">
        <f t="shared" si="26"/>
        <v>-100</v>
      </c>
      <c r="H88" s="62">
        <v>-49507.248950000001</v>
      </c>
      <c r="I88" s="62">
        <v>0</v>
      </c>
      <c r="J88" s="62">
        <v>0</v>
      </c>
      <c r="K88" s="62"/>
      <c r="L88" s="62"/>
      <c r="M88" s="62"/>
      <c r="N88" s="62"/>
      <c r="O88" s="62"/>
      <c r="P88" s="62"/>
      <c r="Q88" s="279">
        <v>264526.45957000001</v>
      </c>
      <c r="R88" s="279">
        <v>0</v>
      </c>
      <c r="S88" s="279">
        <v>57.956000000000003</v>
      </c>
      <c r="T88" s="102">
        <f t="shared" si="23"/>
        <v>5.7956000000000001E-2</v>
      </c>
      <c r="U88" s="62">
        <v>-2271.5544900000004</v>
      </c>
      <c r="V88" s="62">
        <v>0</v>
      </c>
      <c r="W88" s="62">
        <v>-52.887830000000001</v>
      </c>
      <c r="X88" s="63">
        <f t="shared" si="31"/>
        <v>-52.887830000000001</v>
      </c>
      <c r="Y88" s="24">
        <f t="shared" si="32"/>
        <v>0</v>
      </c>
      <c r="Z88" s="82" t="e">
        <f t="shared" ref="Z88:Z95" si="39">W88/V88*100-100</f>
        <v>#DIV/0!</v>
      </c>
      <c r="AA88" s="62">
        <f>данные!S88+данные!K88</f>
        <v>-2799.4326599999999</v>
      </c>
      <c r="AB88" s="62">
        <f>данные!T88+данные!L88</f>
        <v>0</v>
      </c>
      <c r="AC88" s="62">
        <f>данные!U88+данные!M88</f>
        <v>-54.755830000000003</v>
      </c>
      <c r="AD88" s="63">
        <f t="shared" si="34"/>
        <v>-54.755830000000003</v>
      </c>
      <c r="AE88" s="24">
        <f t="shared" si="35"/>
        <v>0</v>
      </c>
      <c r="AF88" s="82" t="e">
        <f t="shared" ref="AF88:AF95" si="40">AC88/AB88*100-100</f>
        <v>#DIV/0!</v>
      </c>
      <c r="AG88" s="62">
        <v>0</v>
      </c>
      <c r="AH88" s="62">
        <v>0</v>
      </c>
      <c r="AI88" s="62">
        <v>0</v>
      </c>
      <c r="AJ88" s="62">
        <v>0</v>
      </c>
      <c r="AK88" s="62">
        <v>0</v>
      </c>
      <c r="AL88" s="62">
        <v>0</v>
      </c>
      <c r="AM88" s="62">
        <v>0</v>
      </c>
      <c r="AN88" s="62">
        <v>0</v>
      </c>
      <c r="AO88" s="62">
        <f t="shared" si="37"/>
        <v>0</v>
      </c>
      <c r="AP88" s="62">
        <f t="shared" si="38"/>
        <v>0</v>
      </c>
      <c r="AQ88" s="62">
        <f t="shared" si="36"/>
        <v>0</v>
      </c>
      <c r="AR88" s="62">
        <f t="shared" si="36"/>
        <v>-54.755830000000003</v>
      </c>
    </row>
    <row r="89" spans="1:44" hidden="1" x14ac:dyDescent="0.25">
      <c r="A89" s="68" t="s">
        <v>359</v>
      </c>
      <c r="B89" s="23">
        <v>306084.42949000001</v>
      </c>
      <c r="C89" s="23">
        <v>0</v>
      </c>
      <c r="D89" s="23">
        <v>0</v>
      </c>
      <c r="E89" s="23">
        <f t="shared" si="24"/>
        <v>0</v>
      </c>
      <c r="F89" s="24">
        <f t="shared" si="25"/>
        <v>0</v>
      </c>
      <c r="G89" s="82">
        <f t="shared" si="26"/>
        <v>-100</v>
      </c>
      <c r="H89" s="23">
        <v>-49507.248950000001</v>
      </c>
      <c r="I89" s="23">
        <v>0</v>
      </c>
      <c r="J89" s="23">
        <v>0</v>
      </c>
      <c r="K89" s="23"/>
      <c r="L89" s="23"/>
      <c r="M89" s="23"/>
      <c r="N89" s="23"/>
      <c r="O89" s="23"/>
      <c r="P89" s="23"/>
      <c r="Q89" s="276">
        <v>240046.25709</v>
      </c>
      <c r="R89" s="276">
        <v>0</v>
      </c>
      <c r="S89" s="276">
        <v>53.898000000000003</v>
      </c>
      <c r="T89" s="82">
        <f t="shared" si="23"/>
        <v>5.3898000000000001E-2</v>
      </c>
      <c r="U89" s="23">
        <v>18259.944359999998</v>
      </c>
      <c r="V89" s="23">
        <v>0</v>
      </c>
      <c r="W89" s="23">
        <v>-49.642199999999995</v>
      </c>
      <c r="X89" s="23">
        <f t="shared" si="31"/>
        <v>-49.642199999999995</v>
      </c>
      <c r="Y89" s="24">
        <f t="shared" si="32"/>
        <v>0</v>
      </c>
      <c r="Z89" s="82" t="e">
        <f t="shared" si="39"/>
        <v>#DIV/0!</v>
      </c>
      <c r="AA89" s="23">
        <f>данные!S89+данные!K89</f>
        <v>17833.517459999999</v>
      </c>
      <c r="AB89" s="23">
        <f>данные!T89+данные!L89</f>
        <v>0</v>
      </c>
      <c r="AC89" s="23">
        <f>данные!U89+данные!M89</f>
        <v>-51.510199999999998</v>
      </c>
      <c r="AD89" s="23">
        <f t="shared" si="34"/>
        <v>-51.510199999999998</v>
      </c>
      <c r="AE89" s="24">
        <f t="shared" si="35"/>
        <v>0</v>
      </c>
      <c r="AF89" s="82" t="e">
        <f t="shared" si="40"/>
        <v>#DIV/0!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f t="shared" si="37"/>
        <v>0</v>
      </c>
      <c r="AP89" s="23">
        <f t="shared" si="38"/>
        <v>0</v>
      </c>
      <c r="AQ89" s="23">
        <f t="shared" si="36"/>
        <v>0</v>
      </c>
      <c r="AR89" s="23">
        <f t="shared" si="36"/>
        <v>-51.510199999999998</v>
      </c>
    </row>
    <row r="90" spans="1:44" hidden="1" x14ac:dyDescent="0.25">
      <c r="A90" s="68" t="s">
        <v>358</v>
      </c>
      <c r="B90" s="69">
        <v>0</v>
      </c>
      <c r="C90" s="69">
        <v>0</v>
      </c>
      <c r="D90" s="69">
        <v>0</v>
      </c>
      <c r="E90" s="23">
        <f t="shared" si="24"/>
        <v>0</v>
      </c>
      <c r="F90" s="24">
        <f t="shared" si="25"/>
        <v>0</v>
      </c>
      <c r="G90" s="82" t="e">
        <f t="shared" si="26"/>
        <v>#DIV/0!</v>
      </c>
      <c r="H90" s="69">
        <v>0</v>
      </c>
      <c r="I90" s="69">
        <v>0</v>
      </c>
      <c r="J90" s="69">
        <v>0</v>
      </c>
      <c r="K90" s="69"/>
      <c r="L90" s="69"/>
      <c r="M90" s="69"/>
      <c r="N90" s="69"/>
      <c r="O90" s="69"/>
      <c r="P90" s="69"/>
      <c r="Q90" s="271">
        <v>24480.20248</v>
      </c>
      <c r="R90" s="271">
        <v>0</v>
      </c>
      <c r="S90" s="271">
        <v>4.0579999999999998</v>
      </c>
      <c r="T90" s="82">
        <f t="shared" si="23"/>
        <v>4.058E-3</v>
      </c>
      <c r="U90" s="270">
        <v>-20531.49885</v>
      </c>
      <c r="V90" s="69">
        <v>0</v>
      </c>
      <c r="W90" s="69">
        <v>-3.2456300000000002</v>
      </c>
      <c r="X90" s="23">
        <f t="shared" si="31"/>
        <v>-3.2456300000000002</v>
      </c>
      <c r="Y90" s="24">
        <f t="shared" si="32"/>
        <v>0</v>
      </c>
      <c r="Z90" s="82" t="e">
        <f t="shared" si="39"/>
        <v>#DIV/0!</v>
      </c>
      <c r="AA90" s="270">
        <f>данные!S90+данные!K90</f>
        <v>-20632.950120000001</v>
      </c>
      <c r="AB90" s="69">
        <f>данные!T90+данные!L90</f>
        <v>0</v>
      </c>
      <c r="AC90" s="69">
        <f>данные!U90+данные!M90</f>
        <v>-3.2456300000000002</v>
      </c>
      <c r="AD90" s="23">
        <f t="shared" si="34"/>
        <v>-3.2456300000000002</v>
      </c>
      <c r="AE90" s="24">
        <f t="shared" si="35"/>
        <v>0</v>
      </c>
      <c r="AF90" s="82" t="e">
        <f t="shared" si="40"/>
        <v>#DIV/0!</v>
      </c>
      <c r="AG90" s="69">
        <v>0</v>
      </c>
      <c r="AH90" s="69">
        <v>0</v>
      </c>
      <c r="AI90" s="69">
        <v>0</v>
      </c>
      <c r="AJ90" s="69">
        <v>0</v>
      </c>
      <c r="AK90" s="69">
        <v>0</v>
      </c>
      <c r="AL90" s="69">
        <v>0</v>
      </c>
      <c r="AM90" s="69">
        <v>0</v>
      </c>
      <c r="AN90" s="69">
        <v>0</v>
      </c>
      <c r="AO90" s="69">
        <f t="shared" si="37"/>
        <v>0</v>
      </c>
      <c r="AP90" s="69">
        <f t="shared" si="38"/>
        <v>0</v>
      </c>
      <c r="AQ90" s="69">
        <f t="shared" si="36"/>
        <v>0</v>
      </c>
      <c r="AR90" s="69">
        <f t="shared" si="36"/>
        <v>-3.2456300000000002</v>
      </c>
    </row>
    <row r="91" spans="1:44" hidden="1" x14ac:dyDescent="0.25">
      <c r="A91" s="70" t="s">
        <v>360</v>
      </c>
      <c r="B91" s="62">
        <v>62679.03327</v>
      </c>
      <c r="C91" s="62">
        <v>87348.647750000004</v>
      </c>
      <c r="D91" s="62">
        <v>89854.700049999999</v>
      </c>
      <c r="E91" s="63">
        <f t="shared" si="24"/>
        <v>2506.0522999999957</v>
      </c>
      <c r="F91" s="24">
        <f t="shared" si="25"/>
        <v>1.0286902243429406</v>
      </c>
      <c r="G91" s="82">
        <f t="shared" si="26"/>
        <v>43.356869693469037</v>
      </c>
      <c r="H91" s="62">
        <v>-21370.013199999998</v>
      </c>
      <c r="I91" s="62">
        <v>-4140.1679999999997</v>
      </c>
      <c r="J91" s="62">
        <v>-4849.7940399999998</v>
      </c>
      <c r="K91" s="62"/>
      <c r="L91" s="62"/>
      <c r="M91" s="62"/>
      <c r="N91" s="62"/>
      <c r="O91" s="62"/>
      <c r="P91" s="62"/>
      <c r="Q91" s="279">
        <v>572489.6505499999</v>
      </c>
      <c r="R91" s="279">
        <v>652296.5350700001</v>
      </c>
      <c r="S91" s="279">
        <v>666277.96355999995</v>
      </c>
      <c r="T91" s="102">
        <f t="shared" si="23"/>
        <v>13.981428489999846</v>
      </c>
      <c r="U91" s="62">
        <v>-433694.90297000005</v>
      </c>
      <c r="V91" s="62">
        <v>-447409.40277999995</v>
      </c>
      <c r="W91" s="62">
        <v>-450664.86394999997</v>
      </c>
      <c r="X91" s="63">
        <f t="shared" si="31"/>
        <v>-3255.4611700000241</v>
      </c>
      <c r="Y91" s="24">
        <f t="shared" si="32"/>
        <v>1.0072762466541205</v>
      </c>
      <c r="Z91" s="90">
        <f>(W91/V91*100-100)*-1</f>
        <v>-0.72762466541205129</v>
      </c>
      <c r="AA91" s="62">
        <f>данные!S91+данные!K91</f>
        <v>-494717.56449000002</v>
      </c>
      <c r="AB91" s="62">
        <f>данные!T91+данные!L91</f>
        <v>-522448.26733999996</v>
      </c>
      <c r="AC91" s="62">
        <f>данные!U91+данные!M91</f>
        <v>-515036.38407999999</v>
      </c>
      <c r="AD91" s="63">
        <f t="shared" si="34"/>
        <v>7411.8832599999732</v>
      </c>
      <c r="AE91" s="24">
        <f t="shared" si="35"/>
        <v>0.98581317285683245</v>
      </c>
      <c r="AF91" s="90">
        <f>(AC91/AB91*100-100)*-1</f>
        <v>1.4186827143167591</v>
      </c>
      <c r="AG91" s="62">
        <v>3416.04135</v>
      </c>
      <c r="AH91" s="62">
        <v>3416.0410000000002</v>
      </c>
      <c r="AI91" s="62">
        <v>-91042.629290000012</v>
      </c>
      <c r="AJ91" s="62">
        <v>-79448.490000000005</v>
      </c>
      <c r="AK91" s="62">
        <v>3419.29135</v>
      </c>
      <c r="AL91" s="62">
        <v>3419.2910000000002</v>
      </c>
      <c r="AM91" s="62">
        <v>-112967.41226000001</v>
      </c>
      <c r="AN91" s="62">
        <v>-84616.615999999995</v>
      </c>
      <c r="AO91" s="62">
        <f t="shared" si="37"/>
        <v>94183.980450000003</v>
      </c>
      <c r="AP91" s="62">
        <f t="shared" si="38"/>
        <v>96690.032049999994</v>
      </c>
      <c r="AQ91" s="62">
        <f t="shared" si="36"/>
        <v>-726458.30888999999</v>
      </c>
      <c r="AR91" s="62">
        <f t="shared" si="36"/>
        <v>-679101.49008000002</v>
      </c>
    </row>
    <row r="92" spans="1:44" hidden="1" x14ac:dyDescent="0.25">
      <c r="A92" s="70" t="s">
        <v>361</v>
      </c>
      <c r="B92" s="62">
        <v>0</v>
      </c>
      <c r="C92" s="62">
        <v>0</v>
      </c>
      <c r="D92" s="62">
        <v>0</v>
      </c>
      <c r="E92" s="63">
        <f t="shared" si="24"/>
        <v>0</v>
      </c>
      <c r="F92" s="24">
        <f t="shared" si="25"/>
        <v>0</v>
      </c>
      <c r="G92" s="82" t="e">
        <f t="shared" si="26"/>
        <v>#DIV/0!</v>
      </c>
      <c r="H92" s="62">
        <v>0</v>
      </c>
      <c r="I92" s="62">
        <v>0</v>
      </c>
      <c r="J92" s="62">
        <v>0</v>
      </c>
      <c r="K92" s="62"/>
      <c r="L92" s="62"/>
      <c r="M92" s="62"/>
      <c r="N92" s="62"/>
      <c r="O92" s="62"/>
      <c r="P92" s="62"/>
      <c r="Q92" s="279">
        <v>5162.8720599999997</v>
      </c>
      <c r="R92" s="279">
        <v>8055.3535999999995</v>
      </c>
      <c r="S92" s="279">
        <v>7381.1466100000007</v>
      </c>
      <c r="T92" s="102">
        <f t="shared" si="23"/>
        <v>-0.67420698999999873</v>
      </c>
      <c r="U92" s="62">
        <v>-3316.9675000000002</v>
      </c>
      <c r="V92" s="62">
        <v>-1752.28288</v>
      </c>
      <c r="W92" s="62">
        <v>-5852.6951600000002</v>
      </c>
      <c r="X92" s="63">
        <f t="shared" si="31"/>
        <v>-4100.4122800000005</v>
      </c>
      <c r="Y92" s="24">
        <f t="shared" si="32"/>
        <v>3.3400401423770116</v>
      </c>
      <c r="Z92" s="90">
        <f>(W92/V92*100-100)*-1</f>
        <v>-234.00401423770114</v>
      </c>
      <c r="AA92" s="62">
        <f>данные!S92+данные!K92</f>
        <v>-3824.5495899999996</v>
      </c>
      <c r="AB92" s="62">
        <f>данные!T92+данные!L92</f>
        <v>-294.72704999999996</v>
      </c>
      <c r="AC92" s="62">
        <f>данные!U92+данные!M92</f>
        <v>-6744.4107899999999</v>
      </c>
      <c r="AD92" s="63">
        <f t="shared" si="34"/>
        <v>-6449.6837400000004</v>
      </c>
      <c r="AE92" s="24">
        <f t="shared" si="35"/>
        <v>22.883582589382279</v>
      </c>
      <c r="AF92" s="90">
        <f>(AC92/AB92*100-100)*-1</f>
        <v>-2188.3582589382277</v>
      </c>
      <c r="AG92" s="62">
        <v>0</v>
      </c>
      <c r="AH92" s="62">
        <v>0</v>
      </c>
      <c r="AI92" s="62">
        <v>1225.86005</v>
      </c>
      <c r="AJ92" s="62">
        <v>0</v>
      </c>
      <c r="AK92" s="62">
        <v>0</v>
      </c>
      <c r="AL92" s="62">
        <v>0</v>
      </c>
      <c r="AM92" s="62">
        <v>1421.6139800000001</v>
      </c>
      <c r="AN92" s="62">
        <v>0</v>
      </c>
      <c r="AO92" s="62">
        <f t="shared" si="37"/>
        <v>0</v>
      </c>
      <c r="AP92" s="62">
        <f t="shared" si="38"/>
        <v>0</v>
      </c>
      <c r="AQ92" s="62">
        <f t="shared" si="36"/>
        <v>2352.7469799999999</v>
      </c>
      <c r="AR92" s="62">
        <f t="shared" si="36"/>
        <v>-6744.4107899999999</v>
      </c>
    </row>
    <row r="93" spans="1:44" hidden="1" x14ac:dyDescent="0.25">
      <c r="A93" s="70" t="s">
        <v>362</v>
      </c>
      <c r="B93" s="62">
        <v>0</v>
      </c>
      <c r="C93" s="62">
        <v>0</v>
      </c>
      <c r="D93" s="62">
        <v>0</v>
      </c>
      <c r="E93" s="63">
        <f t="shared" si="24"/>
        <v>0</v>
      </c>
      <c r="F93" s="24">
        <f t="shared" si="25"/>
        <v>0</v>
      </c>
      <c r="G93" s="82" t="e">
        <f t="shared" si="26"/>
        <v>#DIV/0!</v>
      </c>
      <c r="H93" s="62">
        <v>0</v>
      </c>
      <c r="I93" s="62">
        <v>0</v>
      </c>
      <c r="J93" s="62">
        <v>0</v>
      </c>
      <c r="K93" s="62"/>
      <c r="L93" s="62"/>
      <c r="M93" s="62"/>
      <c r="N93" s="62"/>
      <c r="O93" s="62"/>
      <c r="P93" s="62"/>
      <c r="Q93" s="279">
        <v>0</v>
      </c>
      <c r="R93" s="279">
        <v>0</v>
      </c>
      <c r="S93" s="279">
        <v>0</v>
      </c>
      <c r="T93" s="102">
        <f t="shared" si="23"/>
        <v>0</v>
      </c>
      <c r="U93" s="62">
        <v>0</v>
      </c>
      <c r="V93" s="62">
        <v>0</v>
      </c>
      <c r="W93" s="62">
        <v>0</v>
      </c>
      <c r="X93" s="63">
        <f t="shared" si="31"/>
        <v>0</v>
      </c>
      <c r="Y93" s="24">
        <f t="shared" si="32"/>
        <v>0</v>
      </c>
      <c r="Z93" s="82" t="e">
        <f t="shared" si="39"/>
        <v>#DIV/0!</v>
      </c>
      <c r="AA93" s="62">
        <f>данные!S93+данные!K93</f>
        <v>0</v>
      </c>
      <c r="AB93" s="62">
        <f>данные!T93+данные!L93</f>
        <v>0</v>
      </c>
      <c r="AC93" s="62">
        <f>данные!U93+данные!M93</f>
        <v>0</v>
      </c>
      <c r="AD93" s="63">
        <f t="shared" si="34"/>
        <v>0</v>
      </c>
      <c r="AE93" s="24">
        <f t="shared" si="35"/>
        <v>0</v>
      </c>
      <c r="AF93" s="82" t="e">
        <f t="shared" si="40"/>
        <v>#DIV/0!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f t="shared" si="37"/>
        <v>0</v>
      </c>
      <c r="AP93" s="62">
        <f t="shared" si="38"/>
        <v>0</v>
      </c>
      <c r="AQ93" s="62">
        <f t="shared" si="36"/>
        <v>0</v>
      </c>
      <c r="AR93" s="62">
        <f t="shared" si="36"/>
        <v>0</v>
      </c>
    </row>
    <row r="94" spans="1:44" ht="28.5" hidden="1" x14ac:dyDescent="0.25">
      <c r="A94" s="70" t="s">
        <v>363</v>
      </c>
      <c r="B94" s="62">
        <v>0</v>
      </c>
      <c r="C94" s="62">
        <v>0</v>
      </c>
      <c r="D94" s="62">
        <v>0</v>
      </c>
      <c r="E94" s="63">
        <f t="shared" si="24"/>
        <v>0</v>
      </c>
      <c r="F94" s="24">
        <f t="shared" si="25"/>
        <v>0</v>
      </c>
      <c r="G94" s="82" t="e">
        <f t="shared" si="26"/>
        <v>#DIV/0!</v>
      </c>
      <c r="H94" s="62">
        <v>0</v>
      </c>
      <c r="I94" s="62">
        <v>0</v>
      </c>
      <c r="J94" s="62">
        <v>0</v>
      </c>
      <c r="K94" s="62"/>
      <c r="L94" s="62"/>
      <c r="M94" s="62"/>
      <c r="N94" s="62"/>
      <c r="O94" s="62"/>
      <c r="P94" s="62"/>
      <c r="Q94" s="279">
        <v>22865.078149999998</v>
      </c>
      <c r="R94" s="279">
        <v>81596.544399999999</v>
      </c>
      <c r="S94" s="279">
        <v>82177.983569999997</v>
      </c>
      <c r="T94" s="102">
        <f t="shared" si="23"/>
        <v>0.58143916999999778</v>
      </c>
      <c r="U94" s="62">
        <v>-18292.063149999998</v>
      </c>
      <c r="V94" s="62">
        <v>-65277.235540000001</v>
      </c>
      <c r="W94" s="62">
        <v>-65745.355329999991</v>
      </c>
      <c r="X94" s="63">
        <f t="shared" si="31"/>
        <v>-468.11978999998973</v>
      </c>
      <c r="Y94" s="24">
        <f t="shared" si="32"/>
        <v>1.0071712563518891</v>
      </c>
      <c r="Z94" s="90">
        <f>(W94/V94*100-100)*-1</f>
        <v>-0.71712563518890704</v>
      </c>
      <c r="AA94" s="62">
        <f>данные!S94+данные!K94</f>
        <v>-24321.993539999999</v>
      </c>
      <c r="AB94" s="62">
        <f>данные!T94+данные!L94</f>
        <v>-76090.727769999998</v>
      </c>
      <c r="AC94" s="62">
        <f>данные!U94+данные!M94</f>
        <v>-74459.544989999995</v>
      </c>
      <c r="AD94" s="63">
        <f t="shared" si="34"/>
        <v>1631.1827800000028</v>
      </c>
      <c r="AE94" s="24">
        <f t="shared" si="35"/>
        <v>0.97856266028982408</v>
      </c>
      <c r="AF94" s="90">
        <f>(AC94/AB94*100-100)*-1</f>
        <v>2.1437339710175962</v>
      </c>
      <c r="AG94" s="62">
        <v>0</v>
      </c>
      <c r="AH94" s="62">
        <v>0</v>
      </c>
      <c r="AI94" s="62">
        <v>-10874.98504</v>
      </c>
      <c r="AJ94" s="62">
        <v>-13564.219090000001</v>
      </c>
      <c r="AK94" s="62">
        <v>0</v>
      </c>
      <c r="AL94" s="62">
        <v>0</v>
      </c>
      <c r="AM94" s="62">
        <v>-10853.64898</v>
      </c>
      <c r="AN94" s="62">
        <v>-13564.219090000001</v>
      </c>
      <c r="AO94" s="62">
        <f t="shared" si="37"/>
        <v>0</v>
      </c>
      <c r="AP94" s="62">
        <f t="shared" si="38"/>
        <v>0</v>
      </c>
      <c r="AQ94" s="62">
        <f t="shared" si="36"/>
        <v>-97819.361789999995</v>
      </c>
      <c r="AR94" s="62">
        <f t="shared" si="36"/>
        <v>-101587.98316999999</v>
      </c>
    </row>
    <row r="95" spans="1:44" ht="15.75" hidden="1" thickBot="1" x14ac:dyDescent="0.3">
      <c r="A95" s="71" t="s">
        <v>364</v>
      </c>
      <c r="B95" s="83">
        <v>0</v>
      </c>
      <c r="C95" s="83">
        <v>0</v>
      </c>
      <c r="D95" s="83">
        <v>0</v>
      </c>
      <c r="E95" s="84">
        <f t="shared" si="24"/>
        <v>0</v>
      </c>
      <c r="F95" s="85">
        <f t="shared" si="25"/>
        <v>0</v>
      </c>
      <c r="G95" s="86" t="e">
        <f t="shared" si="26"/>
        <v>#DIV/0!</v>
      </c>
      <c r="H95" s="83">
        <v>0</v>
      </c>
      <c r="I95" s="83">
        <v>0</v>
      </c>
      <c r="J95" s="83">
        <v>0</v>
      </c>
      <c r="K95" s="83"/>
      <c r="L95" s="83"/>
      <c r="M95" s="83"/>
      <c r="N95" s="83"/>
      <c r="O95" s="83"/>
      <c r="P95" s="83"/>
      <c r="Q95" s="280">
        <v>1.9732100000000001E-9</v>
      </c>
      <c r="R95" s="280">
        <v>0</v>
      </c>
      <c r="S95" s="280">
        <v>0</v>
      </c>
      <c r="T95" s="103">
        <f t="shared" si="23"/>
        <v>0</v>
      </c>
      <c r="U95" s="83">
        <v>0</v>
      </c>
      <c r="V95" s="83">
        <v>0</v>
      </c>
      <c r="W95" s="83">
        <v>0</v>
      </c>
      <c r="X95" s="84">
        <f t="shared" si="31"/>
        <v>0</v>
      </c>
      <c r="Y95" s="85">
        <f t="shared" si="32"/>
        <v>0</v>
      </c>
      <c r="Z95" s="86" t="e">
        <f t="shared" si="39"/>
        <v>#DIV/0!</v>
      </c>
      <c r="AA95" s="83">
        <f>данные!S95+данные!K95</f>
        <v>0</v>
      </c>
      <c r="AB95" s="83">
        <f>данные!T95+данные!L95</f>
        <v>0</v>
      </c>
      <c r="AC95" s="83">
        <f>данные!U95+данные!M95</f>
        <v>0</v>
      </c>
      <c r="AD95" s="84">
        <f t="shared" si="34"/>
        <v>0</v>
      </c>
      <c r="AE95" s="85">
        <f t="shared" si="35"/>
        <v>0</v>
      </c>
      <c r="AF95" s="86" t="e">
        <f t="shared" si="40"/>
        <v>#DIV/0!</v>
      </c>
      <c r="AG95" s="83">
        <v>0</v>
      </c>
      <c r="AH95" s="83">
        <v>0</v>
      </c>
      <c r="AI95" s="83">
        <v>0</v>
      </c>
      <c r="AJ95" s="83">
        <v>0</v>
      </c>
      <c r="AK95" s="83">
        <v>0</v>
      </c>
      <c r="AL95" s="83">
        <v>0</v>
      </c>
      <c r="AM95" s="83">
        <v>0</v>
      </c>
      <c r="AN95" s="83">
        <v>0</v>
      </c>
      <c r="AO95" s="83">
        <f t="shared" si="37"/>
        <v>0</v>
      </c>
      <c r="AP95" s="83">
        <f t="shared" si="38"/>
        <v>0</v>
      </c>
      <c r="AQ95" s="83">
        <f t="shared" si="36"/>
        <v>0</v>
      </c>
      <c r="AR95" s="83">
        <f t="shared" si="36"/>
        <v>0</v>
      </c>
    </row>
  </sheetData>
  <autoFilter ref="A5:AF95"/>
  <mergeCells count="13">
    <mergeCell ref="AQ4:AR4"/>
    <mergeCell ref="A4:A5"/>
    <mergeCell ref="B4:G4"/>
    <mergeCell ref="H4:J4"/>
    <mergeCell ref="K4:P4"/>
    <mergeCell ref="Q4:T4"/>
    <mergeCell ref="AA4:AF4"/>
    <mergeCell ref="AG4:AH4"/>
    <mergeCell ref="AI4:AJ4"/>
    <mergeCell ref="AK4:AL4"/>
    <mergeCell ref="AM4:AN4"/>
    <mergeCell ref="AO4:AP4"/>
    <mergeCell ref="U4:Z4"/>
  </mergeCells>
  <conditionalFormatting sqref="E6:G95 AD88:AF95 AD6:AE87">
    <cfRule type="cellIs" dxfId="105" priority="17" operator="greaterThan">
      <formula>0</formula>
    </cfRule>
    <cfRule type="cellIs" dxfId="104" priority="18" operator="lessThan">
      <formula>0</formula>
    </cfRule>
  </conditionalFormatting>
  <conditionalFormatting sqref="T6:T95">
    <cfRule type="cellIs" dxfId="103" priority="13" operator="lessThan">
      <formula>0</formula>
    </cfRule>
    <cfRule type="cellIs" dxfId="102" priority="14" operator="greaterThan">
      <formula>0</formula>
    </cfRule>
    <cfRule type="cellIs" dxfId="101" priority="15" operator="greaterThan">
      <formula>0</formula>
    </cfRule>
    <cfRule type="cellIs" dxfId="100" priority="16" operator="lessThan">
      <formula>0</formula>
    </cfRule>
  </conditionalFormatting>
  <conditionalFormatting sqref="F6:F95 AE6:AE95">
    <cfRule type="cellIs" dxfId="99" priority="11" operator="lessThan">
      <formula>1</formula>
    </cfRule>
    <cfRule type="cellIs" dxfId="98" priority="12" operator="greaterThan">
      <formula>1</formula>
    </cfRule>
  </conditionalFormatting>
  <conditionalFormatting sqref="X6:Z95">
    <cfRule type="cellIs" dxfId="97" priority="9" operator="greaterThan">
      <formula>0</formula>
    </cfRule>
    <cfRule type="cellIs" dxfId="96" priority="10" operator="lessThan">
      <formula>0</formula>
    </cfRule>
  </conditionalFormatting>
  <conditionalFormatting sqref="Y6:Y95">
    <cfRule type="cellIs" dxfId="95" priority="7" operator="lessThan">
      <formula>1</formula>
    </cfRule>
    <cfRule type="cellIs" dxfId="94" priority="8" operator="greaterThan">
      <formula>1</formula>
    </cfRule>
  </conditionalFormatting>
  <conditionalFormatting sqref="N6:P87">
    <cfRule type="cellIs" dxfId="93" priority="5" operator="greaterThan">
      <formula>0</formula>
    </cfRule>
    <cfRule type="cellIs" dxfId="92" priority="6" operator="lessThan">
      <formula>0</formula>
    </cfRule>
  </conditionalFormatting>
  <conditionalFormatting sqref="O6:O87">
    <cfRule type="cellIs" dxfId="91" priority="3" operator="lessThan">
      <formula>1</formula>
    </cfRule>
    <cfRule type="cellIs" dxfId="90" priority="4" operator="greaterThan">
      <formula>1</formula>
    </cfRule>
  </conditionalFormatting>
  <conditionalFormatting sqref="AF6:AF87">
    <cfRule type="cellIs" dxfId="89" priority="1" operator="greaterThan">
      <formula>0</formula>
    </cfRule>
    <cfRule type="cellIs" dxfId="88" priority="2" operator="lessThan">
      <formula>0</formula>
    </cfRule>
  </conditionalFormatting>
  <printOptions horizontalCentered="1"/>
  <pageMargins left="0" right="0" top="0" bottom="0" header="0" footer="0.31496062992125984"/>
  <pageSetup paperSize="9" scale="48" orientation="landscape" r:id="rId1"/>
  <rowBreaks count="1" manualBreakCount="1">
    <brk id="56" max="16383" man="1"/>
  </rowBreaks>
  <colBreaks count="1" manualBreakCount="1">
    <brk id="3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opLeftCell="A7" zoomScale="80" zoomScaleNormal="80" workbookViewId="0">
      <selection activeCell="A30" sqref="A30:F39"/>
    </sheetView>
  </sheetViews>
  <sheetFormatPr defaultRowHeight="15.75" x14ac:dyDescent="0.25"/>
  <cols>
    <col min="1" max="1" width="67.140625" style="187" customWidth="1"/>
    <col min="2" max="6" width="23.42578125" style="187" customWidth="1"/>
    <col min="7" max="8" width="13.28515625" hidden="1" customWidth="1"/>
    <col min="9" max="11" width="15.28515625" customWidth="1"/>
    <col min="12" max="14" width="13.85546875" customWidth="1"/>
  </cols>
  <sheetData>
    <row r="1" spans="1:14" x14ac:dyDescent="0.25">
      <c r="A1" s="206"/>
      <c r="B1" s="206"/>
      <c r="C1" s="206"/>
      <c r="D1" s="206"/>
      <c r="E1" s="206"/>
      <c r="F1" s="206"/>
      <c r="G1" s="1"/>
      <c r="H1" s="1"/>
      <c r="I1" s="1"/>
      <c r="J1" s="1"/>
      <c r="K1" s="1"/>
      <c r="L1" s="1"/>
      <c r="M1" s="1"/>
      <c r="N1" s="1"/>
    </row>
    <row r="2" spans="1:14" ht="23.25" x14ac:dyDescent="0.25">
      <c r="A2" s="207" t="s">
        <v>0</v>
      </c>
      <c r="B2" s="207"/>
      <c r="C2" s="207"/>
      <c r="D2" s="207"/>
      <c r="E2" s="207"/>
      <c r="F2" s="207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206"/>
      <c r="B3" s="206"/>
      <c r="C3" s="206"/>
      <c r="D3" s="206"/>
      <c r="E3" s="206"/>
      <c r="F3" s="206"/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208" t="s">
        <v>1</v>
      </c>
      <c r="B4" s="208"/>
      <c r="C4" s="208"/>
      <c r="D4" s="208"/>
      <c r="E4" s="208"/>
      <c r="F4" s="208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206"/>
      <c r="B5" s="206"/>
      <c r="C5" s="206"/>
      <c r="D5" s="206"/>
      <c r="E5" s="206"/>
      <c r="F5" s="206"/>
      <c r="G5" s="1"/>
      <c r="H5" s="1"/>
      <c r="I5" s="1"/>
      <c r="J5" s="1"/>
      <c r="K5" s="1"/>
      <c r="L5" s="1"/>
      <c r="M5" s="1"/>
      <c r="N5" s="1"/>
    </row>
    <row r="6" spans="1:14" s="187" customFormat="1" ht="15" x14ac:dyDescent="0.2">
      <c r="A6" s="430" t="s">
        <v>277</v>
      </c>
      <c r="B6" s="425" t="s">
        <v>365</v>
      </c>
      <c r="C6" s="425"/>
      <c r="D6" s="425"/>
      <c r="E6" s="425" t="s">
        <v>367</v>
      </c>
      <c r="F6" s="425"/>
      <c r="G6" s="191"/>
      <c r="H6" s="191"/>
    </row>
    <row r="7" spans="1:14" s="187" customFormat="1" ht="45" x14ac:dyDescent="0.2">
      <c r="A7" s="430"/>
      <c r="B7" s="190" t="s">
        <v>895</v>
      </c>
      <c r="C7" s="190" t="s">
        <v>896</v>
      </c>
      <c r="D7" s="190" t="s">
        <v>897</v>
      </c>
      <c r="E7" s="190" t="s">
        <v>762</v>
      </c>
      <c r="F7" s="190" t="s">
        <v>763</v>
      </c>
      <c r="G7" s="190"/>
      <c r="H7" s="190" t="s">
        <v>368</v>
      </c>
    </row>
    <row r="8" spans="1:14" s="187" customFormat="1" ht="18" customHeight="1" x14ac:dyDescent="0.2">
      <c r="A8" s="192" t="s">
        <v>280</v>
      </c>
      <c r="B8" s="193">
        <f>данные!B8</f>
        <v>595444.43117</v>
      </c>
      <c r="C8" s="193">
        <f>данные!C8</f>
        <v>644121.31589999993</v>
      </c>
      <c r="D8" s="193">
        <f>данные!D8</f>
        <v>646412.64230999991</v>
      </c>
      <c r="E8" s="342">
        <f t="shared" ref="E8:E15" si="0">D8/C8-100%</f>
        <v>3.5572901461868867E-3</v>
      </c>
      <c r="F8" s="199">
        <f t="shared" ref="F8:F15" si="1">D8/B8-100%</f>
        <v>8.5596923024120919E-2</v>
      </c>
      <c r="G8" s="194">
        <f t="shared" ref="G8:G15" si="2">D8-C8</f>
        <v>2291.3264099999797</v>
      </c>
      <c r="H8" s="195">
        <f t="shared" ref="H8:H15" si="3">D8/C8</f>
        <v>1.0035572901461869</v>
      </c>
    </row>
    <row r="9" spans="1:14" s="187" customFormat="1" ht="18" customHeight="1" x14ac:dyDescent="0.2">
      <c r="A9" s="192" t="s">
        <v>297</v>
      </c>
      <c r="B9" s="193">
        <f>данные!B25</f>
        <v>841962.11164999998</v>
      </c>
      <c r="C9" s="193">
        <f>данные!C25</f>
        <v>970277.20272000006</v>
      </c>
      <c r="D9" s="193">
        <f>данные!D25</f>
        <v>875510.91902999999</v>
      </c>
      <c r="E9" s="199">
        <f t="shared" si="0"/>
        <v>-9.7669288141924437E-2</v>
      </c>
      <c r="F9" s="199">
        <f t="shared" si="1"/>
        <v>3.9845982278530423E-2</v>
      </c>
      <c r="G9" s="194">
        <f t="shared" si="2"/>
        <v>-94766.283690000069</v>
      </c>
      <c r="H9" s="195">
        <f t="shared" si="3"/>
        <v>0.90233071185807556</v>
      </c>
    </row>
    <row r="10" spans="1:14" s="187" customFormat="1" ht="18" customHeight="1" x14ac:dyDescent="0.2">
      <c r="A10" s="192" t="s">
        <v>306</v>
      </c>
      <c r="B10" s="193">
        <f>данные!B34</f>
        <v>434007.12507000001</v>
      </c>
      <c r="C10" s="193">
        <f>данные!C34</f>
        <v>469585.80241</v>
      </c>
      <c r="D10" s="193">
        <f>данные!D34</f>
        <v>454012.51432999998</v>
      </c>
      <c r="E10" s="199">
        <f t="shared" si="0"/>
        <v>-3.3163881872226741E-2</v>
      </c>
      <c r="F10" s="199">
        <f t="shared" si="1"/>
        <v>4.6094610213538223E-2</v>
      </c>
      <c r="G10" s="194">
        <f t="shared" si="2"/>
        <v>-15573.288080000028</v>
      </c>
      <c r="H10" s="195">
        <f t="shared" si="3"/>
        <v>0.96683611812777326</v>
      </c>
    </row>
    <row r="11" spans="1:14" s="187" customFormat="1" ht="18" customHeight="1" x14ac:dyDescent="0.2">
      <c r="A11" s="192" t="s">
        <v>316</v>
      </c>
      <c r="B11" s="193">
        <f>данные!B46</f>
        <v>432139.52408</v>
      </c>
      <c r="C11" s="193">
        <f>данные!C46</f>
        <v>471724.38257000002</v>
      </c>
      <c r="D11" s="193">
        <f>данные!D46</f>
        <v>450783.46025</v>
      </c>
      <c r="E11" s="199">
        <f t="shared" si="0"/>
        <v>-4.4392283065615268E-2</v>
      </c>
      <c r="F11" s="199">
        <f t="shared" si="1"/>
        <v>4.314332554906164E-2</v>
      </c>
      <c r="G11" s="194">
        <f t="shared" si="2"/>
        <v>-20940.922320000012</v>
      </c>
      <c r="H11" s="195">
        <f t="shared" si="3"/>
        <v>0.95560771693438473</v>
      </c>
    </row>
    <row r="12" spans="1:14" s="187" customFormat="1" ht="18" customHeight="1" x14ac:dyDescent="0.2">
      <c r="A12" s="192" t="s">
        <v>327</v>
      </c>
      <c r="B12" s="193">
        <f>данные!B57</f>
        <v>648522.52769000002</v>
      </c>
      <c r="C12" s="193">
        <f>данные!C57</f>
        <v>706782.84270000004</v>
      </c>
      <c r="D12" s="193">
        <f>данные!D57</f>
        <v>744733.09148000006</v>
      </c>
      <c r="E12" s="199">
        <f t="shared" si="0"/>
        <v>5.3694354881373751E-2</v>
      </c>
      <c r="F12" s="199">
        <f t="shared" si="1"/>
        <v>0.14835346450137443</v>
      </c>
      <c r="G12" s="194">
        <f t="shared" si="2"/>
        <v>37950.248780000024</v>
      </c>
      <c r="H12" s="195">
        <f t="shared" si="3"/>
        <v>1.0536943548813738</v>
      </c>
    </row>
    <row r="13" spans="1:14" s="187" customFormat="1" ht="18" customHeight="1" x14ac:dyDescent="0.2">
      <c r="A13" s="192" t="s">
        <v>337</v>
      </c>
      <c r="B13" s="193">
        <f>данные!B67</f>
        <v>563751.70570000005</v>
      </c>
      <c r="C13" s="193">
        <f>данные!C67</f>
        <v>601620.10514999996</v>
      </c>
      <c r="D13" s="193">
        <f>данные!D67</f>
        <v>570520.16610999999</v>
      </c>
      <c r="E13" s="199">
        <f t="shared" si="0"/>
        <v>-5.1693649819508525E-2</v>
      </c>
      <c r="F13" s="199">
        <f t="shared" si="1"/>
        <v>1.2006101873511366E-2</v>
      </c>
      <c r="G13" s="194">
        <f t="shared" si="2"/>
        <v>-31099.939039999968</v>
      </c>
      <c r="H13" s="195">
        <f t="shared" si="3"/>
        <v>0.94830635018049148</v>
      </c>
    </row>
    <row r="14" spans="1:14" s="187" customFormat="1" ht="18" customHeight="1" x14ac:dyDescent="0.2">
      <c r="A14" s="192" t="s">
        <v>348</v>
      </c>
      <c r="B14" s="193">
        <f>данные!B78</f>
        <v>407989.49579000002</v>
      </c>
      <c r="C14" s="193">
        <f>данные!C78</f>
        <v>461149.35232000001</v>
      </c>
      <c r="D14" s="193">
        <f>данные!D78</f>
        <v>453099.64322000003</v>
      </c>
      <c r="E14" s="199">
        <f t="shared" si="0"/>
        <v>-1.7455752804384606E-2</v>
      </c>
      <c r="F14" s="199">
        <f t="shared" si="1"/>
        <v>0.11056693345168633</v>
      </c>
      <c r="G14" s="194">
        <f t="shared" si="2"/>
        <v>-8049.7090999999782</v>
      </c>
      <c r="H14" s="195">
        <f t="shared" si="3"/>
        <v>0.98254424719561539</v>
      </c>
    </row>
    <row r="15" spans="1:14" s="187" customFormat="1" ht="18" customHeight="1" x14ac:dyDescent="0.2">
      <c r="A15" s="192" t="s">
        <v>357</v>
      </c>
      <c r="B15" s="193">
        <f>данные!B87+данные!B89</f>
        <v>1460455.9402300001</v>
      </c>
      <c r="C15" s="193">
        <f>данные!C87+данные!C89</f>
        <v>1624282.1954899998</v>
      </c>
      <c r="D15" s="193">
        <f>данные!D87+данные!D89</f>
        <v>1944103.9206899998</v>
      </c>
      <c r="E15" s="199">
        <f t="shared" si="0"/>
        <v>0.19690034532670531</v>
      </c>
      <c r="F15" s="199">
        <f t="shared" si="1"/>
        <v>0.33116232207856422</v>
      </c>
      <c r="G15" s="194">
        <f t="shared" si="2"/>
        <v>319821.72519999999</v>
      </c>
      <c r="H15" s="195">
        <f t="shared" si="3"/>
        <v>1.1969003453267053</v>
      </c>
    </row>
    <row r="18" spans="1:8" s="187" customFormat="1" ht="15" x14ac:dyDescent="0.2">
      <c r="A18" s="426" t="s">
        <v>277</v>
      </c>
      <c r="B18" s="427" t="s">
        <v>366</v>
      </c>
      <c r="C18" s="428"/>
      <c r="D18" s="429"/>
      <c r="E18" s="427" t="s">
        <v>367</v>
      </c>
      <c r="F18" s="429"/>
      <c r="G18" s="196"/>
      <c r="H18" s="196"/>
    </row>
    <row r="19" spans="1:8" s="187" customFormat="1" ht="45" x14ac:dyDescent="0.2">
      <c r="A19" s="426"/>
      <c r="B19" s="198" t="str">
        <f>B7</f>
        <v>факт янв-июль 2021</v>
      </c>
      <c r="C19" s="198" t="str">
        <f t="shared" ref="C19:D19" si="4">C7</f>
        <v>план янв-июль 2022</v>
      </c>
      <c r="D19" s="198" t="str">
        <f t="shared" si="4"/>
        <v>факт янв-июль 2022</v>
      </c>
      <c r="E19" s="198" t="str">
        <f>E7</f>
        <v>факт 22/план 22</v>
      </c>
      <c r="F19" s="198" t="str">
        <f>F7</f>
        <v>факт 22/факт 21</v>
      </c>
      <c r="G19" s="197"/>
      <c r="H19" s="197" t="s">
        <v>368</v>
      </c>
    </row>
    <row r="20" spans="1:8" s="187" customFormat="1" ht="15" x14ac:dyDescent="0.2">
      <c r="A20" s="192" t="s">
        <v>280</v>
      </c>
      <c r="B20" s="193">
        <f>данные!O8</f>
        <v>472696.84729000001</v>
      </c>
      <c r="C20" s="193">
        <f>данные!P8</f>
        <v>523817.15717999998</v>
      </c>
      <c r="D20" s="193">
        <f>данные!Q8</f>
        <v>534843.54539999994</v>
      </c>
      <c r="E20" s="199">
        <f t="shared" ref="E20:E27" si="5">D20/C20-100%</f>
        <v>2.1050070752476335E-2</v>
      </c>
      <c r="F20" s="199">
        <f t="shared" ref="F20:F27" si="6">D20/B20-100%</f>
        <v>0.13147263085482952</v>
      </c>
      <c r="G20" s="194">
        <f t="shared" ref="G20:G27" si="7">D20-C20</f>
        <v>11026.388219999964</v>
      </c>
      <c r="H20" s="195">
        <f t="shared" ref="H20:H27" si="8">D20/C20</f>
        <v>1.0210500707524763</v>
      </c>
    </row>
    <row r="21" spans="1:8" s="187" customFormat="1" ht="15" x14ac:dyDescent="0.2">
      <c r="A21" s="192" t="s">
        <v>297</v>
      </c>
      <c r="B21" s="193">
        <f>данные!O25</f>
        <v>687838.44638999994</v>
      </c>
      <c r="C21" s="193">
        <f>данные!P25</f>
        <v>807739.57551999995</v>
      </c>
      <c r="D21" s="193">
        <f>данные!Q25</f>
        <v>706306.16942999989</v>
      </c>
      <c r="E21" s="199">
        <f t="shared" si="5"/>
        <v>-0.12557686804524848</v>
      </c>
      <c r="F21" s="199">
        <f t="shared" si="6"/>
        <v>2.6848925262791923E-2</v>
      </c>
      <c r="G21" s="194">
        <f t="shared" si="7"/>
        <v>-101433.40609000006</v>
      </c>
      <c r="H21" s="195">
        <f t="shared" si="8"/>
        <v>0.87442313195475152</v>
      </c>
    </row>
    <row r="22" spans="1:8" s="187" customFormat="1" ht="15" x14ac:dyDescent="0.2">
      <c r="A22" s="192" t="s">
        <v>306</v>
      </c>
      <c r="B22" s="193">
        <f>данные!O34</f>
        <v>420934.99612999998</v>
      </c>
      <c r="C22" s="193">
        <f>данные!P34</f>
        <v>461819.93680000002</v>
      </c>
      <c r="D22" s="193">
        <f>данные!Q34</f>
        <v>453399.39257999999</v>
      </c>
      <c r="E22" s="199">
        <f t="shared" si="5"/>
        <v>-1.8233392603937526E-2</v>
      </c>
      <c r="F22" s="199">
        <f t="shared" si="6"/>
        <v>7.7124488931715751E-2</v>
      </c>
      <c r="G22" s="194">
        <f t="shared" si="7"/>
        <v>-8420.5442200000398</v>
      </c>
      <c r="H22" s="195">
        <f t="shared" si="8"/>
        <v>0.98176660739606247</v>
      </c>
    </row>
    <row r="23" spans="1:8" s="187" customFormat="1" ht="15" x14ac:dyDescent="0.2">
      <c r="A23" s="192" t="s">
        <v>316</v>
      </c>
      <c r="B23" s="193">
        <f>данные!O46</f>
        <v>411082.25293999998</v>
      </c>
      <c r="C23" s="193">
        <f>данные!P46</f>
        <v>419784.35294999997</v>
      </c>
      <c r="D23" s="193">
        <f>данные!Q46</f>
        <v>408134.61582000001</v>
      </c>
      <c r="E23" s="199">
        <f t="shared" si="5"/>
        <v>-2.7751718348081322E-2</v>
      </c>
      <c r="F23" s="199">
        <f t="shared" si="6"/>
        <v>-7.1704314621195975E-3</v>
      </c>
      <c r="G23" s="194">
        <f t="shared" si="7"/>
        <v>-11649.737129999965</v>
      </c>
      <c r="H23" s="195">
        <f t="shared" si="8"/>
        <v>0.97224828165191868</v>
      </c>
    </row>
    <row r="24" spans="1:8" s="187" customFormat="1" ht="15" x14ac:dyDescent="0.2">
      <c r="A24" s="192" t="s">
        <v>327</v>
      </c>
      <c r="B24" s="193">
        <f>данные!O57</f>
        <v>548291.12202000001</v>
      </c>
      <c r="C24" s="193">
        <f>данные!P57</f>
        <v>603213.81808</v>
      </c>
      <c r="D24" s="193">
        <f>данные!Q57</f>
        <v>613149.77014000004</v>
      </c>
      <c r="E24" s="199">
        <f t="shared" si="5"/>
        <v>1.6471691732171667E-2</v>
      </c>
      <c r="F24" s="199">
        <f t="shared" si="6"/>
        <v>0.11829235512887659</v>
      </c>
      <c r="G24" s="194">
        <f t="shared" si="7"/>
        <v>9935.9520600000396</v>
      </c>
      <c r="H24" s="195">
        <f t="shared" si="8"/>
        <v>1.0164716917321717</v>
      </c>
    </row>
    <row r="25" spans="1:8" s="187" customFormat="1" ht="15" x14ac:dyDescent="0.2">
      <c r="A25" s="192" t="s">
        <v>337</v>
      </c>
      <c r="B25" s="193">
        <f>данные!O67</f>
        <v>553970.04579</v>
      </c>
      <c r="C25" s="193">
        <f>данные!P67</f>
        <v>591783.65197000001</v>
      </c>
      <c r="D25" s="193">
        <f>данные!Q67</f>
        <v>573203.44053000002</v>
      </c>
      <c r="E25" s="199">
        <f t="shared" si="5"/>
        <v>-3.1396966405117799E-2</v>
      </c>
      <c r="F25" s="199">
        <f t="shared" si="6"/>
        <v>3.4719196256490559E-2</v>
      </c>
      <c r="G25" s="194">
        <f t="shared" si="7"/>
        <v>-18580.211439999985</v>
      </c>
      <c r="H25" s="195">
        <f t="shared" si="8"/>
        <v>0.9686030335948822</v>
      </c>
    </row>
    <row r="26" spans="1:8" s="187" customFormat="1" ht="15" x14ac:dyDescent="0.2">
      <c r="A26" s="192" t="s">
        <v>348</v>
      </c>
      <c r="B26" s="193">
        <f>данные!O78</f>
        <v>401895.65057</v>
      </c>
      <c r="C26" s="193">
        <f>данные!P78</f>
        <v>439055.85616000002</v>
      </c>
      <c r="D26" s="193">
        <f>данные!Q78</f>
        <v>409756.06851000001</v>
      </c>
      <c r="E26" s="199">
        <f t="shared" si="5"/>
        <v>-6.6733622246283431E-2</v>
      </c>
      <c r="F26" s="199">
        <f t="shared" si="6"/>
        <v>1.9558355331419364E-2</v>
      </c>
      <c r="G26" s="194">
        <f t="shared" si="7"/>
        <v>-29299.787650000013</v>
      </c>
      <c r="H26" s="195">
        <f t="shared" si="8"/>
        <v>0.93326637775371657</v>
      </c>
    </row>
    <row r="27" spans="1:8" s="187" customFormat="1" ht="15" x14ac:dyDescent="0.2">
      <c r="A27" s="192" t="s">
        <v>357</v>
      </c>
      <c r="B27" s="193">
        <f>данные!O87+данные!O89</f>
        <v>1457423.11659</v>
      </c>
      <c r="C27" s="193">
        <f>данные!P87+данные!P89</f>
        <v>1545169.8327000001</v>
      </c>
      <c r="D27" s="193">
        <f>данные!Q87+данные!Q89</f>
        <v>1746598.6298399998</v>
      </c>
      <c r="E27" s="199">
        <f t="shared" si="5"/>
        <v>0.1303602962452528</v>
      </c>
      <c r="F27" s="199">
        <f t="shared" si="6"/>
        <v>0.19841562135133217</v>
      </c>
      <c r="G27" s="194">
        <f t="shared" si="7"/>
        <v>201428.79713999969</v>
      </c>
      <c r="H27" s="195">
        <f t="shared" si="8"/>
        <v>1.1303602962452528</v>
      </c>
    </row>
    <row r="28" spans="1:8" s="187" customFormat="1" ht="15" x14ac:dyDescent="0.2"/>
    <row r="29" spans="1:8" s="187" customFormat="1" ht="15" x14ac:dyDescent="0.2"/>
    <row r="30" spans="1:8" s="187" customFormat="1" ht="15" x14ac:dyDescent="0.2">
      <c r="A30" s="430" t="s">
        <v>277</v>
      </c>
      <c r="B30" s="425" t="s">
        <v>7</v>
      </c>
      <c r="C30" s="425"/>
      <c r="D30" s="425"/>
      <c r="E30" s="425" t="s">
        <v>367</v>
      </c>
      <c r="F30" s="425"/>
      <c r="G30" s="191"/>
      <c r="H30" s="191"/>
    </row>
    <row r="31" spans="1:8" s="187" customFormat="1" ht="45" x14ac:dyDescent="0.2">
      <c r="A31" s="430"/>
      <c r="B31" s="263" t="str">
        <f>B19</f>
        <v>факт янв-июль 2021</v>
      </c>
      <c r="C31" s="263" t="str">
        <f t="shared" ref="C31:F31" si="9">C19</f>
        <v>план янв-июль 2022</v>
      </c>
      <c r="D31" s="263" t="str">
        <f t="shared" si="9"/>
        <v>факт янв-июль 2022</v>
      </c>
      <c r="E31" s="263" t="str">
        <f t="shared" si="9"/>
        <v>факт 22/план 22</v>
      </c>
      <c r="F31" s="263" t="str">
        <f t="shared" si="9"/>
        <v>факт 22/факт 21</v>
      </c>
      <c r="G31" s="190"/>
      <c r="H31" s="190" t="s">
        <v>368</v>
      </c>
    </row>
    <row r="32" spans="1:8" s="187" customFormat="1" ht="18" customHeight="1" x14ac:dyDescent="0.2">
      <c r="A32" s="192" t="s">
        <v>280</v>
      </c>
      <c r="B32" s="193">
        <f>данные!S8</f>
        <v>106534.62324</v>
      </c>
      <c r="C32" s="193">
        <f>данные!T8</f>
        <v>98623.616620000001</v>
      </c>
      <c r="D32" s="193">
        <f>данные!U8</f>
        <v>104687.27681</v>
      </c>
      <c r="E32" s="199">
        <f t="shared" ref="E32:E39" si="10">D32/C32-100%</f>
        <v>6.1482841512124464E-2</v>
      </c>
      <c r="F32" s="199">
        <f t="shared" ref="F32:F36" si="11">D32/B32-100%</f>
        <v>-1.7340338509841291E-2</v>
      </c>
      <c r="G32" s="194">
        <f>D32-C32</f>
        <v>6063.6601899999951</v>
      </c>
      <c r="H32" s="195">
        <f>D32/C32</f>
        <v>1.0614828415121245</v>
      </c>
    </row>
    <row r="33" spans="1:8" s="187" customFormat="1" ht="18" customHeight="1" x14ac:dyDescent="0.2">
      <c r="A33" s="192" t="s">
        <v>297</v>
      </c>
      <c r="B33" s="193">
        <f>данные!S25</f>
        <v>132808.96226999999</v>
      </c>
      <c r="C33" s="193">
        <f>данные!T25</f>
        <v>132999.95483999999</v>
      </c>
      <c r="D33" s="193">
        <f>данные!U25</f>
        <v>150110.96733000001</v>
      </c>
      <c r="E33" s="199">
        <f t="shared" si="10"/>
        <v>0.12865427293253373</v>
      </c>
      <c r="F33" s="199">
        <f t="shared" si="11"/>
        <v>0.13027739065399158</v>
      </c>
      <c r="G33" s="194">
        <f t="shared" ref="G33:G39" si="12">D33-C33</f>
        <v>17111.012490000023</v>
      </c>
      <c r="H33" s="195">
        <f t="shared" ref="H33:H39" si="13">D33/C33</f>
        <v>1.1286542729325337</v>
      </c>
    </row>
    <row r="34" spans="1:8" s="187" customFormat="1" ht="18" customHeight="1" x14ac:dyDescent="0.2">
      <c r="A34" s="192" t="s">
        <v>306</v>
      </c>
      <c r="B34" s="193">
        <f>данные!S34</f>
        <v>21659.861649999999</v>
      </c>
      <c r="C34" s="193">
        <f>данные!T34</f>
        <v>25654.24307</v>
      </c>
      <c r="D34" s="193">
        <f>данные!U34</f>
        <v>27332.272199999999</v>
      </c>
      <c r="E34" s="199">
        <f t="shared" si="10"/>
        <v>6.5409418840436606E-2</v>
      </c>
      <c r="F34" s="199">
        <f t="shared" si="11"/>
        <v>0.26188581633899766</v>
      </c>
      <c r="G34" s="194">
        <f t="shared" si="12"/>
        <v>1678.029129999999</v>
      </c>
      <c r="H34" s="195">
        <f t="shared" si="13"/>
        <v>1.0654094188404366</v>
      </c>
    </row>
    <row r="35" spans="1:8" s="187" customFormat="1" ht="18" customHeight="1" x14ac:dyDescent="0.2">
      <c r="A35" s="192" t="s">
        <v>316</v>
      </c>
      <c r="B35" s="193">
        <f>данные!S46</f>
        <v>22295.513640000001</v>
      </c>
      <c r="C35" s="193">
        <f>данные!T46</f>
        <v>47390.513119999996</v>
      </c>
      <c r="D35" s="193">
        <f>данные!U46</f>
        <v>43297.200819999998</v>
      </c>
      <c r="E35" s="199">
        <f t="shared" si="10"/>
        <v>-8.637408693244375E-2</v>
      </c>
      <c r="F35" s="199">
        <f>(D35/B35-100%)</f>
        <v>0.94196920147743213</v>
      </c>
      <c r="G35" s="194">
        <f t="shared" si="12"/>
        <v>-4093.3122999999978</v>
      </c>
      <c r="H35" s="195">
        <f t="shared" si="13"/>
        <v>0.91362591306755625</v>
      </c>
    </row>
    <row r="36" spans="1:8" s="187" customFormat="1" ht="18" customHeight="1" x14ac:dyDescent="0.2">
      <c r="A36" s="192" t="s">
        <v>327</v>
      </c>
      <c r="B36" s="193">
        <f>данные!S57</f>
        <v>102763.19241</v>
      </c>
      <c r="C36" s="193">
        <f>данные!T57</f>
        <v>96280.146819999994</v>
      </c>
      <c r="D36" s="193">
        <f>данные!U57</f>
        <v>113637.44145</v>
      </c>
      <c r="E36" s="199">
        <f t="shared" si="10"/>
        <v>0.18027906274852534</v>
      </c>
      <c r="F36" s="214">
        <f t="shared" si="11"/>
        <v>0.1058185210577578</v>
      </c>
      <c r="G36" s="194">
        <f t="shared" si="12"/>
        <v>17357.294630000004</v>
      </c>
      <c r="H36" s="195">
        <f t="shared" si="13"/>
        <v>1.1802790627485253</v>
      </c>
    </row>
    <row r="37" spans="1:8" s="187" customFormat="1" ht="18" customHeight="1" x14ac:dyDescent="0.2">
      <c r="A37" s="192" t="s">
        <v>337</v>
      </c>
      <c r="B37" s="193">
        <f>данные!S67</f>
        <v>12306.831749999999</v>
      </c>
      <c r="C37" s="193">
        <f>данные!T67</f>
        <v>11421.419959999999</v>
      </c>
      <c r="D37" s="193">
        <f>данные!U67</f>
        <v>-1338.0232699999999</v>
      </c>
      <c r="E37" s="199">
        <f>(D37/C37-100%)</f>
        <v>-1.1171503433623853</v>
      </c>
      <c r="F37" s="199">
        <f>(D37/B37-100%)</f>
        <v>-1.1087219925631957</v>
      </c>
      <c r="G37" s="194">
        <f t="shared" si="12"/>
        <v>-12759.443229999999</v>
      </c>
      <c r="H37" s="195">
        <f t="shared" si="13"/>
        <v>-0.11715034336238521</v>
      </c>
    </row>
    <row r="38" spans="1:8" s="187" customFormat="1" ht="18" customHeight="1" x14ac:dyDescent="0.2">
      <c r="A38" s="192" t="s">
        <v>348</v>
      </c>
      <c r="B38" s="193">
        <f>данные!S78</f>
        <v>9848.1376799999998</v>
      </c>
      <c r="C38" s="193">
        <f>данные!T78</f>
        <v>20453.0488</v>
      </c>
      <c r="D38" s="193">
        <f>данные!U78</f>
        <v>38023.199329999996</v>
      </c>
      <c r="E38" s="199">
        <f>(D38/C38-100%)</f>
        <v>0.85904799337299753</v>
      </c>
      <c r="F38" s="199">
        <f>(D38/B38-100%)</f>
        <v>2.8609532650238085</v>
      </c>
      <c r="G38" s="194">
        <f t="shared" si="12"/>
        <v>17570.150529999995</v>
      </c>
      <c r="H38" s="195">
        <f t="shared" si="13"/>
        <v>1.8590479933729975</v>
      </c>
    </row>
    <row r="39" spans="1:8" s="187" customFormat="1" ht="18" customHeight="1" x14ac:dyDescent="0.2">
      <c r="A39" s="192" t="s">
        <v>357</v>
      </c>
      <c r="B39" s="193">
        <f>данные!S87+данные!S89</f>
        <v>35203.842479999999</v>
      </c>
      <c r="C39" s="193">
        <f>данные!T87+данные!T89</f>
        <v>111209.58968999999</v>
      </c>
      <c r="D39" s="193">
        <f>данные!U87+данные!U89</f>
        <v>182848.19055</v>
      </c>
      <c r="E39" s="199">
        <f t="shared" si="10"/>
        <v>0.64417646949057827</v>
      </c>
      <c r="F39" s="199">
        <f>(D39/B39-100%)</f>
        <v>4.1939838855340774</v>
      </c>
      <c r="G39" s="194">
        <f t="shared" si="12"/>
        <v>71638.600860000006</v>
      </c>
      <c r="H39" s="195">
        <f t="shared" si="13"/>
        <v>1.6441764694905783</v>
      </c>
    </row>
    <row r="43" spans="1:8" ht="19.5" customHeight="1" x14ac:dyDescent="0.25"/>
  </sheetData>
  <customSheetViews>
    <customSheetView guid="{38D37C3F-FD9B-4DF6-A86F-8343B05C36EA}" scale="80" fitToPage="1" hiddenColumns="1">
      <selection activeCell="E11" sqref="E11"/>
      <pageMargins left="0.7" right="0.7" top="0.75" bottom="0.75" header="0.3" footer="0.3"/>
      <pageSetup paperSize="9" scale="32" orientation="portrait" r:id="rId1"/>
    </customSheetView>
  </customSheetViews>
  <mergeCells count="9">
    <mergeCell ref="E6:F6"/>
    <mergeCell ref="E30:F30"/>
    <mergeCell ref="A18:A19"/>
    <mergeCell ref="B6:D6"/>
    <mergeCell ref="B18:D18"/>
    <mergeCell ref="E18:F18"/>
    <mergeCell ref="B30:D30"/>
    <mergeCell ref="A6:A7"/>
    <mergeCell ref="A30:A31"/>
  </mergeCells>
  <conditionalFormatting sqref="E8:F15">
    <cfRule type="cellIs" dxfId="87" priority="7" operator="lessThan">
      <formula>0</formula>
    </cfRule>
    <cfRule type="cellIs" dxfId="86" priority="8" operator="greaterThan">
      <formula>0</formula>
    </cfRule>
  </conditionalFormatting>
  <conditionalFormatting sqref="E32:F39">
    <cfRule type="cellIs" dxfId="85" priority="5" operator="lessThan">
      <formula>0</formula>
    </cfRule>
    <cfRule type="cellIs" dxfId="84" priority="6" operator="greaterThan">
      <formula>0</formula>
    </cfRule>
  </conditionalFormatting>
  <conditionalFormatting sqref="E20:F27">
    <cfRule type="cellIs" dxfId="83" priority="3" operator="lessThan">
      <formula>0</formula>
    </cfRule>
    <cfRule type="cellIs" dxfId="82" priority="4" operator="greaterThan">
      <formula>0</formula>
    </cfRule>
  </conditionalFormatting>
  <pageMargins left="0.7" right="0.7" top="0.75" bottom="0.75" header="0.3" footer="0.3"/>
  <pageSetup paperSize="9" scale="24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104529-20F9-4AA5-AF6F-D11B9ACDF528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2"/>
              <x14:cfIcon iconSet="3Arrows" iconId="2"/>
              <x14:cfIcon iconSet="3Arrows" iconId="0"/>
            </x14:iconSet>
          </x14:cfRule>
          <xm:sqref>E20:F27</xm:sqref>
        </x14:conditionalFormatting>
        <x14:conditionalFormatting xmlns:xm="http://schemas.microsoft.com/office/excel/2006/main">
          <x14:cfRule type="iconSet" priority="2" id="{A4D3D7A9-2F7C-4AF5-A0F8-B7D1C65D0549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E8:F15 E32:F39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2"/>
  <sheetViews>
    <sheetView workbookViewId="0">
      <selection activeCell="K28" sqref="K28"/>
    </sheetView>
  </sheetViews>
  <sheetFormatPr defaultRowHeight="15" x14ac:dyDescent="0.25"/>
  <cols>
    <col min="3" max="3" width="37.5703125" customWidth="1"/>
    <col min="4" max="5" width="17" hidden="1" customWidth="1"/>
    <col min="6" max="6" width="17" customWidth="1"/>
    <col min="7" max="10" width="17" hidden="1" customWidth="1"/>
    <col min="11" max="14" width="17" customWidth="1"/>
    <col min="15" max="15" width="15.7109375" bestFit="1" customWidth="1"/>
    <col min="16" max="16" width="15" bestFit="1" customWidth="1"/>
    <col min="17" max="17" width="15" customWidth="1"/>
    <col min="18" max="18" width="12.85546875" customWidth="1"/>
    <col min="19" max="29" width="17" customWidth="1"/>
    <col min="30" max="30" width="15.7109375" bestFit="1" customWidth="1"/>
    <col min="31" max="31" width="15" bestFit="1" customWidth="1"/>
    <col min="32" max="32" width="15" customWidth="1"/>
    <col min="33" max="33" width="12.85546875" customWidth="1"/>
    <col min="34" max="44" width="17" customWidth="1"/>
    <col min="45" max="45" width="15.7109375" bestFit="1" customWidth="1"/>
    <col min="46" max="46" width="15" bestFit="1" customWidth="1"/>
    <col min="47" max="47" width="15" customWidth="1"/>
    <col min="48" max="48" width="12.85546875" customWidth="1"/>
    <col min="49" max="59" width="17" customWidth="1"/>
    <col min="60" max="60" width="15.7109375" bestFit="1" customWidth="1"/>
    <col min="61" max="61" width="15" bestFit="1" customWidth="1"/>
    <col min="62" max="62" width="13.140625" customWidth="1"/>
    <col min="63" max="63" width="12.85546875" customWidth="1"/>
    <col min="64" max="74" width="17" customWidth="1"/>
    <col min="75" max="75" width="15.7109375" bestFit="1" customWidth="1"/>
    <col min="76" max="76" width="15" bestFit="1" customWidth="1"/>
    <col min="77" max="77" width="13.140625" customWidth="1"/>
    <col min="78" max="78" width="12.85546875" customWidth="1"/>
    <col min="79" max="89" width="17" customWidth="1"/>
    <col min="90" max="90" width="15.7109375" bestFit="1" customWidth="1"/>
    <col min="91" max="91" width="15" bestFit="1" customWidth="1"/>
    <col min="92" max="92" width="13.140625" customWidth="1"/>
    <col min="93" max="93" width="12.85546875" customWidth="1"/>
  </cols>
  <sheetData>
    <row r="1" spans="1:93" x14ac:dyDescent="0.25">
      <c r="D1" s="431" t="s">
        <v>729</v>
      </c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3"/>
      <c r="R1" s="434"/>
      <c r="S1" s="431" t="s">
        <v>730</v>
      </c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3"/>
      <c r="AG1" s="434"/>
      <c r="AH1" s="431" t="s">
        <v>731</v>
      </c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3"/>
      <c r="AV1" s="434"/>
      <c r="AW1" s="431" t="s">
        <v>732</v>
      </c>
      <c r="AX1" s="432"/>
      <c r="AY1" s="432"/>
      <c r="AZ1" s="432"/>
      <c r="BA1" s="432"/>
      <c r="BB1" s="432"/>
      <c r="BC1" s="432"/>
      <c r="BD1" s="432"/>
      <c r="BE1" s="432"/>
      <c r="BF1" s="432"/>
      <c r="BG1" s="432"/>
      <c r="BH1" s="432"/>
      <c r="BI1" s="432"/>
      <c r="BJ1" s="433"/>
      <c r="BK1" s="434"/>
      <c r="BL1" s="431" t="s">
        <v>733</v>
      </c>
      <c r="BM1" s="432"/>
      <c r="BN1" s="432"/>
      <c r="BO1" s="432"/>
      <c r="BP1" s="432"/>
      <c r="BQ1" s="432"/>
      <c r="BR1" s="432"/>
      <c r="BS1" s="432"/>
      <c r="BT1" s="432"/>
      <c r="BU1" s="432"/>
      <c r="BV1" s="432"/>
      <c r="BW1" s="432"/>
      <c r="BX1" s="432"/>
      <c r="BY1" s="433"/>
      <c r="BZ1" s="434"/>
      <c r="CA1" s="431" t="s">
        <v>734</v>
      </c>
      <c r="CB1" s="432"/>
      <c r="CC1" s="432"/>
      <c r="CD1" s="432"/>
      <c r="CE1" s="432"/>
      <c r="CF1" s="432"/>
      <c r="CG1" s="432"/>
      <c r="CH1" s="432"/>
      <c r="CI1" s="432"/>
      <c r="CJ1" s="432"/>
      <c r="CK1" s="432"/>
      <c r="CL1" s="432"/>
      <c r="CM1" s="432"/>
      <c r="CN1" s="433"/>
      <c r="CO1" s="434"/>
    </row>
    <row r="2" spans="1:93" ht="60" x14ac:dyDescent="0.25">
      <c r="D2" s="161" t="s">
        <v>735</v>
      </c>
      <c r="E2" s="162" t="s">
        <v>736</v>
      </c>
      <c r="F2" s="162" t="s">
        <v>737</v>
      </c>
      <c r="G2" s="162" t="s">
        <v>738</v>
      </c>
      <c r="H2" s="162" t="s">
        <v>381</v>
      </c>
      <c r="I2" s="162" t="s">
        <v>739</v>
      </c>
      <c r="J2" s="162" t="s">
        <v>740</v>
      </c>
      <c r="K2" s="162" t="s">
        <v>741</v>
      </c>
      <c r="L2" s="162" t="s">
        <v>742</v>
      </c>
      <c r="M2" s="162" t="s">
        <v>743</v>
      </c>
      <c r="N2" s="162" t="s">
        <v>744</v>
      </c>
      <c r="O2" s="162" t="s">
        <v>745</v>
      </c>
      <c r="P2" s="162" t="s">
        <v>746</v>
      </c>
      <c r="Q2" s="162" t="s">
        <v>747</v>
      </c>
      <c r="R2" s="163" t="s">
        <v>748</v>
      </c>
      <c r="S2" s="161" t="s">
        <v>735</v>
      </c>
      <c r="T2" s="162" t="s">
        <v>736</v>
      </c>
      <c r="U2" s="162" t="s">
        <v>737</v>
      </c>
      <c r="V2" s="162" t="s">
        <v>738</v>
      </c>
      <c r="W2" s="162" t="s">
        <v>381</v>
      </c>
      <c r="X2" s="162" t="s">
        <v>739</v>
      </c>
      <c r="Y2" s="162" t="s">
        <v>740</v>
      </c>
      <c r="Z2" s="162" t="s">
        <v>741</v>
      </c>
      <c r="AA2" s="162" t="s">
        <v>742</v>
      </c>
      <c r="AB2" s="162" t="s">
        <v>743</v>
      </c>
      <c r="AC2" s="162" t="s">
        <v>744</v>
      </c>
      <c r="AD2" s="162" t="s">
        <v>745</v>
      </c>
      <c r="AE2" s="162" t="s">
        <v>746</v>
      </c>
      <c r="AF2" s="162" t="s">
        <v>747</v>
      </c>
      <c r="AG2" s="163" t="s">
        <v>748</v>
      </c>
      <c r="AH2" s="161" t="s">
        <v>735</v>
      </c>
      <c r="AI2" s="162" t="s">
        <v>736</v>
      </c>
      <c r="AJ2" s="162" t="s">
        <v>737</v>
      </c>
      <c r="AK2" s="162" t="s">
        <v>738</v>
      </c>
      <c r="AL2" s="162" t="s">
        <v>381</v>
      </c>
      <c r="AM2" s="162" t="s">
        <v>739</v>
      </c>
      <c r="AN2" s="162" t="s">
        <v>740</v>
      </c>
      <c r="AO2" s="162" t="s">
        <v>741</v>
      </c>
      <c r="AP2" s="162" t="s">
        <v>742</v>
      </c>
      <c r="AQ2" s="162" t="s">
        <v>743</v>
      </c>
      <c r="AR2" s="162" t="s">
        <v>749</v>
      </c>
      <c r="AS2" s="162" t="s">
        <v>745</v>
      </c>
      <c r="AT2" s="162" t="s">
        <v>746</v>
      </c>
      <c r="AU2" s="162" t="s">
        <v>747</v>
      </c>
      <c r="AV2" s="163" t="s">
        <v>748</v>
      </c>
      <c r="AW2" s="161" t="s">
        <v>735</v>
      </c>
      <c r="AX2" s="162" t="s">
        <v>736</v>
      </c>
      <c r="AY2" s="162" t="s">
        <v>737</v>
      </c>
      <c r="AZ2" s="162" t="s">
        <v>738</v>
      </c>
      <c r="BA2" s="162" t="s">
        <v>381</v>
      </c>
      <c r="BB2" s="162" t="s">
        <v>739</v>
      </c>
      <c r="BC2" s="162" t="s">
        <v>740</v>
      </c>
      <c r="BD2" s="162" t="s">
        <v>741</v>
      </c>
      <c r="BE2" s="162" t="s">
        <v>742</v>
      </c>
      <c r="BF2" s="162" t="s">
        <v>743</v>
      </c>
      <c r="BG2" s="162" t="s">
        <v>744</v>
      </c>
      <c r="BH2" s="162" t="s">
        <v>745</v>
      </c>
      <c r="BI2" s="162" t="s">
        <v>746</v>
      </c>
      <c r="BJ2" s="162" t="s">
        <v>747</v>
      </c>
      <c r="BK2" s="163" t="s">
        <v>748</v>
      </c>
      <c r="BL2" s="161" t="s">
        <v>735</v>
      </c>
      <c r="BM2" s="162" t="s">
        <v>736</v>
      </c>
      <c r="BN2" s="162" t="s">
        <v>737</v>
      </c>
      <c r="BO2" s="162" t="s">
        <v>738</v>
      </c>
      <c r="BP2" s="162" t="s">
        <v>381</v>
      </c>
      <c r="BQ2" s="162" t="s">
        <v>739</v>
      </c>
      <c r="BR2" s="162" t="s">
        <v>740</v>
      </c>
      <c r="BS2" s="162" t="s">
        <v>741</v>
      </c>
      <c r="BT2" s="162" t="s">
        <v>742</v>
      </c>
      <c r="BU2" s="162" t="s">
        <v>743</v>
      </c>
      <c r="BV2" s="162" t="s">
        <v>749</v>
      </c>
      <c r="BW2" s="162" t="s">
        <v>745</v>
      </c>
      <c r="BX2" s="162" t="s">
        <v>746</v>
      </c>
      <c r="BY2" s="162" t="s">
        <v>747</v>
      </c>
      <c r="BZ2" s="163" t="s">
        <v>748</v>
      </c>
      <c r="CA2" s="161" t="s">
        <v>735</v>
      </c>
      <c r="CB2" s="162" t="s">
        <v>736</v>
      </c>
      <c r="CC2" s="162" t="s">
        <v>737</v>
      </c>
      <c r="CD2" s="162" t="s">
        <v>738</v>
      </c>
      <c r="CE2" s="162" t="s">
        <v>381</v>
      </c>
      <c r="CF2" s="162" t="s">
        <v>739</v>
      </c>
      <c r="CG2" s="162" t="s">
        <v>740</v>
      </c>
      <c r="CH2" s="162" t="s">
        <v>741</v>
      </c>
      <c r="CI2" s="162" t="s">
        <v>742</v>
      </c>
      <c r="CJ2" s="162" t="s">
        <v>743</v>
      </c>
      <c r="CK2" s="162" t="s">
        <v>744</v>
      </c>
      <c r="CL2" s="162" t="s">
        <v>745</v>
      </c>
      <c r="CM2" s="162" t="s">
        <v>746</v>
      </c>
      <c r="CN2" s="162" t="s">
        <v>747</v>
      </c>
      <c r="CO2" s="163" t="s">
        <v>748</v>
      </c>
    </row>
    <row r="3" spans="1:93" ht="18" x14ac:dyDescent="0.25">
      <c r="A3" s="164"/>
      <c r="B3" s="165">
        <v>3</v>
      </c>
      <c r="C3" s="166" t="s">
        <v>750</v>
      </c>
      <c r="D3" s="167">
        <f t="shared" ref="D3:J3" si="0">D4+D12</f>
        <v>1154233260.73</v>
      </c>
      <c r="E3" s="167">
        <f t="shared" si="0"/>
        <v>1152459700.6600001</v>
      </c>
      <c r="F3" s="167">
        <f t="shared" si="0"/>
        <v>1810.5000000000002</v>
      </c>
      <c r="G3" s="167">
        <f t="shared" si="0"/>
        <v>260645631.05000004</v>
      </c>
      <c r="H3" s="167">
        <f t="shared" si="0"/>
        <v>838115224.24000001</v>
      </c>
      <c r="I3" s="167">
        <f t="shared" si="0"/>
        <v>273</v>
      </c>
      <c r="J3" s="167">
        <f t="shared" si="0"/>
        <v>1449.6666666666667</v>
      </c>
      <c r="K3" s="25">
        <f>E3/F3/12</f>
        <v>53045.185522415537</v>
      </c>
      <c r="L3" s="25">
        <f>G3/I3/12</f>
        <v>79562.158440170955</v>
      </c>
      <c r="M3" s="25">
        <f>H3/J3/12</f>
        <v>48178.617167164863</v>
      </c>
      <c r="N3" s="25">
        <v>63585.460783410148</v>
      </c>
      <c r="O3" s="25">
        <f>O4+O12</f>
        <v>-1452860506.2700002</v>
      </c>
      <c r="P3" s="25">
        <f>P4+P12</f>
        <v>2516531869.6399999</v>
      </c>
      <c r="Q3" s="168">
        <f>O3*(-1)/P3</f>
        <v>0.57732648801218556</v>
      </c>
      <c r="R3" s="25">
        <f t="shared" ref="R3:R12" si="1">P3/F3</f>
        <v>1389965.130980392</v>
      </c>
      <c r="S3" s="167">
        <f t="shared" ref="S3:Y3" si="2">S4+S12</f>
        <v>1123968054.4200001</v>
      </c>
      <c r="T3" s="25">
        <f t="shared" si="2"/>
        <v>1123144088.4200001</v>
      </c>
      <c r="U3" s="25">
        <f t="shared" si="2"/>
        <v>1791.8791666666666</v>
      </c>
      <c r="V3" s="25">
        <f t="shared" si="2"/>
        <v>282971456.45999998</v>
      </c>
      <c r="W3" s="25">
        <f t="shared" si="2"/>
        <v>785265480.69999993</v>
      </c>
      <c r="X3" s="25">
        <f t="shared" si="2"/>
        <v>306.32416666666666</v>
      </c>
      <c r="Y3" s="25">
        <f t="shared" si="2"/>
        <v>1400.1116666666667</v>
      </c>
      <c r="Z3" s="25">
        <f>T3/U3/12</f>
        <v>52233.064842076878</v>
      </c>
      <c r="AA3" s="25">
        <f>V3/X3/12</f>
        <v>76980.392900766878</v>
      </c>
      <c r="AB3" s="25">
        <f>W3/Y3/12</f>
        <v>46738.264965770584</v>
      </c>
      <c r="AC3" s="25">
        <v>78922.26697824568</v>
      </c>
      <c r="AD3" s="25">
        <f>AD4+AD12</f>
        <v>-1470573021.1399999</v>
      </c>
      <c r="AE3" s="25">
        <f>AE4+AE12</f>
        <v>2440341724.5599999</v>
      </c>
      <c r="AF3" s="168">
        <f>AD3*(-1)/AE3</f>
        <v>0.60260946503512658</v>
      </c>
      <c r="AG3" s="25">
        <f>AE3/U3</f>
        <v>1361889.6686541829</v>
      </c>
      <c r="AH3" s="167">
        <f t="shared" ref="AH3:AN3" si="3">AH4+AH12</f>
        <v>1282168497.52</v>
      </c>
      <c r="AI3" s="25">
        <f t="shared" si="3"/>
        <v>1280952632.97</v>
      </c>
      <c r="AJ3" s="25">
        <f t="shared" si="3"/>
        <v>1980.0133333333333</v>
      </c>
      <c r="AK3" s="25">
        <f t="shared" si="3"/>
        <v>298772087.18000001</v>
      </c>
      <c r="AL3" s="25">
        <f t="shared" si="3"/>
        <v>913347887.68000007</v>
      </c>
      <c r="AM3" s="25">
        <f t="shared" si="3"/>
        <v>290.46083333333331</v>
      </c>
      <c r="AN3" s="25">
        <f t="shared" si="3"/>
        <v>1589.9375</v>
      </c>
      <c r="AO3" s="25">
        <f>AI3/AJ3/12</f>
        <v>53911.784809950776</v>
      </c>
      <c r="AP3" s="25">
        <f>AK3/AM3/12</f>
        <v>85717.835502778631</v>
      </c>
      <c r="AQ3" s="25">
        <f>AL3/AN3/12</f>
        <v>47871.267878978477</v>
      </c>
      <c r="AR3" s="25">
        <v>79697.855491201204</v>
      </c>
      <c r="AS3" s="25">
        <f>AS4+AS12</f>
        <v>-1639952928.3500001</v>
      </c>
      <c r="AT3" s="25">
        <f>AT4+AT12</f>
        <v>2570519512.75</v>
      </c>
      <c r="AU3" s="168">
        <f>AS3*(-1)/AT3</f>
        <v>0.63798501439716415</v>
      </c>
      <c r="AV3" s="25">
        <f>AT3/AJ3</f>
        <v>1298233.4358438663</v>
      </c>
      <c r="AW3" s="167">
        <f t="shared" ref="AW3:BC3" si="4">AW4+AW12</f>
        <v>1312337211.26</v>
      </c>
      <c r="AX3" s="25">
        <f t="shared" si="4"/>
        <v>1306355589.4100001</v>
      </c>
      <c r="AY3" s="25">
        <f t="shared" si="4"/>
        <v>2048.4349999999999</v>
      </c>
      <c r="AZ3" s="25">
        <f t="shared" si="4"/>
        <v>276195575.06</v>
      </c>
      <c r="BA3" s="25">
        <f t="shared" si="4"/>
        <v>939606985.59000015</v>
      </c>
      <c r="BB3" s="25">
        <f t="shared" si="4"/>
        <v>335.58500000000004</v>
      </c>
      <c r="BC3" s="25">
        <f t="shared" si="4"/>
        <v>1566.2883333333334</v>
      </c>
      <c r="BD3" s="25">
        <f>AX3/AY3/12</f>
        <v>53144.457004575037</v>
      </c>
      <c r="BE3" s="25">
        <f>AZ3/BB3/12</f>
        <v>68585.598050171087</v>
      </c>
      <c r="BF3" s="25">
        <f>BA3/BC3/12</f>
        <v>49991.167313276725</v>
      </c>
      <c r="BG3" s="25">
        <v>77508.912747116963</v>
      </c>
      <c r="BH3" s="25">
        <f>BH4+BH12</f>
        <v>-1687842590.48</v>
      </c>
      <c r="BI3" s="25">
        <f>BI4+BI12</f>
        <v>2553107042.4400001</v>
      </c>
      <c r="BJ3" s="168">
        <f>BH3*(-1)/BI3</f>
        <v>0.66109354696970779</v>
      </c>
      <c r="BK3" s="25">
        <f t="shared" ref="BK3:BK12" si="5">BI3/AY3</f>
        <v>1246369.5662493564</v>
      </c>
      <c r="BL3" s="167">
        <f t="shared" ref="BL3:BR3" si="6">BL4+BL12</f>
        <v>1320673689.6683333</v>
      </c>
      <c r="BM3" s="25">
        <f t="shared" si="6"/>
        <v>1320162532.4300001</v>
      </c>
      <c r="BN3" s="25">
        <f t="shared" si="6"/>
        <v>1923.4291666666668</v>
      </c>
      <c r="BO3" s="25">
        <f t="shared" si="6"/>
        <v>282324541.69</v>
      </c>
      <c r="BP3" s="25">
        <f t="shared" si="6"/>
        <v>942928473.41000009</v>
      </c>
      <c r="BQ3" s="25">
        <f t="shared" si="6"/>
        <v>319.82083333333333</v>
      </c>
      <c r="BR3" s="25">
        <f t="shared" si="6"/>
        <v>1459.5308333333335</v>
      </c>
      <c r="BS3" s="25">
        <f>BM3/BN3/12</f>
        <v>57196.566567523718</v>
      </c>
      <c r="BT3" s="25">
        <f>BO3/BQ3/12</f>
        <v>73563.203796396425</v>
      </c>
      <c r="BU3" s="25">
        <f>BP3/BR3/12</f>
        <v>53837.418840072467</v>
      </c>
      <c r="BV3" s="25">
        <v>88293.253365580109</v>
      </c>
      <c r="BW3" s="25">
        <f>BW4+BW12</f>
        <v>-1688650928.1399999</v>
      </c>
      <c r="BX3" s="25">
        <f>BX4+BX12</f>
        <v>2646405037.9900002</v>
      </c>
      <c r="BY3" s="168">
        <f>BW3*(-1)/BX3</f>
        <v>0.63809239473885127</v>
      </c>
      <c r="BZ3" s="25">
        <f t="shared" ref="BZ3:BZ12" si="7">BX3/BN3</f>
        <v>1375878.604657047</v>
      </c>
      <c r="CA3" s="167">
        <f t="shared" ref="CA3:CG3" si="8">CA4+CA12</f>
        <v>1467050768.29</v>
      </c>
      <c r="CB3" s="25">
        <f t="shared" si="8"/>
        <v>1460678356.0899999</v>
      </c>
      <c r="CC3" s="25">
        <f t="shared" si="8"/>
        <v>2053</v>
      </c>
      <c r="CD3" s="25">
        <f t="shared" si="8"/>
        <v>320712652.45999998</v>
      </c>
      <c r="CE3" s="25">
        <f t="shared" si="8"/>
        <v>1033873952.1</v>
      </c>
      <c r="CF3" s="25">
        <f t="shared" si="8"/>
        <v>353</v>
      </c>
      <c r="CG3" s="25">
        <f t="shared" si="8"/>
        <v>1550</v>
      </c>
      <c r="CH3" s="25">
        <f>CB3/CC3/12</f>
        <v>59290.4025040591</v>
      </c>
      <c r="CI3" s="25">
        <f>CD3/CF3/12</f>
        <v>75711.202186024544</v>
      </c>
      <c r="CJ3" s="25">
        <f>CE3/CG3/12</f>
        <v>55584.621080645164</v>
      </c>
      <c r="CK3" s="25">
        <v>94120.30434108527</v>
      </c>
      <c r="CL3" s="25">
        <f>CL4+CL12</f>
        <v>-1907117372.1699998</v>
      </c>
      <c r="CM3" s="25">
        <f>CM4+CM12</f>
        <v>2873283126.5100002</v>
      </c>
      <c r="CN3" s="168">
        <f>CL3*(-1)/CM3</f>
        <v>0.66374154171380173</v>
      </c>
      <c r="CO3" s="25">
        <f t="shared" ref="CO3:CO12" si="9">CM3/CC3</f>
        <v>1399553.3982026305</v>
      </c>
    </row>
    <row r="4" spans="1:93" ht="18" x14ac:dyDescent="0.25">
      <c r="A4" s="164">
        <v>1</v>
      </c>
      <c r="B4" s="165">
        <v>4</v>
      </c>
      <c r="C4" s="166" t="s">
        <v>751</v>
      </c>
      <c r="D4" s="167">
        <v>1154233260.73</v>
      </c>
      <c r="E4" s="25">
        <v>1152459700.6600001</v>
      </c>
      <c r="F4" s="25">
        <v>1810.5000000000002</v>
      </c>
      <c r="G4" s="25">
        <v>260645631.05000004</v>
      </c>
      <c r="H4" s="25">
        <v>838115224.24000001</v>
      </c>
      <c r="I4" s="25">
        <v>273</v>
      </c>
      <c r="J4" s="25">
        <v>1449.6666666666667</v>
      </c>
      <c r="K4" s="25">
        <v>53045.185522415537</v>
      </c>
      <c r="L4" s="25">
        <v>79562.158440170955</v>
      </c>
      <c r="M4" s="25">
        <v>48178.617167164863</v>
      </c>
      <c r="N4" s="25">
        <v>63585.460783410148</v>
      </c>
      <c r="O4" s="25">
        <v>-1452860506.2700002</v>
      </c>
      <c r="P4" s="25">
        <v>2516531869.6399999</v>
      </c>
      <c r="Q4" s="168">
        <f t="shared" ref="Q4:Q12" si="10">O4*(-1)/P4</f>
        <v>0.57732648801218556</v>
      </c>
      <c r="R4" s="25">
        <f t="shared" si="1"/>
        <v>1389965.130980392</v>
      </c>
      <c r="S4" s="167">
        <v>959735979.82999992</v>
      </c>
      <c r="T4" s="25">
        <v>958912013.82999992</v>
      </c>
      <c r="U4" s="25">
        <v>1541.25</v>
      </c>
      <c r="V4" s="25">
        <v>235989074.49999997</v>
      </c>
      <c r="W4" s="25">
        <v>681289104.57999992</v>
      </c>
      <c r="X4" s="25">
        <v>250.91666666666666</v>
      </c>
      <c r="Y4" s="25">
        <v>1220</v>
      </c>
      <c r="Z4" s="25">
        <v>51847.094556907272</v>
      </c>
      <c r="AA4" s="25">
        <v>78375.647459315835</v>
      </c>
      <c r="AB4" s="25">
        <v>46536.141023224038</v>
      </c>
      <c r="AC4" s="25">
        <v>80621.992560975617</v>
      </c>
      <c r="AD4" s="25">
        <v>-1260789313.8599999</v>
      </c>
      <c r="AE4" s="25">
        <v>1799598159.3399999</v>
      </c>
      <c r="AF4" s="168">
        <f t="shared" ref="AF4:AF12" si="11">AD4*(-1)/AE4</f>
        <v>0.70059491187876777</v>
      </c>
      <c r="AG4" s="25">
        <f t="shared" ref="AG4:AG12" si="12">AE4/U4</f>
        <v>1167622.4878118411</v>
      </c>
      <c r="AH4" s="167">
        <v>1071901401.4400001</v>
      </c>
      <c r="AI4" s="25">
        <v>1070685536.8900001</v>
      </c>
      <c r="AJ4" s="25">
        <v>1643.8333333333333</v>
      </c>
      <c r="AK4" s="25">
        <v>250313481.05000001</v>
      </c>
      <c r="AL4" s="25">
        <v>770265315.87000012</v>
      </c>
      <c r="AM4" s="25">
        <v>230.41666666666666</v>
      </c>
      <c r="AN4" s="25">
        <v>1338.3333333333333</v>
      </c>
      <c r="AO4" s="25">
        <v>54277.883853290085</v>
      </c>
      <c r="AP4" s="25">
        <v>90529.287902350829</v>
      </c>
      <c r="AQ4" s="25">
        <v>47961.725770236626</v>
      </c>
      <c r="AR4" s="25">
        <v>84258.249370078731</v>
      </c>
      <c r="AS4" s="25">
        <v>-1367637632.5100002</v>
      </c>
      <c r="AT4" s="25">
        <v>1833251116.1299999</v>
      </c>
      <c r="AU4" s="168">
        <f t="shared" ref="AU4:AU12" si="13">AS4*(-1)/AT4</f>
        <v>0.74601761890487128</v>
      </c>
      <c r="AV4" s="25">
        <f t="shared" ref="AV4:AV12" si="14">AT4/AJ4</f>
        <v>1115229.3112420156</v>
      </c>
      <c r="AW4" s="167">
        <v>1081774452.4300001</v>
      </c>
      <c r="AX4" s="25">
        <v>1075792830.5800002</v>
      </c>
      <c r="AY4" s="25">
        <v>1684.5833333333333</v>
      </c>
      <c r="AZ4" s="25">
        <v>230007363.96000001</v>
      </c>
      <c r="BA4" s="25">
        <v>773185062.91000009</v>
      </c>
      <c r="BB4" s="25">
        <v>275.16666666666669</v>
      </c>
      <c r="BC4" s="25">
        <v>1285.1666666666667</v>
      </c>
      <c r="BD4" s="25">
        <v>53217.552836012874</v>
      </c>
      <c r="BE4" s="25">
        <v>69656.984845548155</v>
      </c>
      <c r="BF4" s="25">
        <v>50135.200551809103</v>
      </c>
      <c r="BG4" s="25">
        <v>81733.489014084495</v>
      </c>
      <c r="BH4" s="25">
        <v>-1388783795.78</v>
      </c>
      <c r="BI4" s="25">
        <v>1919543046.72</v>
      </c>
      <c r="BJ4" s="168">
        <f t="shared" ref="BJ4:BJ12" si="15">BH4*(-1)/BI4</f>
        <v>0.72349708340902819</v>
      </c>
      <c r="BK4" s="25">
        <f t="shared" si="5"/>
        <v>1139476.4561286175</v>
      </c>
      <c r="BL4" s="167">
        <v>1217749679.0783334</v>
      </c>
      <c r="BM4" s="25">
        <v>1217238521.8400002</v>
      </c>
      <c r="BN4" s="25">
        <v>1769.75</v>
      </c>
      <c r="BO4" s="25">
        <v>263799501.03999999</v>
      </c>
      <c r="BP4" s="25">
        <v>867142456.87000012</v>
      </c>
      <c r="BQ4" s="25">
        <v>297.83333333333331</v>
      </c>
      <c r="BR4" s="25">
        <v>1336.6666666666667</v>
      </c>
      <c r="BS4" s="25">
        <v>57316.87723501437</v>
      </c>
      <c r="BT4" s="25">
        <v>73810.716575265818</v>
      </c>
      <c r="BU4" s="25">
        <v>54061.250428304244</v>
      </c>
      <c r="BV4" s="25">
        <v>89263.408798955614</v>
      </c>
      <c r="BW4" s="25">
        <v>-1554686580.76</v>
      </c>
      <c r="BX4" s="25">
        <v>2390176448.6500001</v>
      </c>
      <c r="BY4" s="168">
        <f t="shared" ref="BY4:BY12" si="16">BW4*(-1)/BX4</f>
        <v>0.65044845607030621</v>
      </c>
      <c r="BZ4" s="25">
        <f t="shared" si="7"/>
        <v>1350572.9332674106</v>
      </c>
      <c r="CA4" s="167">
        <v>1467050768.29</v>
      </c>
      <c r="CB4" s="25">
        <v>1460678356.0899999</v>
      </c>
      <c r="CC4" s="25">
        <v>2053</v>
      </c>
      <c r="CD4" s="25">
        <v>320712652.45999998</v>
      </c>
      <c r="CE4" s="25">
        <v>1033873952.1</v>
      </c>
      <c r="CF4" s="25">
        <v>353</v>
      </c>
      <c r="CG4" s="25">
        <v>1550</v>
      </c>
      <c r="CH4" s="25">
        <v>59290.4025040591</v>
      </c>
      <c r="CI4" s="25">
        <v>75711.202186024544</v>
      </c>
      <c r="CJ4" s="25">
        <v>55584.621080645164</v>
      </c>
      <c r="CK4" s="25">
        <v>94120.30434108527</v>
      </c>
      <c r="CL4" s="25">
        <v>-1907117372.1699998</v>
      </c>
      <c r="CM4" s="25">
        <v>2873283126.5100002</v>
      </c>
      <c r="CN4" s="168">
        <f t="shared" ref="CN4:CN12" si="17">CL4*(-1)/CM4</f>
        <v>0.66374154171380173</v>
      </c>
      <c r="CO4" s="25">
        <f t="shared" si="9"/>
        <v>1399553.3982026305</v>
      </c>
    </row>
    <row r="5" spans="1:93" s="174" customFormat="1" ht="18" x14ac:dyDescent="0.25">
      <c r="A5" s="169">
        <v>2</v>
      </c>
      <c r="B5" s="165">
        <v>5</v>
      </c>
      <c r="C5" s="170" t="s">
        <v>370</v>
      </c>
      <c r="D5" s="171">
        <v>345188730.93000001</v>
      </c>
      <c r="E5" s="172">
        <v>344251150</v>
      </c>
      <c r="F5" s="172">
        <v>898.13416666666683</v>
      </c>
      <c r="G5" s="172">
        <v>77638251.949999988</v>
      </c>
      <c r="H5" s="172">
        <v>211401487.91999996</v>
      </c>
      <c r="I5" s="172">
        <v>168.50749999999999</v>
      </c>
      <c r="J5" s="172">
        <v>659.68499999999995</v>
      </c>
      <c r="K5" s="172">
        <v>31941.325581460074</v>
      </c>
      <c r="L5" s="172">
        <v>38395.052618825073</v>
      </c>
      <c r="M5" s="172">
        <v>26704.852558418032</v>
      </c>
      <c r="N5" s="172">
        <v>38934.635705448381</v>
      </c>
      <c r="O5" s="172">
        <v>-446154776.38</v>
      </c>
      <c r="P5" s="172">
        <v>1093658054.74</v>
      </c>
      <c r="Q5" s="173">
        <f t="shared" si="10"/>
        <v>0.40794723217767209</v>
      </c>
      <c r="R5" s="172">
        <f t="shared" si="1"/>
        <v>1217700.0890624172</v>
      </c>
      <c r="S5" s="171">
        <v>358528137.65999997</v>
      </c>
      <c r="T5" s="172">
        <v>357822191.65999997</v>
      </c>
      <c r="U5" s="172">
        <v>903.75916666666672</v>
      </c>
      <c r="V5" s="172">
        <v>79192106.640000001</v>
      </c>
      <c r="W5" s="172">
        <v>226813020.91000003</v>
      </c>
      <c r="X5" s="172">
        <v>164.41333333333333</v>
      </c>
      <c r="Y5" s="172">
        <v>667.9174999999999</v>
      </c>
      <c r="Z5" s="172">
        <v>32993.873889706971</v>
      </c>
      <c r="AA5" s="172">
        <v>40138.728935203959</v>
      </c>
      <c r="AB5" s="172">
        <v>28298.532492161587</v>
      </c>
      <c r="AC5" s="172">
        <v>38738.086453089243</v>
      </c>
      <c r="AD5" s="172">
        <v>-458329455.62</v>
      </c>
      <c r="AE5" s="172">
        <v>1074317616.27</v>
      </c>
      <c r="AF5" s="173">
        <f t="shared" si="11"/>
        <v>0.42662379232996922</v>
      </c>
      <c r="AG5" s="172">
        <f t="shared" si="12"/>
        <v>1188721.1282541163</v>
      </c>
      <c r="AH5" s="171">
        <v>365298143.40000004</v>
      </c>
      <c r="AI5" s="172">
        <v>364747035.40000004</v>
      </c>
      <c r="AJ5" s="172">
        <v>905.66249999999991</v>
      </c>
      <c r="AK5" s="172">
        <v>79623578.459999993</v>
      </c>
      <c r="AL5" s="172">
        <v>232021155.90000004</v>
      </c>
      <c r="AM5" s="172">
        <v>162.58750000000001</v>
      </c>
      <c r="AN5" s="172">
        <v>670.14416666666671</v>
      </c>
      <c r="AO5" s="172">
        <v>33561.714527578806</v>
      </c>
      <c r="AP5" s="172">
        <v>40810.629384177744</v>
      </c>
      <c r="AQ5" s="172">
        <v>28852.144488810245</v>
      </c>
      <c r="AR5" s="172">
        <v>39511.42894034605</v>
      </c>
      <c r="AS5" s="172">
        <v>-474609080.66000003</v>
      </c>
      <c r="AT5" s="172">
        <v>1103442597.3800001</v>
      </c>
      <c r="AU5" s="173">
        <f t="shared" si="13"/>
        <v>0.43011669278212178</v>
      </c>
      <c r="AV5" s="172">
        <f t="shared" si="14"/>
        <v>1218381.6790250235</v>
      </c>
      <c r="AW5" s="171">
        <v>378884211.92999995</v>
      </c>
      <c r="AX5" s="172">
        <v>378511871.92999995</v>
      </c>
      <c r="AY5" s="172">
        <v>891.28749999999991</v>
      </c>
      <c r="AZ5" s="172">
        <v>83190916.039999992</v>
      </c>
      <c r="BA5" s="172">
        <v>244905260.34</v>
      </c>
      <c r="BB5" s="172">
        <v>160.1791666666667</v>
      </c>
      <c r="BC5" s="172">
        <v>658.30166666666662</v>
      </c>
      <c r="BD5" s="172">
        <v>35389.990316442971</v>
      </c>
      <c r="BE5" s="172">
        <v>43280.137367010881</v>
      </c>
      <c r="BF5" s="172">
        <v>31002.157108822958</v>
      </c>
      <c r="BG5" s="172">
        <v>38224.884012343115</v>
      </c>
      <c r="BH5" s="172">
        <v>-491995684.89999998</v>
      </c>
      <c r="BI5" s="172">
        <v>1075349213.0799999</v>
      </c>
      <c r="BJ5" s="173">
        <f t="shared" si="15"/>
        <v>0.45752177889341911</v>
      </c>
      <c r="BK5" s="172">
        <f t="shared" si="5"/>
        <v>1206512.1670392551</v>
      </c>
      <c r="BL5" s="171">
        <v>427012498.31083339</v>
      </c>
      <c r="BM5" s="172">
        <v>426968047.72000009</v>
      </c>
      <c r="BN5" s="172">
        <v>870.78749999999991</v>
      </c>
      <c r="BO5" s="172">
        <v>87405178.629999995</v>
      </c>
      <c r="BP5" s="172">
        <v>276684164.41000003</v>
      </c>
      <c r="BQ5" s="172">
        <v>146.82333333333335</v>
      </c>
      <c r="BR5" s="172">
        <v>648.30999999999995</v>
      </c>
      <c r="BS5" s="172">
        <v>40860.336928737888</v>
      </c>
      <c r="BT5" s="172">
        <v>49609.041835993361</v>
      </c>
      <c r="BU5" s="172">
        <v>35564.797243345522</v>
      </c>
      <c r="BV5" s="172">
        <v>38595.35254562919</v>
      </c>
      <c r="BW5" s="172">
        <v>-556523824.98000002</v>
      </c>
      <c r="BX5" s="172">
        <v>1178221205.9000001</v>
      </c>
      <c r="BY5" s="173">
        <f t="shared" si="16"/>
        <v>0.47234239393517946</v>
      </c>
      <c r="BZ5" s="172">
        <f t="shared" si="7"/>
        <v>1353052.5023613686</v>
      </c>
      <c r="CA5" s="171">
        <v>459083929.29000002</v>
      </c>
      <c r="CB5" s="172">
        <v>458475985.29000002</v>
      </c>
      <c r="CC5" s="172">
        <v>961.17</v>
      </c>
      <c r="CD5" s="172">
        <v>97840758.739999995</v>
      </c>
      <c r="CE5" s="172">
        <v>294016517.17000002</v>
      </c>
      <c r="CF5" s="172">
        <v>171.57999999999998</v>
      </c>
      <c r="CG5" s="172">
        <v>703.9</v>
      </c>
      <c r="CH5" s="172">
        <v>39749.817521874385</v>
      </c>
      <c r="CI5" s="172">
        <v>47519.504380852472</v>
      </c>
      <c r="CJ5" s="172">
        <v>34808.035844343423</v>
      </c>
      <c r="CK5" s="172">
        <v>41193.570976430979</v>
      </c>
      <c r="CL5" s="172">
        <v>-595618695.71000004</v>
      </c>
      <c r="CM5" s="172">
        <v>1199815609.55</v>
      </c>
      <c r="CN5" s="173">
        <f t="shared" si="17"/>
        <v>0.49642519314562961</v>
      </c>
      <c r="CO5" s="172">
        <f t="shared" si="9"/>
        <v>1248286.57734844</v>
      </c>
    </row>
    <row r="6" spans="1:93" ht="18" x14ac:dyDescent="0.25">
      <c r="A6" s="164">
        <v>3</v>
      </c>
      <c r="B6" s="165">
        <v>6</v>
      </c>
      <c r="C6" s="166" t="s">
        <v>752</v>
      </c>
      <c r="D6" s="167">
        <v>506312002.14999998</v>
      </c>
      <c r="E6" s="25">
        <v>506236202.14999998</v>
      </c>
      <c r="F6" s="25">
        <v>902.06083333333322</v>
      </c>
      <c r="G6" s="25">
        <v>121122784.56999999</v>
      </c>
      <c r="H6" s="25">
        <v>318808365.25</v>
      </c>
      <c r="I6" s="25">
        <v>184.12</v>
      </c>
      <c r="J6" s="25">
        <v>627.09416666666664</v>
      </c>
      <c r="K6" s="25">
        <v>46766.635486520223</v>
      </c>
      <c r="L6" s="25">
        <v>54820.581038634213</v>
      </c>
      <c r="M6" s="25">
        <v>42365.828264760879</v>
      </c>
      <c r="N6" s="25">
        <v>54984.929448450595</v>
      </c>
      <c r="O6" s="25">
        <v>-653142093.83000004</v>
      </c>
      <c r="P6" s="25">
        <v>1617838625.0999999</v>
      </c>
      <c r="Q6" s="168">
        <f t="shared" si="10"/>
        <v>0.40371275830407921</v>
      </c>
      <c r="R6" s="25">
        <f t="shared" si="1"/>
        <v>1793491.7084490792</v>
      </c>
      <c r="S6" s="167">
        <v>558136228.68999994</v>
      </c>
      <c r="T6" s="25">
        <v>557996025.68999994</v>
      </c>
      <c r="U6" s="25">
        <v>964.22499999999991</v>
      </c>
      <c r="V6" s="25">
        <v>137461009.63999999</v>
      </c>
      <c r="W6" s="25">
        <v>350536893.50999999</v>
      </c>
      <c r="X6" s="25">
        <v>200.68666666666664</v>
      </c>
      <c r="Y6" s="25">
        <v>654.33833333333325</v>
      </c>
      <c r="Z6" s="25">
        <v>48224.915146879619</v>
      </c>
      <c r="AA6" s="25">
        <v>57079.447912168223</v>
      </c>
      <c r="AB6" s="25">
        <v>44642.666193330166</v>
      </c>
      <c r="AC6" s="25">
        <v>52619.785842600511</v>
      </c>
      <c r="AD6" s="25">
        <v>-716047552.17999995</v>
      </c>
      <c r="AE6" s="25">
        <v>1792476545.0599999</v>
      </c>
      <c r="AF6" s="168">
        <f t="shared" si="11"/>
        <v>0.39947387548997554</v>
      </c>
      <c r="AG6" s="25">
        <f t="shared" si="12"/>
        <v>1858981.6122378076</v>
      </c>
      <c r="AH6" s="167">
        <v>554772646.99999988</v>
      </c>
      <c r="AI6" s="25">
        <v>554637463.42999983</v>
      </c>
      <c r="AJ6" s="25">
        <v>955.98333333333323</v>
      </c>
      <c r="AK6" s="25">
        <v>141718212.34999999</v>
      </c>
      <c r="AL6" s="25">
        <v>348325452.55999994</v>
      </c>
      <c r="AM6" s="25">
        <v>209.73333333333335</v>
      </c>
      <c r="AN6" s="25">
        <v>653.12666666666667</v>
      </c>
      <c r="AO6" s="25">
        <v>48347.902110392431</v>
      </c>
      <c r="AP6" s="25">
        <v>56308.889204545449</v>
      </c>
      <c r="AQ6" s="25">
        <v>44443.325511131065</v>
      </c>
      <c r="AR6" s="25">
        <v>63007.409950672482</v>
      </c>
      <c r="AS6" s="25">
        <v>-720542360.36000001</v>
      </c>
      <c r="AT6" s="25">
        <v>1736217077.3299999</v>
      </c>
      <c r="AU6" s="168">
        <f t="shared" si="13"/>
        <v>0.41500706897093126</v>
      </c>
      <c r="AV6" s="25">
        <f t="shared" si="14"/>
        <v>1816158.312379923</v>
      </c>
      <c r="AW6" s="167">
        <v>525428500.1699999</v>
      </c>
      <c r="AX6" s="25">
        <v>525161974.38999993</v>
      </c>
      <c r="AY6" s="25">
        <v>898.95833333333314</v>
      </c>
      <c r="AZ6" s="25">
        <v>132583688.13999999</v>
      </c>
      <c r="BA6" s="25">
        <v>333410598.62999994</v>
      </c>
      <c r="BB6" s="25">
        <v>187.59333333333336</v>
      </c>
      <c r="BC6" s="25">
        <v>621.75666666666666</v>
      </c>
      <c r="BD6" s="25">
        <v>48682.454172885286</v>
      </c>
      <c r="BE6" s="25">
        <v>58896.766116422026</v>
      </c>
      <c r="BF6" s="25">
        <v>44686.640356355907</v>
      </c>
      <c r="BG6" s="25">
        <v>55395.11742197143</v>
      </c>
      <c r="BH6" s="25">
        <v>-681771425.44000006</v>
      </c>
      <c r="BI6" s="25">
        <v>1693588943.53</v>
      </c>
      <c r="BJ6" s="168">
        <f t="shared" si="15"/>
        <v>0.40256015371649906</v>
      </c>
      <c r="BK6" s="25">
        <f t="shared" si="5"/>
        <v>1883945.9858502902</v>
      </c>
      <c r="BL6" s="167">
        <v>531599933.25333345</v>
      </c>
      <c r="BM6" s="25">
        <v>531586049.17000014</v>
      </c>
      <c r="BN6" s="25">
        <v>870.98333333333335</v>
      </c>
      <c r="BO6" s="25">
        <v>128011538.10999998</v>
      </c>
      <c r="BP6" s="25">
        <v>348872732.30000001</v>
      </c>
      <c r="BQ6" s="25">
        <v>179.28416666666669</v>
      </c>
      <c r="BR6" s="25">
        <v>611.91666666666674</v>
      </c>
      <c r="BS6" s="25">
        <v>50860.717691689475</v>
      </c>
      <c r="BT6" s="25">
        <v>59501.228547789571</v>
      </c>
      <c r="BU6" s="25">
        <v>47510.92636524581</v>
      </c>
      <c r="BV6" s="25">
        <v>57166.754066478075</v>
      </c>
      <c r="BW6" s="25">
        <v>-693530972.66999996</v>
      </c>
      <c r="BX6" s="25">
        <v>1567990476.05</v>
      </c>
      <c r="BY6" s="168">
        <f t="shared" si="16"/>
        <v>0.44230560278472297</v>
      </c>
      <c r="BZ6" s="25">
        <f t="shared" si="7"/>
        <v>1800253.134637096</v>
      </c>
      <c r="CA6" s="167">
        <v>614689445.69000006</v>
      </c>
      <c r="CB6" s="25">
        <v>614571725.69000006</v>
      </c>
      <c r="CC6" s="25">
        <v>930.88</v>
      </c>
      <c r="CD6" s="25">
        <v>152634772.30000001</v>
      </c>
      <c r="CE6" s="25">
        <v>390839037.16000003</v>
      </c>
      <c r="CF6" s="25">
        <v>201.38</v>
      </c>
      <c r="CG6" s="25">
        <v>643</v>
      </c>
      <c r="CH6" s="25">
        <v>55017.091863791975</v>
      </c>
      <c r="CI6" s="25">
        <v>63162.00396431292</v>
      </c>
      <c r="CJ6" s="25">
        <v>50653.063395541736</v>
      </c>
      <c r="CK6" s="25">
        <v>67432.461180555561</v>
      </c>
      <c r="CL6" s="25">
        <v>-798014570.61000001</v>
      </c>
      <c r="CM6" s="25">
        <v>1791292280.24</v>
      </c>
      <c r="CN6" s="168">
        <f t="shared" si="17"/>
        <v>0.44549657217474348</v>
      </c>
      <c r="CO6" s="25">
        <f t="shared" si="9"/>
        <v>1924299.8885355792</v>
      </c>
    </row>
    <row r="7" spans="1:93" ht="18" x14ac:dyDescent="0.25">
      <c r="A7" s="164">
        <v>5</v>
      </c>
      <c r="B7" s="165">
        <v>7</v>
      </c>
      <c r="C7" s="166" t="s">
        <v>373</v>
      </c>
      <c r="D7" s="167">
        <v>324515735.79999995</v>
      </c>
      <c r="E7" s="25">
        <v>323518596.28999996</v>
      </c>
      <c r="F7" s="25">
        <v>866.29250000000002</v>
      </c>
      <c r="G7" s="25">
        <v>81647768.429999992</v>
      </c>
      <c r="H7" s="25">
        <v>211423703.76999998</v>
      </c>
      <c r="I7" s="25">
        <v>169.03749999999999</v>
      </c>
      <c r="J7" s="25">
        <v>634.47166666666669</v>
      </c>
      <c r="K7" s="25">
        <v>31120.993225921571</v>
      </c>
      <c r="L7" s="25">
        <v>40251.309339643565</v>
      </c>
      <c r="M7" s="25">
        <v>27768.997272008466</v>
      </c>
      <c r="N7" s="25">
        <v>37280.514838709678</v>
      </c>
      <c r="O7" s="25">
        <v>-420955925.39999998</v>
      </c>
      <c r="P7" s="25">
        <v>804418621.10000002</v>
      </c>
      <c r="Q7" s="168">
        <f t="shared" si="10"/>
        <v>0.52330455108605634</v>
      </c>
      <c r="R7" s="25">
        <f t="shared" si="1"/>
        <v>928576.2269672195</v>
      </c>
      <c r="S7" s="167">
        <v>325996406.22000003</v>
      </c>
      <c r="T7" s="25">
        <v>324300305.36000001</v>
      </c>
      <c r="U7" s="25">
        <v>822.11833333333323</v>
      </c>
      <c r="V7" s="25">
        <v>86178152.320000008</v>
      </c>
      <c r="W7" s="25">
        <v>208041058.86000004</v>
      </c>
      <c r="X7" s="25">
        <v>179.04833333333335</v>
      </c>
      <c r="Y7" s="25">
        <v>584.44999999999993</v>
      </c>
      <c r="Z7" s="25">
        <v>32872.427667549891</v>
      </c>
      <c r="AA7" s="25">
        <v>40109.352372264475</v>
      </c>
      <c r="AB7" s="25">
        <v>29663.367105825997</v>
      </c>
      <c r="AC7" s="25">
        <v>40482.706426819299</v>
      </c>
      <c r="AD7" s="25">
        <v>-419071440.80000001</v>
      </c>
      <c r="AE7" s="25">
        <v>789165315.84000003</v>
      </c>
      <c r="AF7" s="168">
        <f t="shared" si="11"/>
        <v>0.53103124578395056</v>
      </c>
      <c r="AG7" s="25">
        <f t="shared" si="12"/>
        <v>959916.94120270619</v>
      </c>
      <c r="AH7" s="167">
        <v>310272193.99999994</v>
      </c>
      <c r="AI7" s="25">
        <v>308669371.90999997</v>
      </c>
      <c r="AJ7" s="25">
        <v>791.49583333333339</v>
      </c>
      <c r="AK7" s="25">
        <v>78778105.159999996</v>
      </c>
      <c r="AL7" s="25">
        <v>200856054.5</v>
      </c>
      <c r="AM7" s="25">
        <v>169.29500000000002</v>
      </c>
      <c r="AN7" s="25">
        <v>564.29</v>
      </c>
      <c r="AO7" s="25">
        <v>32498.525672381929</v>
      </c>
      <c r="AP7" s="25">
        <v>38777.530917432094</v>
      </c>
      <c r="AQ7" s="25">
        <v>29662.061248058031</v>
      </c>
      <c r="AR7" s="25">
        <v>38465.565888689409</v>
      </c>
      <c r="AS7" s="25">
        <v>-405916126.19</v>
      </c>
      <c r="AT7" s="25">
        <v>749561996.04999995</v>
      </c>
      <c r="AU7" s="168">
        <f t="shared" si="13"/>
        <v>0.54153776249206098</v>
      </c>
      <c r="AV7" s="25">
        <f t="shared" si="14"/>
        <v>947019.50974683999</v>
      </c>
      <c r="AW7" s="167">
        <v>313392008.74999994</v>
      </c>
      <c r="AX7" s="25">
        <v>312221951.74999994</v>
      </c>
      <c r="AY7" s="25">
        <v>768.09583333333342</v>
      </c>
      <c r="AZ7" s="25">
        <v>78215793.789999992</v>
      </c>
      <c r="BA7" s="25">
        <v>203765711.34</v>
      </c>
      <c r="BB7" s="25">
        <v>161.60750000000002</v>
      </c>
      <c r="BC7" s="25">
        <v>549.26083333333327</v>
      </c>
      <c r="BD7" s="25">
        <v>33874.023071122843</v>
      </c>
      <c r="BE7" s="25">
        <v>40332.180225752716</v>
      </c>
      <c r="BF7" s="25">
        <v>30915.140702732315</v>
      </c>
      <c r="BG7" s="25">
        <v>37375.560752351106</v>
      </c>
      <c r="BH7" s="25">
        <v>-409068436.51999998</v>
      </c>
      <c r="BI7" s="25">
        <v>711391832.7700001</v>
      </c>
      <c r="BJ7" s="168">
        <f t="shared" si="15"/>
        <v>0.57502548901521588</v>
      </c>
      <c r="BK7" s="25">
        <f t="shared" si="5"/>
        <v>926175.87792755896</v>
      </c>
      <c r="BL7" s="167">
        <v>355926901.56666666</v>
      </c>
      <c r="BM7" s="25">
        <v>355785412.08999997</v>
      </c>
      <c r="BN7" s="25">
        <v>772.21916666666664</v>
      </c>
      <c r="BO7" s="25">
        <v>75849323.799999997</v>
      </c>
      <c r="BP7" s="25">
        <v>240508582.16000003</v>
      </c>
      <c r="BQ7" s="25">
        <v>137.26416666666668</v>
      </c>
      <c r="BR7" s="25">
        <v>576.75499999999988</v>
      </c>
      <c r="BS7" s="25">
        <v>38394.261138083639</v>
      </c>
      <c r="BT7" s="25">
        <v>46048.266906269535</v>
      </c>
      <c r="BU7" s="25">
        <v>34750.25244110007</v>
      </c>
      <c r="BV7" s="25">
        <v>45057.910174624638</v>
      </c>
      <c r="BW7" s="25">
        <v>-466755813.02999997</v>
      </c>
      <c r="BX7" s="25">
        <v>833417563.8599999</v>
      </c>
      <c r="BY7" s="168">
        <f t="shared" si="16"/>
        <v>0.56005036763108951</v>
      </c>
      <c r="BZ7" s="25">
        <f t="shared" si="7"/>
        <v>1079250.036563454</v>
      </c>
      <c r="CA7" s="167">
        <v>396511215.48000002</v>
      </c>
      <c r="CB7" s="25">
        <v>395839215.48000002</v>
      </c>
      <c r="CC7" s="25">
        <v>837.45</v>
      </c>
      <c r="CD7" s="25">
        <v>89919704</v>
      </c>
      <c r="CE7" s="25">
        <v>264224749.47999999</v>
      </c>
      <c r="CF7" s="25">
        <v>160.72</v>
      </c>
      <c r="CG7" s="25">
        <v>611.08000000000004</v>
      </c>
      <c r="CH7" s="25">
        <v>39389.338217206998</v>
      </c>
      <c r="CI7" s="25">
        <v>46623.373983739839</v>
      </c>
      <c r="CJ7" s="25">
        <v>36032.482037267349</v>
      </c>
      <c r="CK7" s="25">
        <v>44308.221290322581</v>
      </c>
      <c r="CL7" s="25">
        <v>-515462987.19</v>
      </c>
      <c r="CM7" s="25">
        <v>881571895.83000004</v>
      </c>
      <c r="CN7" s="168">
        <f t="shared" si="17"/>
        <v>0.58470896092336466</v>
      </c>
      <c r="CO7" s="25">
        <f t="shared" si="9"/>
        <v>1052686.0061257388</v>
      </c>
    </row>
    <row r="8" spans="1:93" ht="18" x14ac:dyDescent="0.25">
      <c r="A8" s="175">
        <v>4</v>
      </c>
      <c r="B8" s="165">
        <v>8</v>
      </c>
      <c r="C8" s="166" t="s">
        <v>372</v>
      </c>
      <c r="D8" s="167">
        <v>332487874.92000008</v>
      </c>
      <c r="E8" s="25">
        <v>331683707.4000001</v>
      </c>
      <c r="F8" s="25">
        <v>779.64166666666654</v>
      </c>
      <c r="G8" s="25">
        <v>82423426.359999999</v>
      </c>
      <c r="H8" s="25">
        <v>210971020.01999998</v>
      </c>
      <c r="I8" s="25">
        <v>155.4</v>
      </c>
      <c r="J8" s="25">
        <v>557.69166666666672</v>
      </c>
      <c r="K8" s="25">
        <v>35452.580501726239</v>
      </c>
      <c r="L8" s="25">
        <v>44199.60658515658</v>
      </c>
      <c r="M8" s="25">
        <v>31524.441525335078</v>
      </c>
      <c r="N8" s="25">
        <v>37983.513090172237</v>
      </c>
      <c r="O8" s="25">
        <v>-434591491.10000002</v>
      </c>
      <c r="P8" s="25">
        <v>1079089143.73</v>
      </c>
      <c r="Q8" s="168">
        <f t="shared" si="10"/>
        <v>0.40273919316599072</v>
      </c>
      <c r="R8" s="25">
        <f t="shared" si="1"/>
        <v>1384083.4704789596</v>
      </c>
      <c r="S8" s="167">
        <v>346195077.17000002</v>
      </c>
      <c r="T8" s="25">
        <v>346024577.17000002</v>
      </c>
      <c r="U8" s="25">
        <v>776.21499999999992</v>
      </c>
      <c r="V8" s="25">
        <v>87224406.769999996</v>
      </c>
      <c r="W8" s="25">
        <v>218008864.04999998</v>
      </c>
      <c r="X8" s="25">
        <v>158.23333333333335</v>
      </c>
      <c r="Y8" s="25">
        <v>546.82499999999993</v>
      </c>
      <c r="Z8" s="25">
        <v>37148.704200296743</v>
      </c>
      <c r="AA8" s="25">
        <v>45936.5950969033</v>
      </c>
      <c r="AB8" s="25">
        <v>33223.435902711106</v>
      </c>
      <c r="AC8" s="25">
        <v>41888.262088619224</v>
      </c>
      <c r="AD8" s="25">
        <v>-445570175.56999999</v>
      </c>
      <c r="AE8" s="25">
        <v>1030181566.13</v>
      </c>
      <c r="AF8" s="168">
        <f t="shared" si="11"/>
        <v>0.43251616047046693</v>
      </c>
      <c r="AG8" s="25">
        <f t="shared" si="12"/>
        <v>1327185.8520255343</v>
      </c>
      <c r="AH8" s="167">
        <v>315889370.17000002</v>
      </c>
      <c r="AI8" s="25">
        <v>315640484.64000005</v>
      </c>
      <c r="AJ8" s="25">
        <v>738.05833333333328</v>
      </c>
      <c r="AK8" s="25">
        <v>80052303.459999993</v>
      </c>
      <c r="AL8" s="25">
        <v>200926700.10999998</v>
      </c>
      <c r="AM8" s="25">
        <v>155.68333333333331</v>
      </c>
      <c r="AN8" s="25">
        <v>521.73333333333335</v>
      </c>
      <c r="AO8" s="25">
        <v>35638.610841509821</v>
      </c>
      <c r="AP8" s="25">
        <v>42849.964382828395</v>
      </c>
      <c r="AQ8" s="25">
        <v>32092.815632187576</v>
      </c>
      <c r="AR8" s="25">
        <v>37387.898035230348</v>
      </c>
      <c r="AS8" s="25">
        <v>-409601109.48000002</v>
      </c>
      <c r="AT8" s="25">
        <v>833626491.63</v>
      </c>
      <c r="AU8" s="168">
        <f t="shared" si="13"/>
        <v>0.49134847991586977</v>
      </c>
      <c r="AV8" s="25">
        <f t="shared" si="14"/>
        <v>1129485.9145686317</v>
      </c>
      <c r="AW8" s="167">
        <v>319434301.88000005</v>
      </c>
      <c r="AX8" s="25">
        <v>319256801.88000005</v>
      </c>
      <c r="AY8" s="25">
        <v>706.9050000000002</v>
      </c>
      <c r="AZ8" s="25">
        <v>78735185.829999998</v>
      </c>
      <c r="BA8" s="25">
        <v>206787277.77999997</v>
      </c>
      <c r="BB8" s="25">
        <v>145.41666666666669</v>
      </c>
      <c r="BC8" s="25">
        <v>504.20499999999993</v>
      </c>
      <c r="BD8" s="25">
        <v>37635.514658971144</v>
      </c>
      <c r="BE8" s="25">
        <v>45120.450332378212</v>
      </c>
      <c r="BF8" s="25">
        <v>34177.11674484254</v>
      </c>
      <c r="BG8" s="25">
        <v>38775.715720413828</v>
      </c>
      <c r="BH8" s="25">
        <v>-415176030.07999998</v>
      </c>
      <c r="BI8" s="25">
        <v>800725432.8599999</v>
      </c>
      <c r="BJ8" s="168">
        <f t="shared" si="15"/>
        <v>0.51849986654862501</v>
      </c>
      <c r="BK8" s="25">
        <f t="shared" si="5"/>
        <v>1132720.0017824173</v>
      </c>
      <c r="BL8" s="167">
        <v>327969931.46166664</v>
      </c>
      <c r="BM8" s="25">
        <v>327950020.25</v>
      </c>
      <c r="BN8" s="25">
        <v>672.81083333333345</v>
      </c>
      <c r="BO8" s="25">
        <v>76064665.399999991</v>
      </c>
      <c r="BP8" s="25">
        <v>215703918.17999998</v>
      </c>
      <c r="BQ8" s="25">
        <v>139.20750000000001</v>
      </c>
      <c r="BR8" s="25">
        <v>482.45333333333326</v>
      </c>
      <c r="BS8" s="25">
        <v>40619.394040920357</v>
      </c>
      <c r="BT8" s="25">
        <v>45534.343456111674</v>
      </c>
      <c r="BU8" s="25">
        <v>37258.1662786038</v>
      </c>
      <c r="BV8" s="25">
        <v>43834.653850931674</v>
      </c>
      <c r="BW8" s="25">
        <v>-427074989.23000002</v>
      </c>
      <c r="BX8" s="25">
        <v>852296610.24000001</v>
      </c>
      <c r="BY8" s="168">
        <f t="shared" si="16"/>
        <v>0.50108727888726323</v>
      </c>
      <c r="BZ8" s="25">
        <f t="shared" si="7"/>
        <v>1266770.0459242505</v>
      </c>
      <c r="CA8" s="167">
        <v>376990992.87</v>
      </c>
      <c r="CB8" s="25">
        <v>376786992.87</v>
      </c>
      <c r="CC8" s="25">
        <v>736.83</v>
      </c>
      <c r="CD8" s="25">
        <v>97891018.50999999</v>
      </c>
      <c r="CE8" s="25">
        <v>238488964.72</v>
      </c>
      <c r="CF8" s="25">
        <v>163.20999999999998</v>
      </c>
      <c r="CG8" s="25">
        <v>514.91999999999996</v>
      </c>
      <c r="CH8" s="25">
        <v>42613.514748992304</v>
      </c>
      <c r="CI8" s="25">
        <v>49982.138814002414</v>
      </c>
      <c r="CJ8" s="25">
        <v>38596.442929646037</v>
      </c>
      <c r="CK8" s="25">
        <v>45094.280208333337</v>
      </c>
      <c r="CL8" s="25">
        <v>-489982658.44</v>
      </c>
      <c r="CM8" s="25">
        <v>885705397.20000005</v>
      </c>
      <c r="CN8" s="168">
        <f t="shared" si="17"/>
        <v>0.55321177898316187</v>
      </c>
      <c r="CO8" s="25">
        <f t="shared" si="9"/>
        <v>1202048.5012825211</v>
      </c>
    </row>
    <row r="9" spans="1:93" ht="18" x14ac:dyDescent="0.25">
      <c r="A9" s="175">
        <v>6</v>
      </c>
      <c r="B9" s="165">
        <v>9</v>
      </c>
      <c r="C9" s="166" t="s">
        <v>369</v>
      </c>
      <c r="D9" s="167">
        <v>393628801.69999999</v>
      </c>
      <c r="E9" s="25">
        <v>392574441.69999999</v>
      </c>
      <c r="F9" s="25">
        <v>859.59999999999991</v>
      </c>
      <c r="G9" s="25">
        <v>91615917.99000001</v>
      </c>
      <c r="H9" s="25">
        <v>253663555.50000003</v>
      </c>
      <c r="I9" s="25">
        <v>163.91666666666663</v>
      </c>
      <c r="J9" s="25">
        <v>619.20833333333326</v>
      </c>
      <c r="K9" s="25">
        <v>38057.860409880566</v>
      </c>
      <c r="L9" s="25">
        <v>46576.470762582634</v>
      </c>
      <c r="M9" s="25">
        <v>34138.15429648073</v>
      </c>
      <c r="N9" s="25">
        <v>43907.351563981058</v>
      </c>
      <c r="O9" s="25">
        <v>-509354925.55000001</v>
      </c>
      <c r="P9" s="25">
        <v>1223397614.24</v>
      </c>
      <c r="Q9" s="168">
        <f t="shared" si="10"/>
        <v>0.41634454703953455</v>
      </c>
      <c r="R9" s="25">
        <f t="shared" si="1"/>
        <v>1423217.3269427642</v>
      </c>
      <c r="S9" s="167">
        <v>394206941.19999993</v>
      </c>
      <c r="T9" s="25">
        <v>392868744.9799999</v>
      </c>
      <c r="U9" s="25">
        <v>839.34166666666658</v>
      </c>
      <c r="V9" s="25">
        <v>92547272.25</v>
      </c>
      <c r="W9" s="25">
        <v>253889165.95999998</v>
      </c>
      <c r="X9" s="25">
        <v>165.41666666666666</v>
      </c>
      <c r="Y9" s="25">
        <v>596.125</v>
      </c>
      <c r="Z9" s="25">
        <v>39005.643806157597</v>
      </c>
      <c r="AA9" s="25">
        <v>46623.310957178845</v>
      </c>
      <c r="AB9" s="25">
        <v>35491.600749283563</v>
      </c>
      <c r="AC9" s="25">
        <v>44629.099551066225</v>
      </c>
      <c r="AD9" s="25">
        <v>-505507838.23000002</v>
      </c>
      <c r="AE9" s="25">
        <v>1214638512.05</v>
      </c>
      <c r="AF9" s="168">
        <f t="shared" si="11"/>
        <v>0.41617965609935398</v>
      </c>
      <c r="AG9" s="25">
        <f t="shared" si="12"/>
        <v>1447132.3899286147</v>
      </c>
      <c r="AH9" s="167">
        <v>379509139.83000004</v>
      </c>
      <c r="AI9" s="25">
        <v>377879185.83000004</v>
      </c>
      <c r="AJ9" s="25">
        <v>800.92499999999995</v>
      </c>
      <c r="AK9" s="25">
        <v>89949892.289999992</v>
      </c>
      <c r="AL9" s="25">
        <v>242359949.31</v>
      </c>
      <c r="AM9" s="25">
        <v>152.91666666666666</v>
      </c>
      <c r="AN9" s="25">
        <v>577.41666666666663</v>
      </c>
      <c r="AO9" s="25">
        <v>39316.954961450829</v>
      </c>
      <c r="AP9" s="25">
        <v>49019.014871934603</v>
      </c>
      <c r="AQ9" s="25">
        <v>34977.622934045321</v>
      </c>
      <c r="AR9" s="25">
        <v>49189.231741472169</v>
      </c>
      <c r="AS9" s="25">
        <v>-491396660.76999998</v>
      </c>
      <c r="AT9" s="25">
        <v>1226432051.46</v>
      </c>
      <c r="AU9" s="168">
        <f t="shared" si="13"/>
        <v>0.40067173732537342</v>
      </c>
      <c r="AV9" s="25">
        <f t="shared" si="14"/>
        <v>1531269.5339263978</v>
      </c>
      <c r="AW9" s="167">
        <v>392203941.87</v>
      </c>
      <c r="AX9" s="25">
        <v>391342354.87</v>
      </c>
      <c r="AY9" s="25">
        <v>796.69166666666661</v>
      </c>
      <c r="AZ9" s="25">
        <v>90198540.319999993</v>
      </c>
      <c r="BA9" s="25">
        <v>256244391.41</v>
      </c>
      <c r="BB9" s="25">
        <v>153.40833333333333</v>
      </c>
      <c r="BC9" s="25">
        <v>575.32499999999993</v>
      </c>
      <c r="BD9" s="25">
        <v>40934.108225683296</v>
      </c>
      <c r="BE9" s="25">
        <v>48996.979911999566</v>
      </c>
      <c r="BF9" s="25">
        <v>37115.889773895913</v>
      </c>
      <c r="BG9" s="25">
        <v>46287.705840092705</v>
      </c>
      <c r="BH9" s="25">
        <v>-508599693.80000001</v>
      </c>
      <c r="BI9" s="25">
        <v>1246052659.3399999</v>
      </c>
      <c r="BJ9" s="168">
        <f t="shared" si="15"/>
        <v>0.40816869976377351</v>
      </c>
      <c r="BK9" s="25">
        <f t="shared" si="5"/>
        <v>1564033.7554344528</v>
      </c>
      <c r="BL9" s="167">
        <v>414027072.49083334</v>
      </c>
      <c r="BM9" s="25">
        <v>413997552.81</v>
      </c>
      <c r="BN9" s="25">
        <v>777.8</v>
      </c>
      <c r="BO9" s="25">
        <v>90957503.5</v>
      </c>
      <c r="BP9" s="25">
        <v>274491946.69999999</v>
      </c>
      <c r="BQ9" s="25">
        <v>155.99166666666667</v>
      </c>
      <c r="BR9" s="25">
        <v>555.34999999999991</v>
      </c>
      <c r="BS9" s="25">
        <v>44355.613354975569</v>
      </c>
      <c r="BT9" s="25">
        <v>48591.00566269565</v>
      </c>
      <c r="BU9" s="25">
        <v>41189.031946820331</v>
      </c>
      <c r="BV9" s="25">
        <v>52480.82972901169</v>
      </c>
      <c r="BW9" s="25">
        <v>-539371131.75999999</v>
      </c>
      <c r="BX9" s="25">
        <v>1282919270.6599998</v>
      </c>
      <c r="BY9" s="168">
        <f t="shared" si="16"/>
        <v>0.42042484207328157</v>
      </c>
      <c r="BZ9" s="25">
        <f t="shared" si="7"/>
        <v>1649420.5074055025</v>
      </c>
      <c r="CA9" s="167">
        <v>456121957.07999998</v>
      </c>
      <c r="CB9" s="25">
        <v>455868327.07999998</v>
      </c>
      <c r="CC9" s="25">
        <v>824.93000000000006</v>
      </c>
      <c r="CD9" s="25">
        <v>105336232.56</v>
      </c>
      <c r="CE9" s="25">
        <v>295005660.80000001</v>
      </c>
      <c r="CF9" s="25">
        <v>172.5</v>
      </c>
      <c r="CG9" s="25">
        <v>578.67999999999995</v>
      </c>
      <c r="CH9" s="25">
        <v>46051.213141317035</v>
      </c>
      <c r="CI9" s="25">
        <v>50887.068869565213</v>
      </c>
      <c r="CJ9" s="25">
        <v>42482.555240662659</v>
      </c>
      <c r="CK9" s="25">
        <v>54653.509166666663</v>
      </c>
      <c r="CL9" s="25">
        <v>-592097875.72000003</v>
      </c>
      <c r="CM9" s="25">
        <v>1316937514.0400002</v>
      </c>
      <c r="CN9" s="168">
        <f t="shared" si="17"/>
        <v>0.44960210291497238</v>
      </c>
      <c r="CO9" s="25">
        <f t="shared" si="9"/>
        <v>1596423.3499084772</v>
      </c>
    </row>
    <row r="10" spans="1:93" ht="18" x14ac:dyDescent="0.25">
      <c r="A10" s="164">
        <v>7</v>
      </c>
      <c r="B10" s="165">
        <v>10</v>
      </c>
      <c r="C10" s="166" t="s">
        <v>371</v>
      </c>
      <c r="D10" s="167">
        <v>374286789.33000004</v>
      </c>
      <c r="E10" s="25">
        <v>373539827.97000003</v>
      </c>
      <c r="F10" s="25">
        <v>940.65833333333342</v>
      </c>
      <c r="G10" s="25">
        <v>81066394.020000011</v>
      </c>
      <c r="H10" s="25">
        <v>253068187.22999996</v>
      </c>
      <c r="I10" s="25">
        <v>148.20000000000002</v>
      </c>
      <c r="J10" s="25">
        <v>737.125</v>
      </c>
      <c r="K10" s="25">
        <v>33092.056801530845</v>
      </c>
      <c r="L10" s="25">
        <v>45583.892273954116</v>
      </c>
      <c r="M10" s="25">
        <v>28609.822760725787</v>
      </c>
      <c r="N10" s="25">
        <v>41718.530740740745</v>
      </c>
      <c r="O10" s="25">
        <v>-488602141.52999997</v>
      </c>
      <c r="P10" s="25">
        <v>943362289.32000005</v>
      </c>
      <c r="Q10" s="168">
        <f t="shared" si="10"/>
        <v>0.51793690193212727</v>
      </c>
      <c r="R10" s="25">
        <f t="shared" si="1"/>
        <v>1002874.5357276375</v>
      </c>
      <c r="S10" s="167">
        <v>398271319.59000009</v>
      </c>
      <c r="T10" s="25">
        <v>397941082.85000008</v>
      </c>
      <c r="U10" s="25">
        <v>938.90833333333353</v>
      </c>
      <c r="V10" s="25">
        <v>85173411.86999999</v>
      </c>
      <c r="W10" s="25">
        <v>275171986.52999997</v>
      </c>
      <c r="X10" s="25">
        <v>153.34166666666664</v>
      </c>
      <c r="Y10" s="25">
        <v>732.24166666666679</v>
      </c>
      <c r="Z10" s="25">
        <v>35319.482985559473</v>
      </c>
      <c r="AA10" s="25">
        <v>46287.382136840395</v>
      </c>
      <c r="AB10" s="25">
        <v>31316.162301835677</v>
      </c>
      <c r="AC10" s="25">
        <v>46762.060914127418</v>
      </c>
      <c r="AD10" s="25">
        <v>-510155260.93000001</v>
      </c>
      <c r="AE10" s="25">
        <v>946834332.20000005</v>
      </c>
      <c r="AF10" s="168">
        <f t="shared" si="11"/>
        <v>0.53880097455342357</v>
      </c>
      <c r="AG10" s="25">
        <f t="shared" si="12"/>
        <v>1008441.7174555555</v>
      </c>
      <c r="AH10" s="167">
        <v>388433571.87</v>
      </c>
      <c r="AI10" s="25">
        <v>388013665.67000002</v>
      </c>
      <c r="AJ10" s="25">
        <v>898.02</v>
      </c>
      <c r="AK10" s="25">
        <v>82624602.810000002</v>
      </c>
      <c r="AL10" s="25">
        <v>270697662.69000006</v>
      </c>
      <c r="AM10" s="25">
        <v>147.29666666666668</v>
      </c>
      <c r="AN10" s="25">
        <v>697.71500000000003</v>
      </c>
      <c r="AO10" s="25">
        <v>36006.405357527306</v>
      </c>
      <c r="AP10" s="25">
        <v>46745.006002625079</v>
      </c>
      <c r="AQ10" s="25">
        <v>32331.45131966491</v>
      </c>
      <c r="AR10" s="25">
        <v>45630.179767926216</v>
      </c>
      <c r="AS10" s="25">
        <v>-502727230.54000002</v>
      </c>
      <c r="AT10" s="25">
        <v>948754246.59000003</v>
      </c>
      <c r="AU10" s="168">
        <f t="shared" si="13"/>
        <v>0.52988140221442548</v>
      </c>
      <c r="AV10" s="25">
        <f t="shared" si="14"/>
        <v>1056495.67558629</v>
      </c>
      <c r="AW10" s="167">
        <v>417659674.02399999</v>
      </c>
      <c r="AX10" s="25">
        <v>417314188.72399998</v>
      </c>
      <c r="AY10" s="25">
        <v>877.98333333333346</v>
      </c>
      <c r="AZ10" s="25">
        <v>83128629.840000004</v>
      </c>
      <c r="BA10" s="25">
        <v>296382372.14000005</v>
      </c>
      <c r="BB10" s="25">
        <v>140.19166666666669</v>
      </c>
      <c r="BC10" s="25">
        <v>682.95833333333337</v>
      </c>
      <c r="BD10" s="25">
        <v>39609.160075551918</v>
      </c>
      <c r="BE10" s="25">
        <v>49413.677608036611</v>
      </c>
      <c r="BF10" s="25">
        <v>36164.037842718571</v>
      </c>
      <c r="BG10" s="25">
        <v>43120.8910783553</v>
      </c>
      <c r="BH10" s="25">
        <v>-540586765.78999996</v>
      </c>
      <c r="BI10" s="25">
        <v>979230680.50999987</v>
      </c>
      <c r="BJ10" s="168">
        <f t="shared" si="15"/>
        <v>0.55205252097335555</v>
      </c>
      <c r="BK10" s="25">
        <f t="shared" si="5"/>
        <v>1115318.0741965487</v>
      </c>
      <c r="BL10" s="167">
        <v>450775594.51333326</v>
      </c>
      <c r="BM10" s="25">
        <v>450757603.42999995</v>
      </c>
      <c r="BN10" s="25">
        <v>857.07500000000016</v>
      </c>
      <c r="BO10" s="25">
        <v>82668657.819999993</v>
      </c>
      <c r="BP10" s="25">
        <v>321532292.54000002</v>
      </c>
      <c r="BQ10" s="25">
        <v>135.61666666666665</v>
      </c>
      <c r="BR10" s="25">
        <v>670.86666666666667</v>
      </c>
      <c r="BS10" s="25">
        <v>43827.125536466068</v>
      </c>
      <c r="BT10" s="25">
        <v>50797.995465159154</v>
      </c>
      <c r="BU10" s="25">
        <v>39939.91510235516</v>
      </c>
      <c r="BV10" s="25">
        <v>56929.794774826791</v>
      </c>
      <c r="BW10" s="25">
        <v>-586900137.80999994</v>
      </c>
      <c r="BX10" s="25">
        <v>1072617573.5</v>
      </c>
      <c r="BY10" s="168">
        <f t="shared" si="16"/>
        <v>0.54716625226912707</v>
      </c>
      <c r="BZ10" s="25">
        <f t="shared" si="7"/>
        <v>1251486.245077735</v>
      </c>
      <c r="CA10" s="167">
        <v>487337361.94</v>
      </c>
      <c r="CB10" s="25">
        <v>487158972.94</v>
      </c>
      <c r="CC10" s="25">
        <v>932.72</v>
      </c>
      <c r="CD10" s="25">
        <v>101225717.11</v>
      </c>
      <c r="CE10" s="25">
        <v>334803893.29000002</v>
      </c>
      <c r="CF10" s="25">
        <v>166.42000000000002</v>
      </c>
      <c r="CG10" s="25">
        <v>705</v>
      </c>
      <c r="CH10" s="25">
        <v>43524.938972396143</v>
      </c>
      <c r="CI10" s="25">
        <v>50687.876612386324</v>
      </c>
      <c r="CJ10" s="25">
        <v>39574.92828486998</v>
      </c>
      <c r="CK10" s="25">
        <v>55832.137071428566</v>
      </c>
      <c r="CL10" s="25">
        <v>-633426949.63</v>
      </c>
      <c r="CM10" s="25">
        <v>1129691664.3399999</v>
      </c>
      <c r="CN10" s="168">
        <f t="shared" si="17"/>
        <v>0.56070781933233715</v>
      </c>
      <c r="CO10" s="25">
        <f t="shared" si="9"/>
        <v>1211179.8442619434</v>
      </c>
    </row>
    <row r="11" spans="1:93" ht="18" x14ac:dyDescent="0.25">
      <c r="A11" s="175">
        <v>8</v>
      </c>
      <c r="B11" s="165">
        <v>11</v>
      </c>
      <c r="C11" s="166" t="s">
        <v>374</v>
      </c>
      <c r="D11" s="167">
        <v>267905398.03000003</v>
      </c>
      <c r="E11" s="25">
        <v>266809117.63000003</v>
      </c>
      <c r="F11" s="25">
        <v>486.625</v>
      </c>
      <c r="G11" s="25">
        <v>69020453.850000009</v>
      </c>
      <c r="H11" s="25">
        <v>164893478.11000001</v>
      </c>
      <c r="I11" s="25">
        <v>103.83333333333333</v>
      </c>
      <c r="J11" s="25">
        <v>331.91666666666663</v>
      </c>
      <c r="K11" s="25">
        <v>45690.404594571453</v>
      </c>
      <c r="L11" s="25">
        <v>55393.622672552177</v>
      </c>
      <c r="M11" s="25">
        <v>41399.316623148385</v>
      </c>
      <c r="N11" s="25">
        <v>43846.239694323136</v>
      </c>
      <c r="O11" s="25">
        <v>-348480901.92000002</v>
      </c>
      <c r="P11" s="25">
        <v>678026874</v>
      </c>
      <c r="Q11" s="168">
        <f t="shared" si="10"/>
        <v>0.51396325910232288</v>
      </c>
      <c r="R11" s="25">
        <f t="shared" si="1"/>
        <v>1393325.1970202927</v>
      </c>
      <c r="S11" s="167">
        <v>282239658.73200005</v>
      </c>
      <c r="T11" s="25">
        <v>281525130.42200005</v>
      </c>
      <c r="U11" s="25">
        <v>473.08333333333337</v>
      </c>
      <c r="V11" s="25">
        <v>75062905.069999993</v>
      </c>
      <c r="W11" s="25">
        <v>172000389.82000002</v>
      </c>
      <c r="X11" s="25">
        <v>108.20833333333333</v>
      </c>
      <c r="Y11" s="25">
        <v>313.91666666666669</v>
      </c>
      <c r="Z11" s="25">
        <v>49590.475677646646</v>
      </c>
      <c r="AA11" s="25">
        <v>57807.397050442814</v>
      </c>
      <c r="AB11" s="25">
        <v>45659.779617732944</v>
      </c>
      <c r="AC11" s="25">
        <v>50061.416810344825</v>
      </c>
      <c r="AD11" s="25">
        <v>-364661161.17000002</v>
      </c>
      <c r="AE11" s="25">
        <v>679777913.57000005</v>
      </c>
      <c r="AF11" s="168">
        <f t="shared" si="11"/>
        <v>0.53644161407790292</v>
      </c>
      <c r="AG11" s="25">
        <f t="shared" si="12"/>
        <v>1436909.452675709</v>
      </c>
      <c r="AH11" s="167">
        <v>292205611.29100001</v>
      </c>
      <c r="AI11" s="25">
        <v>291257099.491</v>
      </c>
      <c r="AJ11" s="25">
        <v>470.3416666666667</v>
      </c>
      <c r="AK11" s="25">
        <v>79047123.909999996</v>
      </c>
      <c r="AL11" s="25">
        <v>175502248.46000001</v>
      </c>
      <c r="AM11" s="25">
        <v>110.625</v>
      </c>
      <c r="AN11" s="25">
        <v>311.91666666666669</v>
      </c>
      <c r="AO11" s="25">
        <v>51603.816284438617</v>
      </c>
      <c r="AP11" s="25">
        <v>59545.856052730698</v>
      </c>
      <c r="AQ11" s="25">
        <v>46888.124087630247</v>
      </c>
      <c r="AR11" s="25">
        <v>53330.082810690423</v>
      </c>
      <c r="AS11" s="25">
        <v>-378518759.69999999</v>
      </c>
      <c r="AT11" s="25">
        <v>700121201.67999995</v>
      </c>
      <c r="AU11" s="168">
        <f t="shared" si="13"/>
        <v>0.54064747473967689</v>
      </c>
      <c r="AV11" s="25">
        <f t="shared" si="14"/>
        <v>1488537.4851898442</v>
      </c>
      <c r="AW11" s="167">
        <v>335162076.39000005</v>
      </c>
      <c r="AX11" s="25">
        <v>334250921.19000006</v>
      </c>
      <c r="AY11" s="25">
        <v>487.82166666666666</v>
      </c>
      <c r="AZ11" s="25">
        <v>88028104</v>
      </c>
      <c r="BA11" s="25">
        <v>205337610.02999997</v>
      </c>
      <c r="BB11" s="25">
        <v>110.06666666666666</v>
      </c>
      <c r="BC11" s="25">
        <v>333.29166666666669</v>
      </c>
      <c r="BD11" s="25">
        <v>57099.233871325938</v>
      </c>
      <c r="BE11" s="25">
        <v>66647.5651120533</v>
      </c>
      <c r="BF11" s="25">
        <v>51340.820110013738</v>
      </c>
      <c r="BG11" s="25">
        <v>59142.415726406005</v>
      </c>
      <c r="BH11" s="25">
        <v>-435614587.70999998</v>
      </c>
      <c r="BI11" s="25">
        <v>756491537.88</v>
      </c>
      <c r="BJ11" s="168">
        <f t="shared" si="15"/>
        <v>0.57583537408861307</v>
      </c>
      <c r="BK11" s="25">
        <f t="shared" si="5"/>
        <v>1550754.2808608338</v>
      </c>
      <c r="BL11" s="167">
        <v>312732647.67333329</v>
      </c>
      <c r="BM11" s="25">
        <v>312591739.20999998</v>
      </c>
      <c r="BN11" s="25">
        <v>472.13499999999999</v>
      </c>
      <c r="BO11" s="25">
        <v>71311719.020000011</v>
      </c>
      <c r="BP11" s="25">
        <v>203229922.66</v>
      </c>
      <c r="BQ11" s="25">
        <v>89.516666666666652</v>
      </c>
      <c r="BR11" s="25">
        <v>345.83500000000004</v>
      </c>
      <c r="BS11" s="25">
        <v>55173.438954606907</v>
      </c>
      <c r="BT11" s="25">
        <v>66385.886259542007</v>
      </c>
      <c r="BU11" s="25">
        <v>48970.829697206274</v>
      </c>
      <c r="BV11" s="25">
        <v>63281.048986301386</v>
      </c>
      <c r="BW11" s="25">
        <v>-433336213.08999997</v>
      </c>
      <c r="BX11" s="25">
        <v>773033465.95999992</v>
      </c>
      <c r="BY11" s="168">
        <f t="shared" si="16"/>
        <v>0.56056591618819085</v>
      </c>
      <c r="BZ11" s="25">
        <f t="shared" si="7"/>
        <v>1637314.4671757016</v>
      </c>
      <c r="CA11" s="167">
        <v>374275943.07999998</v>
      </c>
      <c r="CB11" s="25">
        <v>372691943.07999998</v>
      </c>
      <c r="CC11" s="25">
        <v>505.47</v>
      </c>
      <c r="CD11" s="25">
        <v>87614086.289999992</v>
      </c>
      <c r="CE11" s="25">
        <v>243597884.88</v>
      </c>
      <c r="CF11" s="25">
        <v>107.5</v>
      </c>
      <c r="CG11" s="25">
        <v>361.5</v>
      </c>
      <c r="CH11" s="25">
        <v>61443.135939488653</v>
      </c>
      <c r="CI11" s="25">
        <v>67917.896348837196</v>
      </c>
      <c r="CJ11" s="25">
        <v>56154.422517289066</v>
      </c>
      <c r="CK11" s="25">
        <v>65638.853676470593</v>
      </c>
      <c r="CL11" s="25">
        <v>-485643046.52999997</v>
      </c>
      <c r="CM11" s="25">
        <v>842473309.01999998</v>
      </c>
      <c r="CN11" s="168">
        <f t="shared" si="17"/>
        <v>0.57644917806941587</v>
      </c>
      <c r="CO11" s="25">
        <f t="shared" si="9"/>
        <v>1666712.7802243456</v>
      </c>
    </row>
    <row r="12" spans="1:93" ht="18" x14ac:dyDescent="0.25">
      <c r="A12" s="175"/>
      <c r="B12" s="165">
        <v>12</v>
      </c>
      <c r="C12" s="166" t="s">
        <v>753</v>
      </c>
      <c r="D12" s="167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168" t="e">
        <f t="shared" si="10"/>
        <v>#DIV/0!</v>
      </c>
      <c r="R12" s="25" t="e">
        <f t="shared" si="1"/>
        <v>#DIV/0!</v>
      </c>
      <c r="S12" s="167">
        <v>164232074.59000003</v>
      </c>
      <c r="T12" s="25">
        <v>164232074.59000003</v>
      </c>
      <c r="U12" s="25">
        <v>250.62916666666669</v>
      </c>
      <c r="V12" s="25">
        <v>46982381.960000008</v>
      </c>
      <c r="W12" s="25">
        <v>103976376.12000002</v>
      </c>
      <c r="X12" s="25">
        <v>55.407499999999999</v>
      </c>
      <c r="Y12" s="25">
        <v>180.11166666666668</v>
      </c>
      <c r="Z12" s="25">
        <v>54606.598257718084</v>
      </c>
      <c r="AA12" s="25">
        <v>70661.886868504575</v>
      </c>
      <c r="AB12" s="25">
        <v>48107.36678171876</v>
      </c>
      <c r="AC12" s="25">
        <v>76449.427109823169</v>
      </c>
      <c r="AD12" s="25">
        <v>-209783707.28</v>
      </c>
      <c r="AE12" s="25">
        <v>640743565.22000003</v>
      </c>
      <c r="AF12" s="168">
        <f t="shared" si="11"/>
        <v>0.32740665481044751</v>
      </c>
      <c r="AG12" s="25">
        <f t="shared" si="12"/>
        <v>2556540.3011221755</v>
      </c>
      <c r="AH12" s="167">
        <v>210267096.08000001</v>
      </c>
      <c r="AI12" s="25">
        <v>210267096.08000001</v>
      </c>
      <c r="AJ12" s="25">
        <v>336.17999999999995</v>
      </c>
      <c r="AK12" s="25">
        <v>48458606.129999995</v>
      </c>
      <c r="AL12" s="25">
        <v>143082571.81</v>
      </c>
      <c r="AM12" s="25">
        <v>60.044166666666662</v>
      </c>
      <c r="AN12" s="25">
        <v>251.60416666666666</v>
      </c>
      <c r="AO12" s="25">
        <v>52121.655085569248</v>
      </c>
      <c r="AP12" s="25">
        <v>67254.113125060714</v>
      </c>
      <c r="AQ12" s="25">
        <v>47390.10410201209</v>
      </c>
      <c r="AR12" s="25">
        <v>73791.635457458164</v>
      </c>
      <c r="AS12" s="25">
        <v>-272315295.83999997</v>
      </c>
      <c r="AT12" s="25">
        <v>737268396.62</v>
      </c>
      <c r="AU12" s="168">
        <f t="shared" si="13"/>
        <v>0.36935707143887747</v>
      </c>
      <c r="AV12" s="25">
        <f t="shared" si="14"/>
        <v>2193076.3181033973</v>
      </c>
      <c r="AW12" s="167">
        <v>230562758.82999998</v>
      </c>
      <c r="AX12" s="25">
        <v>230562758.82999998</v>
      </c>
      <c r="AY12" s="25">
        <v>363.85166666666657</v>
      </c>
      <c r="AZ12" s="25">
        <v>46188211.100000001</v>
      </c>
      <c r="BA12" s="25">
        <v>166421922.68000001</v>
      </c>
      <c r="BB12" s="25">
        <v>60.418333333333322</v>
      </c>
      <c r="BC12" s="25">
        <v>281.12166666666661</v>
      </c>
      <c r="BD12" s="25">
        <v>52806.033326309727</v>
      </c>
      <c r="BE12" s="25">
        <v>63706.119969104308</v>
      </c>
      <c r="BF12" s="25">
        <v>49332.709645290015</v>
      </c>
      <c r="BG12" s="25">
        <v>71557.624751984127</v>
      </c>
      <c r="BH12" s="25">
        <v>-299058794.69999999</v>
      </c>
      <c r="BI12" s="25">
        <v>633563995.72000003</v>
      </c>
      <c r="BJ12" s="168">
        <f t="shared" si="15"/>
        <v>0.4720261831800292</v>
      </c>
      <c r="BK12" s="25">
        <f t="shared" si="5"/>
        <v>1741270.0112774901</v>
      </c>
      <c r="BL12" s="167">
        <v>102924010.58999999</v>
      </c>
      <c r="BM12" s="25">
        <v>102924010.58999999</v>
      </c>
      <c r="BN12" s="25">
        <v>153.67916666666667</v>
      </c>
      <c r="BO12" s="25">
        <v>18525040.649999999</v>
      </c>
      <c r="BP12" s="25">
        <v>75786016.539999992</v>
      </c>
      <c r="BQ12" s="25">
        <v>21.987500000000001</v>
      </c>
      <c r="BR12" s="25">
        <v>122.86416666666666</v>
      </c>
      <c r="BS12" s="25">
        <v>55811.084017026798</v>
      </c>
      <c r="BT12" s="25">
        <v>70210.500852757235</v>
      </c>
      <c r="BU12" s="25">
        <v>51402.305079457663</v>
      </c>
      <c r="BV12" s="25">
        <v>83881.885314021129</v>
      </c>
      <c r="BW12" s="25">
        <v>-133964347.38</v>
      </c>
      <c r="BX12" s="25">
        <v>256228589.34</v>
      </c>
      <c r="BY12" s="168">
        <f t="shared" si="16"/>
        <v>0.5228313816388277</v>
      </c>
      <c r="BZ12" s="25">
        <f t="shared" si="7"/>
        <v>1667295.5410785456</v>
      </c>
      <c r="CA12" s="167"/>
      <c r="CB12" s="25"/>
      <c r="CC12" s="25"/>
      <c r="CD12" s="25"/>
      <c r="CE12" s="25"/>
      <c r="CF12" s="25"/>
      <c r="CG12" s="25"/>
      <c r="CH12" s="25"/>
      <c r="CI12" s="25"/>
      <c r="CJ12" s="25"/>
      <c r="CK12" s="25">
        <v>94120.30434108527</v>
      </c>
      <c r="CL12" s="25"/>
      <c r="CM12" s="25"/>
      <c r="CN12" s="168" t="e">
        <f t="shared" si="17"/>
        <v>#DIV/0!</v>
      </c>
      <c r="CO12" s="25" t="e">
        <f t="shared" si="9"/>
        <v>#DIV/0!</v>
      </c>
    </row>
  </sheetData>
  <customSheetViews>
    <customSheetView guid="{38D37C3F-FD9B-4DF6-A86F-8343B05C36EA}" hiddenColumns="1" state="hidden">
      <selection activeCell="K28" sqref="K28"/>
      <pageMargins left="0.7" right="0.7" top="0.75" bottom="0.75" header="0.3" footer="0.3"/>
    </customSheetView>
  </customSheetViews>
  <mergeCells count="6">
    <mergeCell ref="CA1:CO1"/>
    <mergeCell ref="D1:R1"/>
    <mergeCell ref="S1:AG1"/>
    <mergeCell ref="AH1:AV1"/>
    <mergeCell ref="AW1:BK1"/>
    <mergeCell ref="BL1:B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43"/>
  <sheetViews>
    <sheetView topLeftCell="A10" zoomScale="80" zoomScaleNormal="80" workbookViewId="0">
      <selection activeCell="G6" sqref="G6"/>
    </sheetView>
  </sheetViews>
  <sheetFormatPr defaultRowHeight="15.75" x14ac:dyDescent="0.25"/>
  <cols>
    <col min="1" max="1" width="67.140625" style="187" customWidth="1"/>
    <col min="2" max="6" width="23.42578125" style="187" customWidth="1"/>
    <col min="7" max="8" width="13.28515625" hidden="1" customWidth="1"/>
    <col min="9" max="11" width="15.28515625" customWidth="1"/>
    <col min="12" max="14" width="13.85546875" customWidth="1"/>
  </cols>
  <sheetData>
    <row r="1" spans="1:14" x14ac:dyDescent="0.25">
      <c r="A1" s="206"/>
      <c r="B1" s="206"/>
      <c r="C1" s="206"/>
      <c r="D1" s="206"/>
      <c r="E1" s="206"/>
      <c r="F1" s="206"/>
      <c r="G1" s="1"/>
      <c r="H1" s="1"/>
      <c r="I1" s="1"/>
      <c r="J1" s="1"/>
      <c r="K1" s="1"/>
      <c r="L1" s="1"/>
      <c r="M1" s="1"/>
      <c r="N1" s="1"/>
    </row>
    <row r="2" spans="1:14" ht="23.25" x14ac:dyDescent="0.25">
      <c r="A2" s="207" t="s">
        <v>0</v>
      </c>
      <c r="B2" s="207"/>
      <c r="C2" s="207"/>
      <c r="D2" s="207"/>
      <c r="E2" s="207"/>
      <c r="F2" s="207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206"/>
      <c r="B3" s="206"/>
      <c r="C3" s="206"/>
      <c r="D3" s="206"/>
      <c r="E3" s="206"/>
      <c r="F3" s="206"/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208" t="s">
        <v>1</v>
      </c>
      <c r="B4" s="208"/>
      <c r="C4" s="208"/>
      <c r="D4" s="208"/>
      <c r="E4" s="208"/>
      <c r="F4" s="208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206"/>
      <c r="B5" s="206"/>
      <c r="C5" s="206"/>
      <c r="D5" s="206"/>
      <c r="E5" s="206"/>
      <c r="F5" s="206"/>
      <c r="G5" s="1"/>
      <c r="H5" s="1"/>
      <c r="I5" s="1"/>
      <c r="J5" s="1"/>
      <c r="K5" s="1"/>
      <c r="L5" s="1"/>
      <c r="M5" s="1"/>
      <c r="N5" s="1"/>
    </row>
    <row r="6" spans="1:14" s="187" customFormat="1" ht="15" x14ac:dyDescent="0.2">
      <c r="A6" s="430" t="s">
        <v>277</v>
      </c>
      <c r="B6" s="425" t="s">
        <v>365</v>
      </c>
      <c r="C6" s="425"/>
      <c r="D6" s="425"/>
      <c r="E6" s="425" t="s">
        <v>367</v>
      </c>
      <c r="F6" s="425"/>
      <c r="G6" s="326"/>
      <c r="H6" s="326"/>
    </row>
    <row r="7" spans="1:14" s="187" customFormat="1" ht="45" x14ac:dyDescent="0.2">
      <c r="A7" s="430"/>
      <c r="B7" s="327" t="s">
        <v>840</v>
      </c>
      <c r="C7" s="327" t="s">
        <v>841</v>
      </c>
      <c r="D7" s="327" t="s">
        <v>842</v>
      </c>
      <c r="E7" s="327" t="s">
        <v>762</v>
      </c>
      <c r="F7" s="327" t="s">
        <v>763</v>
      </c>
      <c r="G7" s="327"/>
      <c r="H7" s="327" t="s">
        <v>368</v>
      </c>
    </row>
    <row r="8" spans="1:14" s="187" customFormat="1" ht="18" customHeight="1" x14ac:dyDescent="0.2">
      <c r="A8" s="192" t="s">
        <v>280</v>
      </c>
      <c r="B8" s="193">
        <f>данные!B8</f>
        <v>595444.43117</v>
      </c>
      <c r="C8" s="193">
        <f>данные!C8</f>
        <v>644121.31589999993</v>
      </c>
      <c r="D8" s="193">
        <f>данные!D8</f>
        <v>646412.64230999991</v>
      </c>
      <c r="E8" s="195">
        <f t="shared" ref="E8:E15" si="0">D8/C8-100%</f>
        <v>3.5572901461868867E-3</v>
      </c>
      <c r="F8" s="199">
        <f t="shared" ref="F8:F15" si="1">D8/B8-100%</f>
        <v>8.5596923024120919E-2</v>
      </c>
      <c r="G8" s="194">
        <f t="shared" ref="G8:G15" si="2">D8-C8</f>
        <v>2291.3264099999797</v>
      </c>
      <c r="H8" s="195">
        <f t="shared" ref="H8:H15" si="3">D8/C8</f>
        <v>1.0035572901461869</v>
      </c>
    </row>
    <row r="9" spans="1:14" s="187" customFormat="1" ht="18" customHeight="1" x14ac:dyDescent="0.2">
      <c r="A9" s="192" t="s">
        <v>297</v>
      </c>
      <c r="B9" s="193">
        <f>данные!B25</f>
        <v>841962.11164999998</v>
      </c>
      <c r="C9" s="193">
        <f>данные!C25</f>
        <v>970277.20272000006</v>
      </c>
      <c r="D9" s="193">
        <f>данные!D25</f>
        <v>875510.91902999999</v>
      </c>
      <c r="E9" s="199">
        <f t="shared" si="0"/>
        <v>-9.7669288141924437E-2</v>
      </c>
      <c r="F9" s="199">
        <f t="shared" si="1"/>
        <v>3.9845982278530423E-2</v>
      </c>
      <c r="G9" s="194">
        <f t="shared" si="2"/>
        <v>-94766.283690000069</v>
      </c>
      <c r="H9" s="195">
        <f t="shared" si="3"/>
        <v>0.90233071185807556</v>
      </c>
    </row>
    <row r="10" spans="1:14" s="187" customFormat="1" ht="18" customHeight="1" x14ac:dyDescent="0.2">
      <c r="A10" s="192" t="s">
        <v>306</v>
      </c>
      <c r="B10" s="193">
        <f>данные!B34</f>
        <v>434007.12507000001</v>
      </c>
      <c r="C10" s="193">
        <f>данные!C34</f>
        <v>469585.80241</v>
      </c>
      <c r="D10" s="193">
        <f>данные!D34</f>
        <v>454012.51432999998</v>
      </c>
      <c r="E10" s="199">
        <f t="shared" si="0"/>
        <v>-3.3163881872226741E-2</v>
      </c>
      <c r="F10" s="199">
        <f t="shared" si="1"/>
        <v>4.6094610213538223E-2</v>
      </c>
      <c r="G10" s="194">
        <f t="shared" si="2"/>
        <v>-15573.288080000028</v>
      </c>
      <c r="H10" s="195">
        <f t="shared" si="3"/>
        <v>0.96683611812777326</v>
      </c>
    </row>
    <row r="11" spans="1:14" s="187" customFormat="1" ht="18" customHeight="1" x14ac:dyDescent="0.2">
      <c r="A11" s="192" t="s">
        <v>316</v>
      </c>
      <c r="B11" s="193">
        <f>данные!B46</f>
        <v>432139.52408</v>
      </c>
      <c r="C11" s="193">
        <f>данные!C46</f>
        <v>471724.38257000002</v>
      </c>
      <c r="D11" s="193">
        <f>данные!D46</f>
        <v>450783.46025</v>
      </c>
      <c r="E11" s="199">
        <f t="shared" si="0"/>
        <v>-4.4392283065615268E-2</v>
      </c>
      <c r="F11" s="199">
        <f t="shared" si="1"/>
        <v>4.314332554906164E-2</v>
      </c>
      <c r="G11" s="194">
        <f t="shared" si="2"/>
        <v>-20940.922320000012</v>
      </c>
      <c r="H11" s="195">
        <f t="shared" si="3"/>
        <v>0.95560771693438473</v>
      </c>
    </row>
    <row r="12" spans="1:14" s="187" customFormat="1" ht="18" customHeight="1" x14ac:dyDescent="0.2">
      <c r="A12" s="192" t="s">
        <v>327</v>
      </c>
      <c r="B12" s="193">
        <f>данные!B57</f>
        <v>648522.52769000002</v>
      </c>
      <c r="C12" s="193">
        <f>данные!C57</f>
        <v>706782.84270000004</v>
      </c>
      <c r="D12" s="193">
        <f>данные!D57</f>
        <v>744733.09148000006</v>
      </c>
      <c r="E12" s="199">
        <f t="shared" si="0"/>
        <v>5.3694354881373751E-2</v>
      </c>
      <c r="F12" s="199">
        <f t="shared" si="1"/>
        <v>0.14835346450137443</v>
      </c>
      <c r="G12" s="194">
        <f t="shared" si="2"/>
        <v>37950.248780000024</v>
      </c>
      <c r="H12" s="195">
        <f t="shared" si="3"/>
        <v>1.0536943548813738</v>
      </c>
    </row>
    <row r="13" spans="1:14" s="187" customFormat="1" ht="18" customHeight="1" x14ac:dyDescent="0.2">
      <c r="A13" s="192" t="s">
        <v>337</v>
      </c>
      <c r="B13" s="193">
        <f>данные!B67</f>
        <v>563751.70570000005</v>
      </c>
      <c r="C13" s="193">
        <f>данные!C67</f>
        <v>601620.10514999996</v>
      </c>
      <c r="D13" s="193">
        <f>данные!D67</f>
        <v>570520.16610999999</v>
      </c>
      <c r="E13" s="199">
        <f t="shared" si="0"/>
        <v>-5.1693649819508525E-2</v>
      </c>
      <c r="F13" s="199">
        <f t="shared" si="1"/>
        <v>1.2006101873511366E-2</v>
      </c>
      <c r="G13" s="194">
        <f t="shared" si="2"/>
        <v>-31099.939039999968</v>
      </c>
      <c r="H13" s="195">
        <f t="shared" si="3"/>
        <v>0.94830635018049148</v>
      </c>
    </row>
    <row r="14" spans="1:14" s="187" customFormat="1" ht="18" customHeight="1" x14ac:dyDescent="0.2">
      <c r="A14" s="192" t="s">
        <v>348</v>
      </c>
      <c r="B14" s="193">
        <f>данные!B78</f>
        <v>407989.49579000002</v>
      </c>
      <c r="C14" s="193">
        <f>данные!C78</f>
        <v>461149.35232000001</v>
      </c>
      <c r="D14" s="193">
        <f>данные!D78</f>
        <v>453099.64322000003</v>
      </c>
      <c r="E14" s="199">
        <f t="shared" si="0"/>
        <v>-1.7455752804384606E-2</v>
      </c>
      <c r="F14" s="199">
        <f t="shared" si="1"/>
        <v>0.11056693345168633</v>
      </c>
      <c r="G14" s="194">
        <f t="shared" si="2"/>
        <v>-8049.7090999999782</v>
      </c>
      <c r="H14" s="195">
        <f t="shared" si="3"/>
        <v>0.98254424719561539</v>
      </c>
    </row>
    <row r="15" spans="1:14" s="187" customFormat="1" ht="18" customHeight="1" x14ac:dyDescent="0.2">
      <c r="A15" s="192" t="s">
        <v>357</v>
      </c>
      <c r="B15" s="193">
        <f>данные!B87+данные!B89</f>
        <v>1460455.9402300001</v>
      </c>
      <c r="C15" s="193">
        <f>данные!C87+данные!C89</f>
        <v>1624282.1954899998</v>
      </c>
      <c r="D15" s="193">
        <f>данные!D87+данные!D89</f>
        <v>1944103.9206899998</v>
      </c>
      <c r="E15" s="199">
        <f t="shared" si="0"/>
        <v>0.19690034532670531</v>
      </c>
      <c r="F15" s="199">
        <f t="shared" si="1"/>
        <v>0.33116232207856422</v>
      </c>
      <c r="G15" s="194">
        <f t="shared" si="2"/>
        <v>319821.72519999999</v>
      </c>
      <c r="H15" s="195">
        <f t="shared" si="3"/>
        <v>1.1969003453267053</v>
      </c>
    </row>
    <row r="18" spans="1:8" s="187" customFormat="1" ht="15" x14ac:dyDescent="0.2">
      <c r="A18" s="426" t="s">
        <v>277</v>
      </c>
      <c r="B18" s="427" t="s">
        <v>366</v>
      </c>
      <c r="C18" s="428"/>
      <c r="D18" s="429"/>
      <c r="E18" s="427" t="s">
        <v>367</v>
      </c>
      <c r="F18" s="429"/>
      <c r="G18" s="196"/>
      <c r="H18" s="196"/>
    </row>
    <row r="19" spans="1:8" s="187" customFormat="1" ht="45" x14ac:dyDescent="0.2">
      <c r="A19" s="426"/>
      <c r="B19" s="198" t="str">
        <f>B7</f>
        <v>факт янв-июнь 2021</v>
      </c>
      <c r="C19" s="198" t="str">
        <f t="shared" ref="C19:D19" si="4">C7</f>
        <v>план янв-июнь 2022</v>
      </c>
      <c r="D19" s="198" t="str">
        <f t="shared" si="4"/>
        <v>факт янв-июнь 2022</v>
      </c>
      <c r="E19" s="198" t="str">
        <f>E7</f>
        <v>факт 22/план 22</v>
      </c>
      <c r="F19" s="198" t="str">
        <f>F7</f>
        <v>факт 22/факт 21</v>
      </c>
      <c r="G19" s="197"/>
      <c r="H19" s="197" t="s">
        <v>368</v>
      </c>
    </row>
    <row r="20" spans="1:8" s="187" customFormat="1" ht="15" x14ac:dyDescent="0.2">
      <c r="A20" s="192" t="s">
        <v>280</v>
      </c>
      <c r="B20" s="193">
        <f>данные!O8</f>
        <v>472696.84729000001</v>
      </c>
      <c r="C20" s="193">
        <f>данные!P8</f>
        <v>523817.15717999998</v>
      </c>
      <c r="D20" s="193">
        <f>данные!Q8</f>
        <v>534843.54539999994</v>
      </c>
      <c r="E20" s="199">
        <f t="shared" ref="E20:E27" si="5">D20/C20-100%</f>
        <v>2.1050070752476335E-2</v>
      </c>
      <c r="F20" s="199">
        <f t="shared" ref="F20:F27" si="6">D20/B20-100%</f>
        <v>0.13147263085482952</v>
      </c>
      <c r="G20" s="194">
        <f t="shared" ref="G20:G27" si="7">D20-C20</f>
        <v>11026.388219999964</v>
      </c>
      <c r="H20" s="195">
        <f t="shared" ref="H20:H27" si="8">D20/C20</f>
        <v>1.0210500707524763</v>
      </c>
    </row>
    <row r="21" spans="1:8" s="187" customFormat="1" ht="15" x14ac:dyDescent="0.2">
      <c r="A21" s="192" t="s">
        <v>297</v>
      </c>
      <c r="B21" s="193">
        <f>данные!O25</f>
        <v>687838.44638999994</v>
      </c>
      <c r="C21" s="193">
        <f>данные!P25</f>
        <v>807739.57551999995</v>
      </c>
      <c r="D21" s="193">
        <f>данные!Q25</f>
        <v>706306.16942999989</v>
      </c>
      <c r="E21" s="199">
        <f t="shared" si="5"/>
        <v>-0.12557686804524848</v>
      </c>
      <c r="F21" s="199">
        <f t="shared" si="6"/>
        <v>2.6848925262791923E-2</v>
      </c>
      <c r="G21" s="194">
        <f t="shared" si="7"/>
        <v>-101433.40609000006</v>
      </c>
      <c r="H21" s="195">
        <f t="shared" si="8"/>
        <v>0.87442313195475152</v>
      </c>
    </row>
    <row r="22" spans="1:8" s="187" customFormat="1" ht="15" x14ac:dyDescent="0.2">
      <c r="A22" s="192" t="s">
        <v>306</v>
      </c>
      <c r="B22" s="193">
        <f>данные!O34</f>
        <v>420934.99612999998</v>
      </c>
      <c r="C22" s="193">
        <f>данные!P34</f>
        <v>461819.93680000002</v>
      </c>
      <c r="D22" s="193">
        <f>данные!Q34</f>
        <v>453399.39257999999</v>
      </c>
      <c r="E22" s="199">
        <f t="shared" si="5"/>
        <v>-1.8233392603937526E-2</v>
      </c>
      <c r="F22" s="199">
        <f t="shared" si="6"/>
        <v>7.7124488931715751E-2</v>
      </c>
      <c r="G22" s="194">
        <f t="shared" si="7"/>
        <v>-8420.5442200000398</v>
      </c>
      <c r="H22" s="195">
        <f t="shared" si="8"/>
        <v>0.98176660739606247</v>
      </c>
    </row>
    <row r="23" spans="1:8" s="187" customFormat="1" ht="15" x14ac:dyDescent="0.2">
      <c r="A23" s="192" t="s">
        <v>316</v>
      </c>
      <c r="B23" s="193">
        <f>данные!O46</f>
        <v>411082.25293999998</v>
      </c>
      <c r="C23" s="193">
        <f>данные!P46</f>
        <v>419784.35294999997</v>
      </c>
      <c r="D23" s="193">
        <f>данные!Q46</f>
        <v>408134.61582000001</v>
      </c>
      <c r="E23" s="199">
        <f t="shared" si="5"/>
        <v>-2.7751718348081322E-2</v>
      </c>
      <c r="F23" s="199">
        <f t="shared" si="6"/>
        <v>-7.1704314621195975E-3</v>
      </c>
      <c r="G23" s="194">
        <f t="shared" si="7"/>
        <v>-11649.737129999965</v>
      </c>
      <c r="H23" s="195">
        <f t="shared" si="8"/>
        <v>0.97224828165191868</v>
      </c>
    </row>
    <row r="24" spans="1:8" s="187" customFormat="1" ht="15" x14ac:dyDescent="0.2">
      <c r="A24" s="192" t="s">
        <v>327</v>
      </c>
      <c r="B24" s="193">
        <f>данные!O57</f>
        <v>548291.12202000001</v>
      </c>
      <c r="C24" s="193">
        <f>данные!P57</f>
        <v>603213.81808</v>
      </c>
      <c r="D24" s="193">
        <f>данные!Q57</f>
        <v>613149.77014000004</v>
      </c>
      <c r="E24" s="199">
        <f t="shared" si="5"/>
        <v>1.6471691732171667E-2</v>
      </c>
      <c r="F24" s="199">
        <f t="shared" si="6"/>
        <v>0.11829235512887659</v>
      </c>
      <c r="G24" s="194">
        <f t="shared" si="7"/>
        <v>9935.9520600000396</v>
      </c>
      <c r="H24" s="195">
        <f t="shared" si="8"/>
        <v>1.0164716917321717</v>
      </c>
    </row>
    <row r="25" spans="1:8" s="187" customFormat="1" ht="15" x14ac:dyDescent="0.2">
      <c r="A25" s="192" t="s">
        <v>337</v>
      </c>
      <c r="B25" s="193">
        <f>данные!O67</f>
        <v>553970.04579</v>
      </c>
      <c r="C25" s="193">
        <f>данные!P67</f>
        <v>591783.65197000001</v>
      </c>
      <c r="D25" s="193">
        <f>данные!Q67</f>
        <v>573203.44053000002</v>
      </c>
      <c r="E25" s="199">
        <f t="shared" si="5"/>
        <v>-3.1396966405117799E-2</v>
      </c>
      <c r="F25" s="199">
        <f t="shared" si="6"/>
        <v>3.4719196256490559E-2</v>
      </c>
      <c r="G25" s="194">
        <f t="shared" si="7"/>
        <v>-18580.211439999985</v>
      </c>
      <c r="H25" s="195">
        <f t="shared" si="8"/>
        <v>0.9686030335948822</v>
      </c>
    </row>
    <row r="26" spans="1:8" s="187" customFormat="1" ht="15" x14ac:dyDescent="0.2">
      <c r="A26" s="192" t="s">
        <v>348</v>
      </c>
      <c r="B26" s="193">
        <f>данные!O78</f>
        <v>401895.65057</v>
      </c>
      <c r="C26" s="193">
        <f>данные!P78</f>
        <v>439055.85616000002</v>
      </c>
      <c r="D26" s="193">
        <f>данные!Q78</f>
        <v>409756.06851000001</v>
      </c>
      <c r="E26" s="199">
        <f t="shared" si="5"/>
        <v>-6.6733622246283431E-2</v>
      </c>
      <c r="F26" s="199">
        <f t="shared" si="6"/>
        <v>1.9558355331419364E-2</v>
      </c>
      <c r="G26" s="194">
        <f t="shared" si="7"/>
        <v>-29299.787650000013</v>
      </c>
      <c r="H26" s="195">
        <f t="shared" si="8"/>
        <v>0.93326637775371657</v>
      </c>
    </row>
    <row r="27" spans="1:8" s="187" customFormat="1" ht="15" x14ac:dyDescent="0.2">
      <c r="A27" s="192" t="s">
        <v>357</v>
      </c>
      <c r="B27" s="193">
        <f>данные!O87+данные!O89</f>
        <v>1457423.11659</v>
      </c>
      <c r="C27" s="193">
        <f>данные!P87+данные!P89</f>
        <v>1545169.8327000001</v>
      </c>
      <c r="D27" s="193">
        <f>данные!Q87+данные!Q89</f>
        <v>1746598.6298399998</v>
      </c>
      <c r="E27" s="199">
        <f t="shared" si="5"/>
        <v>0.1303602962452528</v>
      </c>
      <c r="F27" s="199">
        <f t="shared" si="6"/>
        <v>0.19841562135133217</v>
      </c>
      <c r="G27" s="194">
        <f t="shared" si="7"/>
        <v>201428.79713999969</v>
      </c>
      <c r="H27" s="195">
        <f t="shared" si="8"/>
        <v>1.1303602962452528</v>
      </c>
    </row>
    <row r="28" spans="1:8" s="187" customFormat="1" ht="15" x14ac:dyDescent="0.2"/>
    <row r="29" spans="1:8" s="187" customFormat="1" ht="15" x14ac:dyDescent="0.2"/>
    <row r="30" spans="1:8" s="187" customFormat="1" ht="15" x14ac:dyDescent="0.2">
      <c r="A30" s="430" t="s">
        <v>277</v>
      </c>
      <c r="B30" s="425" t="s">
        <v>7</v>
      </c>
      <c r="C30" s="425"/>
      <c r="D30" s="425"/>
      <c r="E30" s="425" t="s">
        <v>367</v>
      </c>
      <c r="F30" s="425"/>
      <c r="G30" s="326"/>
      <c r="H30" s="326"/>
    </row>
    <row r="31" spans="1:8" s="187" customFormat="1" ht="45" x14ac:dyDescent="0.2">
      <c r="A31" s="430"/>
      <c r="B31" s="327" t="str">
        <f>B19</f>
        <v>факт янв-июнь 2021</v>
      </c>
      <c r="C31" s="327" t="str">
        <f t="shared" ref="C31:F31" si="9">C19</f>
        <v>план янв-июнь 2022</v>
      </c>
      <c r="D31" s="327" t="str">
        <f t="shared" si="9"/>
        <v>факт янв-июнь 2022</v>
      </c>
      <c r="E31" s="327" t="str">
        <f t="shared" si="9"/>
        <v>факт 22/план 22</v>
      </c>
      <c r="F31" s="327" t="str">
        <f t="shared" si="9"/>
        <v>факт 22/факт 21</v>
      </c>
      <c r="G31" s="327"/>
      <c r="H31" s="327" t="s">
        <v>368</v>
      </c>
    </row>
    <row r="32" spans="1:8" s="187" customFormat="1" ht="18" customHeight="1" x14ac:dyDescent="0.2">
      <c r="A32" s="192" t="s">
        <v>280</v>
      </c>
      <c r="B32" s="193">
        <f>'данные (ЧП с лизингом)'!AA8</f>
        <v>135967.06586999999</v>
      </c>
      <c r="C32" s="193">
        <f>'данные (ЧП с лизингом)'!AB8</f>
        <v>123496.08478999999</v>
      </c>
      <c r="D32" s="193">
        <f>'данные (ЧП с лизингом)'!AC8</f>
        <v>130124.20684</v>
      </c>
      <c r="E32" s="199">
        <f t="shared" ref="E32:E39" si="10">D32/C32-100%</f>
        <v>5.3670705927810314E-2</v>
      </c>
      <c r="F32" s="199">
        <f t="shared" ref="F32:F36" si="11">D32/B32-100%</f>
        <v>-4.2972605112964857E-2</v>
      </c>
      <c r="G32" s="194">
        <f>D32-C32</f>
        <v>6628.1220500000054</v>
      </c>
      <c r="H32" s="195">
        <f>D32/C32</f>
        <v>1.0536707059278103</v>
      </c>
    </row>
    <row r="33" spans="1:8" s="187" customFormat="1" ht="18" customHeight="1" x14ac:dyDescent="0.2">
      <c r="A33" s="192" t="s">
        <v>297</v>
      </c>
      <c r="B33" s="193">
        <f>'данные (ЧП с лизингом)'!AA25</f>
        <v>175982.45864999999</v>
      </c>
      <c r="C33" s="193">
        <f>'данные (ЧП с лизингом)'!AB25</f>
        <v>152313.36319</v>
      </c>
      <c r="D33" s="193">
        <f>'данные (ЧП с лизингом)'!AC25</f>
        <v>172120.59692000001</v>
      </c>
      <c r="E33" s="199">
        <f t="shared" si="10"/>
        <v>0.13004265230025758</v>
      </c>
      <c r="F33" s="199">
        <f t="shared" si="11"/>
        <v>-2.1944583338732504E-2</v>
      </c>
      <c r="G33" s="194">
        <f t="shared" ref="G33:G39" si="12">D33-C33</f>
        <v>19807.233730000007</v>
      </c>
      <c r="H33" s="195">
        <f t="shared" ref="H33:H39" si="13">D33/C33</f>
        <v>1.1300426523002576</v>
      </c>
    </row>
    <row r="34" spans="1:8" s="187" customFormat="1" ht="18" customHeight="1" x14ac:dyDescent="0.2">
      <c r="A34" s="192" t="s">
        <v>306</v>
      </c>
      <c r="B34" s="193">
        <f>'данные (ЧП с лизингом)'!AA34</f>
        <v>40432.614009999998</v>
      </c>
      <c r="C34" s="193">
        <f>'данные (ЧП с лизингом)'!AB34</f>
        <v>48197.866289999998</v>
      </c>
      <c r="D34" s="193">
        <f>'данные (ЧП с лизингом)'!AC34</f>
        <v>48124.316019999998</v>
      </c>
      <c r="E34" s="199">
        <f t="shared" si="10"/>
        <v>-1.5260067646450937E-3</v>
      </c>
      <c r="F34" s="199">
        <f t="shared" si="11"/>
        <v>0.19023509110980674</v>
      </c>
      <c r="G34" s="194">
        <f t="shared" si="12"/>
        <v>-73.550269999999728</v>
      </c>
      <c r="H34" s="195">
        <f t="shared" si="13"/>
        <v>0.99847399323535491</v>
      </c>
    </row>
    <row r="35" spans="1:8" s="187" customFormat="1" ht="18" customHeight="1" x14ac:dyDescent="0.2">
      <c r="A35" s="192" t="s">
        <v>316</v>
      </c>
      <c r="B35" s="193">
        <f>'данные (ЧП с лизингом)'!AA46</f>
        <v>51791.725189999997</v>
      </c>
      <c r="C35" s="193">
        <f>'данные (ЧП с лизингом)'!AB46</f>
        <v>59316.640509999997</v>
      </c>
      <c r="D35" s="193">
        <f>'данные (ЧП с лизингом)'!AC46</f>
        <v>55495.961799999997</v>
      </c>
      <c r="E35" s="199">
        <f t="shared" si="10"/>
        <v>-6.4411582941145906E-2</v>
      </c>
      <c r="F35" s="199">
        <f>(D35/B35-100%)</f>
        <v>7.1521784540114597E-2</v>
      </c>
      <c r="G35" s="194">
        <f t="shared" si="12"/>
        <v>-3820.6787100000001</v>
      </c>
      <c r="H35" s="195">
        <f t="shared" si="13"/>
        <v>0.93558841705885409</v>
      </c>
    </row>
    <row r="36" spans="1:8" s="187" customFormat="1" ht="18" customHeight="1" x14ac:dyDescent="0.2">
      <c r="A36" s="192" t="s">
        <v>327</v>
      </c>
      <c r="B36" s="193">
        <f>'данные (ЧП с лизингом)'!AA57</f>
        <v>146572.38586000001</v>
      </c>
      <c r="C36" s="193">
        <f>'данные (ЧП с лизингом)'!AB57</f>
        <v>127046.85051999999</v>
      </c>
      <c r="D36" s="193">
        <f>'данные (ЧП с лизингом)'!AC57</f>
        <v>144628.73668</v>
      </c>
      <c r="E36" s="199">
        <f t="shared" si="10"/>
        <v>0.13838899656337578</v>
      </c>
      <c r="F36" s="214">
        <f t="shared" si="11"/>
        <v>-1.326067777771256E-2</v>
      </c>
      <c r="G36" s="194">
        <f t="shared" si="12"/>
        <v>17581.886160000009</v>
      </c>
      <c r="H36" s="195">
        <f t="shared" si="13"/>
        <v>1.1383889965633758</v>
      </c>
    </row>
    <row r="37" spans="1:8" s="187" customFormat="1" ht="18" customHeight="1" x14ac:dyDescent="0.2">
      <c r="A37" s="192" t="s">
        <v>337</v>
      </c>
      <c r="B37" s="193">
        <f>'данные (ЧП с лизингом)'!AA67</f>
        <v>47312.598030000001</v>
      </c>
      <c r="C37" s="193">
        <f>'данные (ЧП с лизингом)'!AB67</f>
        <v>41387.9015</v>
      </c>
      <c r="D37" s="193">
        <f>'данные (ЧП с лизингом)'!AC67</f>
        <v>27677.171719999998</v>
      </c>
      <c r="E37" s="199">
        <f>(D37/C37-100%)</f>
        <v>-0.33127385740975535</v>
      </c>
      <c r="F37" s="199">
        <f>(D37/B37-100%)</f>
        <v>-0.4150147556375906</v>
      </c>
      <c r="G37" s="194">
        <f t="shared" si="12"/>
        <v>-13710.729780000001</v>
      </c>
      <c r="H37" s="195">
        <f t="shared" si="13"/>
        <v>0.66872614259024465</v>
      </c>
    </row>
    <row r="38" spans="1:8" s="187" customFormat="1" ht="18" customHeight="1" x14ac:dyDescent="0.2">
      <c r="A38" s="192" t="s">
        <v>348</v>
      </c>
      <c r="B38" s="193">
        <f>'данные (ЧП с лизингом)'!AA78</f>
        <v>26332.702880000001</v>
      </c>
      <c r="C38" s="193">
        <f>'данные (ЧП с лизингом)'!AB78</f>
        <v>33269.595419999998</v>
      </c>
      <c r="D38" s="193">
        <f>'данные (ЧП с лизингом)'!AC78</f>
        <v>51743.355319999995</v>
      </c>
      <c r="E38" s="199">
        <f>(D38/C38-100%)</f>
        <v>0.55527455825009842</v>
      </c>
      <c r="F38" s="199">
        <f>(D38/B38-100%)</f>
        <v>0.96498458801582743</v>
      </c>
      <c r="G38" s="194">
        <f t="shared" si="12"/>
        <v>18473.759899999997</v>
      </c>
      <c r="H38" s="195">
        <f t="shared" si="13"/>
        <v>1.5552745582500984</v>
      </c>
    </row>
    <row r="39" spans="1:8" s="187" customFormat="1" ht="18" customHeight="1" x14ac:dyDescent="0.2">
      <c r="A39" s="192" t="s">
        <v>357</v>
      </c>
      <c r="B39" s="193">
        <f>'данные (ЧП с лизингом)'!AA87</f>
        <v>55411.769270000004</v>
      </c>
      <c r="C39" s="193">
        <f>'данные (ЧП с лизингом)'!AB87</f>
        <v>146734.53422</v>
      </c>
      <c r="D39" s="193">
        <f>'данные (ЧП с лизингом)'!AC87</f>
        <v>219111.34553999998</v>
      </c>
      <c r="E39" s="199">
        <f t="shared" si="10"/>
        <v>0.49325001578350314</v>
      </c>
      <c r="F39" s="199">
        <f>(D39/B39-100%)</f>
        <v>2.9542383942363508</v>
      </c>
      <c r="G39" s="194">
        <f t="shared" si="12"/>
        <v>72376.811319999979</v>
      </c>
      <c r="H39" s="195">
        <f t="shared" si="13"/>
        <v>1.4932500157835031</v>
      </c>
    </row>
    <row r="43" spans="1:8" ht="19.5" customHeight="1" x14ac:dyDescent="0.25"/>
  </sheetData>
  <mergeCells count="9">
    <mergeCell ref="A30:A31"/>
    <mergeCell ref="B30:D30"/>
    <mergeCell ref="E30:F30"/>
    <mergeCell ref="A6:A7"/>
    <mergeCell ref="B6:D6"/>
    <mergeCell ref="E6:F6"/>
    <mergeCell ref="A18:A19"/>
    <mergeCell ref="B18:D18"/>
    <mergeCell ref="E18:F18"/>
  </mergeCells>
  <conditionalFormatting sqref="E8:F15">
    <cfRule type="cellIs" dxfId="81" priority="7" operator="lessThan">
      <formula>0</formula>
    </cfRule>
    <cfRule type="cellIs" dxfId="80" priority="8" operator="greaterThan">
      <formula>0</formula>
    </cfRule>
  </conditionalFormatting>
  <conditionalFormatting sqref="E32:F39">
    <cfRule type="cellIs" dxfId="79" priority="5" operator="lessThan">
      <formula>0</formula>
    </cfRule>
    <cfRule type="cellIs" dxfId="78" priority="6" operator="greaterThan">
      <formula>0</formula>
    </cfRule>
  </conditionalFormatting>
  <conditionalFormatting sqref="E20:F27">
    <cfRule type="cellIs" dxfId="77" priority="3" operator="lessThan">
      <formula>0</formula>
    </cfRule>
    <cfRule type="cellIs" dxfId="76" priority="4" operator="greaterThan">
      <formula>0</formula>
    </cfRule>
  </conditionalFormatting>
  <pageMargins left="0.7" right="0.7" top="0.75" bottom="0.75" header="0.3" footer="0.3"/>
  <pageSetup paperSize="9" scale="2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E53DC2-EEF5-4A58-974F-26E0C0C3C5C3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2"/>
              <x14:cfIcon iconSet="3Arrows" iconId="2"/>
              <x14:cfIcon iconSet="3Arrows" iconId="0"/>
            </x14:iconSet>
          </x14:cfRule>
          <xm:sqref>E20:F27</xm:sqref>
        </x14:conditionalFormatting>
        <x14:conditionalFormatting xmlns:xm="http://schemas.microsoft.com/office/excel/2006/main">
          <x14:cfRule type="iconSet" priority="2" id="{DA7B8D11-3F76-474C-8C8A-0FEEE1D7D988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E8:F15 E32:F39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5</vt:i4>
      </vt:variant>
    </vt:vector>
  </HeadingPairs>
  <TitlesOfParts>
    <vt:vector size="38" baseType="lpstr">
      <vt:lpstr>слайд 2 старый</vt:lpstr>
      <vt:lpstr>п-ф</vt:lpstr>
      <vt:lpstr>Слайд 2</vt:lpstr>
      <vt:lpstr>Слайд 2 (2)</vt:lpstr>
      <vt:lpstr>данные</vt:lpstr>
      <vt:lpstr>данные (ЧП с лизингом)</vt:lpstr>
      <vt:lpstr>слайд 3 и 5</vt:lpstr>
      <vt:lpstr>производительность</vt:lpstr>
      <vt:lpstr>слайд 3 и 5 (с лизингом и амор)</vt:lpstr>
      <vt:lpstr>слайд 4</vt:lpstr>
      <vt:lpstr>Лист4</vt:lpstr>
      <vt:lpstr>слайд 6</vt:lpstr>
      <vt:lpstr>слайд 3 и 5 (прогноз)</vt:lpstr>
      <vt:lpstr>выручка</vt:lpstr>
      <vt:lpstr>ЧП</vt:lpstr>
      <vt:lpstr>слайд 7</vt:lpstr>
      <vt:lpstr>слайд 7 (с лизингом)</vt:lpstr>
      <vt:lpstr>слайд 7 (с лизингом) на слайд</vt:lpstr>
      <vt:lpstr>Слайд 8 ЦР</vt:lpstr>
      <vt:lpstr>Слайд 8 СЗР</vt:lpstr>
      <vt:lpstr>Слайд 9 ЮР</vt:lpstr>
      <vt:lpstr>Слайд 9 ПР</vt:lpstr>
      <vt:lpstr>Слайд 10 УР</vt:lpstr>
      <vt:lpstr>Слайд 10 СР</vt:lpstr>
      <vt:lpstr>Слайд 11 ДВР</vt:lpstr>
      <vt:lpstr>Слайд 11 МИМО</vt:lpstr>
      <vt:lpstr>ФГУП</vt:lpstr>
      <vt:lpstr>Слайд 12</vt:lpstr>
      <vt:lpstr>Слайд 12 (3)</vt:lpstr>
      <vt:lpstr>Слайд 12 (4)</vt:lpstr>
      <vt:lpstr>Слайд 13</vt:lpstr>
      <vt:lpstr>филиалы для анализа</vt:lpstr>
      <vt:lpstr>Лист3</vt:lpstr>
      <vt:lpstr>данные!Заголовки_для_печати</vt:lpstr>
      <vt:lpstr>'данные (ЧП с лизингом)'!Заголовки_для_печати</vt:lpstr>
      <vt:lpstr>Лист3!Заголовки_для_печати</vt:lpstr>
      <vt:lpstr>'филиалы для анализа'!Заголовки_для_печати</vt:lpstr>
      <vt:lpstr>'филиалы для анализа'!Область_печати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Илясова Светлана Викторовна</dc:creator>
  <cp:lastModifiedBy>Кубалов Идар Султанбекович</cp:lastModifiedBy>
  <cp:lastPrinted>2022-08-19T08:00:25Z</cp:lastPrinted>
  <dcterms:created xsi:type="dcterms:W3CDTF">2015-06-05T18:19:34Z</dcterms:created>
  <dcterms:modified xsi:type="dcterms:W3CDTF">2022-09-28T05:38:11Z</dcterms:modified>
</cp:coreProperties>
</file>