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G:\My Drive\School\MSEN 660 - Material Informatics\Computer Projects\Project 3\Machine-Learned-Material-Indices\Datasets\Hot Shock\"/>
    </mc:Choice>
  </mc:AlternateContent>
  <xr:revisionPtr revIDLastSave="0" documentId="13_ncr:1_{E5D59362-F180-473E-AC6D-8AB0BB110FA2}" xr6:coauthVersionLast="36" xr6:coauthVersionMax="45" xr10:uidLastSave="{00000000-0000-0000-0000-000000000000}"/>
  <bookViews>
    <workbookView xWindow="-105" yWindow="-105" windowWidth="20715" windowHeight="13275" xr2:uid="{00000000-000D-0000-FFFF-FFFF00000000}"/>
  </bookViews>
  <sheets>
    <sheet name="Formatted Properties" sheetId="5" r:id="rId1"/>
    <sheet name="Sources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5" l="1"/>
  <c r="M14" i="5"/>
  <c r="M12" i="5"/>
  <c r="M11" i="5"/>
  <c r="M9" i="5"/>
  <c r="M8" i="5"/>
  <c r="M7" i="5"/>
  <c r="M6" i="5"/>
  <c r="L6" i="5"/>
  <c r="K6" i="5"/>
  <c r="M5" i="5"/>
  <c r="K5" i="5"/>
  <c r="M4" i="5"/>
  <c r="L4" i="5"/>
  <c r="K4" i="5"/>
  <c r="M3" i="5"/>
  <c r="J15" i="5"/>
  <c r="J14" i="5"/>
  <c r="J12" i="5"/>
  <c r="J11" i="5"/>
  <c r="J10" i="5"/>
  <c r="J9" i="5"/>
  <c r="J8" i="5"/>
  <c r="J7" i="5"/>
  <c r="J6" i="5"/>
  <c r="J5" i="5"/>
  <c r="J4" i="5"/>
  <c r="J3" i="5"/>
  <c r="G15" i="5" l="1"/>
  <c r="G14" i="5"/>
  <c r="G11" i="5"/>
  <c r="G10" i="5"/>
  <c r="G9" i="5"/>
  <c r="G8" i="5"/>
  <c r="G7" i="5"/>
  <c r="G6" i="5"/>
  <c r="G4" i="5"/>
  <c r="G5" i="5"/>
  <c r="G3" i="5"/>
  <c r="F3" i="5" s="1"/>
  <c r="D15" i="5"/>
  <c r="D14" i="5"/>
  <c r="D12" i="5"/>
  <c r="D11" i="5"/>
  <c r="D10" i="5"/>
  <c r="D9" i="5"/>
  <c r="D8" i="5"/>
  <c r="D7" i="5"/>
  <c r="D6" i="5"/>
  <c r="D5" i="5"/>
  <c r="D4" i="5"/>
  <c r="D3" i="5"/>
</calcChain>
</file>

<file path=xl/sharedStrings.xml><?xml version="1.0" encoding="utf-8"?>
<sst xmlns="http://schemas.openxmlformats.org/spreadsheetml/2006/main" count="167" uniqueCount="143">
  <si>
    <t>Material Candidates</t>
  </si>
  <si>
    <t>Alumina</t>
  </si>
  <si>
    <t>Pyroceram</t>
  </si>
  <si>
    <t>Slip Cast Fused Silica</t>
  </si>
  <si>
    <t>Rayceram</t>
  </si>
  <si>
    <t>Reaction Bonded Silicon Nitride</t>
  </si>
  <si>
    <t>Mullite</t>
  </si>
  <si>
    <t>Magnesium Oxide</t>
  </si>
  <si>
    <t>Nextel 720: Ox-Ox</t>
  </si>
  <si>
    <t>ARM</t>
  </si>
  <si>
    <t>AZO</t>
  </si>
  <si>
    <t>Accuratus</t>
  </si>
  <si>
    <t>Granta</t>
  </si>
  <si>
    <t>C/C</t>
  </si>
  <si>
    <t>SiC/SiC</t>
  </si>
  <si>
    <t>C/SiC</t>
  </si>
  <si>
    <t>Boron Nitride (dense)</t>
  </si>
  <si>
    <t>Beryl Oxide</t>
  </si>
  <si>
    <t>MatWeb</t>
  </si>
  <si>
    <t>RBSN</t>
  </si>
  <si>
    <t>JHU-APL</t>
  </si>
  <si>
    <t>Shorthand</t>
  </si>
  <si>
    <t>Source</t>
  </si>
  <si>
    <t>JHU APL</t>
  </si>
  <si>
    <t>Mat Web</t>
  </si>
  <si>
    <t>Avionic Radome Materials, AGARD Report, 1974</t>
  </si>
  <si>
    <t>azom.com</t>
  </si>
  <si>
    <t>matweb.com</t>
  </si>
  <si>
    <t>accuratus.com</t>
  </si>
  <si>
    <t>grantadesign.com</t>
  </si>
  <si>
    <t>Flight Capabilities of High-Speed-Missile Radome Materials</t>
  </si>
  <si>
    <t>https://www.jhuapl.edu/Content/techdigest/pdf/V13-N03/13-03-Kouroupis.pdf</t>
  </si>
  <si>
    <t>NASA-Glenn</t>
  </si>
  <si>
    <t>Results of Mechanical Testing for Pyroceram™ Glass-Ceramic</t>
  </si>
  <si>
    <t>https://ntrs.nasa.gov/archive/nasa/casi.ntrs.nasa.gov/20030093547.pdf</t>
  </si>
  <si>
    <t>Link</t>
  </si>
  <si>
    <t>Smith</t>
  </si>
  <si>
    <t>The Fracture Toughness of Slip-Cast Fused Silica</t>
  </si>
  <si>
    <t>https://www.sciencedirect.com/science/article/pii/0025541675901330</t>
  </si>
  <si>
    <t>Boron Nitride</t>
  </si>
  <si>
    <t>https://www.azom.com/properties.aspx?ArticleID=78</t>
  </si>
  <si>
    <t>https://www.azom.com/properties.aspx?ArticleID=77</t>
  </si>
  <si>
    <t>https://pdfs.semanticscholar.org/e945/eed355ef7c4a68f3ff4b223ccc8af83247ca.pdf</t>
  </si>
  <si>
    <t>Various types of ceramics used in radome: A review</t>
  </si>
  <si>
    <t>Heydari</t>
  </si>
  <si>
    <t>Sintered Silicon Carbide</t>
  </si>
  <si>
    <t>https://www.azom.com/properties.aspx?ArticleID=15</t>
  </si>
  <si>
    <t>Sapphire Single Crystal (Alumina 99.9%)</t>
  </si>
  <si>
    <t>https://www.azom.com/properties.aspx?ArticleID=1721</t>
  </si>
  <si>
    <t>E min [GPa]</t>
  </si>
  <si>
    <t>E max [GPa]</t>
  </si>
  <si>
    <t>E Nominal [Gpa]</t>
  </si>
  <si>
    <t>Sources</t>
  </si>
  <si>
    <t xml:space="preserve">K IC min [Mpa m^[1/2]] </t>
  </si>
  <si>
    <t xml:space="preserve">K IC max [Mpa m^[1/2]] </t>
  </si>
  <si>
    <t xml:space="preserve">K IC nominal [Mpa m^[1/2]] </t>
  </si>
  <si>
    <t>alpha min [1E-6/K]</t>
  </si>
  <si>
    <t>alpha max [1E-6/K]</t>
  </si>
  <si>
    <t>alpha nominal [1E-6/K]</t>
  </si>
  <si>
    <t>k min [W/m-K]</t>
  </si>
  <si>
    <t>k max [W/m-K]</t>
  </si>
  <si>
    <t>k nominal [W/m-K]</t>
  </si>
  <si>
    <t>sigma c min [MPa]</t>
  </si>
  <si>
    <t>sigma c max [MPa]</t>
  </si>
  <si>
    <t>sigma c nominal [MPa]</t>
  </si>
  <si>
    <t>sigma t min [MPa]</t>
  </si>
  <si>
    <t>sigma t max [MPa]</t>
  </si>
  <si>
    <t>sigma t nominal [MPa]</t>
  </si>
  <si>
    <t>sigma flex min [MPa]</t>
  </si>
  <si>
    <t>sigma flex max [MPa]</t>
  </si>
  <si>
    <t>sigma flex nominal [MPa]</t>
  </si>
  <si>
    <t>https://www.azom.com/properties.aspx?ArticleID=951</t>
  </si>
  <si>
    <t>rho [kg/m^3]</t>
  </si>
  <si>
    <t>cp [J/kg-K]</t>
  </si>
  <si>
    <t>T max [C]</t>
  </si>
  <si>
    <t>Fused Silica</t>
  </si>
  <si>
    <t>https://www.azom.com/properties.aspx?ArticleID=1387</t>
  </si>
  <si>
    <t>https://www.azom.com/properties.aspx?ArticleID=54</t>
  </si>
  <si>
    <t>3M Nextel 720</t>
  </si>
  <si>
    <t>https://multimedia.3m.com/mws/media/1324013O/oxide-oxide-ceramic-matrix-composites.pdf</t>
  </si>
  <si>
    <t>Kaya et al</t>
  </si>
  <si>
    <t>Mullite (Nextel 720) fibre-reinforced mullite matrix composites..</t>
  </si>
  <si>
    <t>https://reader.elsevier.com/reader/sd/pii/S0955221901005313?token=2A4BE3AB38CD006003FAAA3F07128DA2395363E7F24A3AEAAA704A9417886CE04FF5157CAD9A28F1A6AC7EEE7371B657</t>
  </si>
  <si>
    <t>nu</t>
  </si>
  <si>
    <t>CMC Book</t>
  </si>
  <si>
    <t>CMC Book, Bansal</t>
  </si>
  <si>
    <t>Ceramic Matrix Composites: Materials, Modeling, and Technology</t>
  </si>
  <si>
    <t>Bansal, Narottam P., and Jacques Lamon. Ceramic Matrix Composites : Materials, Modeling and Technology, John Wiley &amp; Sons, Incorporated, 2014. ProQuest Ebook Central, https://ebookcentral.proquest.com/lib/tamucs/detail.action?docID=1823952.</t>
  </si>
  <si>
    <t>CMC Book, Chawla</t>
  </si>
  <si>
    <t>Ceramic Matrix Composites</t>
  </si>
  <si>
    <t>https://link.springer.com/chapter/10.1007/978-1-4615-1029-1_10</t>
  </si>
  <si>
    <t>Handbook of Ceramic Composites</t>
  </si>
  <si>
    <t>Handbook</t>
  </si>
  <si>
    <t>Final Materials</t>
  </si>
  <si>
    <t>final-materials.com</t>
  </si>
  <si>
    <t>https://www.final-materials.com/gb/137-carboncarbon-composite</t>
  </si>
  <si>
    <t>Hashin</t>
  </si>
  <si>
    <t>Thermoelastic properties and conductivity of carbon/Carbon fiber composites</t>
  </si>
  <si>
    <t>https://www.sciencedirect.com/science/article/pii/016766369090049L</t>
  </si>
  <si>
    <t>Yin</t>
  </si>
  <si>
    <t>Electromagnetic properties of Si-C-N based ceramics and composites</t>
  </si>
  <si>
    <t>https://www.tandfonline.com/doi/full/10.1179/1743280414Y.0000000037</t>
  </si>
  <si>
    <t>Yin2</t>
  </si>
  <si>
    <t>Fibre-reinforced multifunctional SiC materials</t>
  </si>
  <si>
    <t>https://www.tandfonline.com/doi/pdf/10.1080/09506608.2016.1213939?needAccess=true</t>
  </si>
  <si>
    <t>Singh</t>
  </si>
  <si>
    <t>Electrical properties of C/C and C/C-SiC ceramic fibre composites</t>
  </si>
  <si>
    <t>https://www.sciencedirect.com/science/article/pii/S0272884210003172</t>
  </si>
  <si>
    <t>Notes</t>
  </si>
  <si>
    <t>2. Electrical properties for C/C and C/SiC taken at 1000 KHz and 800 KHz, respectively</t>
  </si>
  <si>
    <t>1: Electrical Properties for SiC/SiC taken in the X-Band</t>
  </si>
  <si>
    <t>Nozawa</t>
  </si>
  <si>
    <t>Determination and prediction of axial/off-axial mechanical properties of SiC/SiC composites</t>
  </si>
  <si>
    <t>https://www.sciencedirect.com/science/article/pii/S0920379612000865</t>
  </si>
  <si>
    <t>Yin3</t>
  </si>
  <si>
    <t>Thermal shock behavior of 3-dimensional C/SiC composite</t>
  </si>
  <si>
    <t>https://www.sciencedirect.com/science/article/pii/S0008622301002251</t>
  </si>
  <si>
    <t>Wrenn</t>
  </si>
  <si>
    <t>Creep of Nextel™720/alumina–mullite ceramic composite at 1200 °C in air, argon, and steam</t>
  </si>
  <si>
    <t>https://www.sciencedirect.com/science/article/pii/S0266353809000025</t>
  </si>
  <si>
    <t>https://www.accuratus.com/alumox.html</t>
  </si>
  <si>
    <t>https://www.accuratus.com/boron.html</t>
  </si>
  <si>
    <t>https://www.accuratus.com/mullite.html</t>
  </si>
  <si>
    <t>https://www.azom.com/article.aspx?ArticleID=7891</t>
  </si>
  <si>
    <t>Corning</t>
  </si>
  <si>
    <t>Pyroceram Data Sheets</t>
  </si>
  <si>
    <t>https://apps.dtic.mil/dtic/tr/fulltext/u2/421883.pdf</t>
  </si>
  <si>
    <t>https://www.azom.com/properties.aspx?ArticleID=263</t>
  </si>
  <si>
    <t>Material Data Sheets</t>
  </si>
  <si>
    <t>Boakye</t>
  </si>
  <si>
    <t>POROUS ALUMINUM OXIDE AND LANTHANUM PHOSPHATE FIBER COATINGS</t>
  </si>
  <si>
    <t>https://ceramics.onlinelibrary.wiley.com/doi/pdf/10.1002/9780470314876.ch4</t>
  </si>
  <si>
    <t>SPIE</t>
  </si>
  <si>
    <t>Scholz</t>
  </si>
  <si>
    <t>Electrical conductivity of silicon carbide composites and fibers</t>
  </si>
  <si>
    <t>https://www.sciencedirect.com/science/article/pii/S0022311502009509</t>
  </si>
  <si>
    <t>Ruggles-Wrenn</t>
  </si>
  <si>
    <t>Effects of steam environment on compressive creep behavior of Nextel™720/Alumina ceramic composite at 1200 °C</t>
  </si>
  <si>
    <t>https://www.sciencedirect.com/science/article/pii/S1359835X08002340#bib21</t>
  </si>
  <si>
    <t>https://www.carbon.co.jp/english/products/fine_carbon/pdf/fine_carbon_03.pdf</t>
  </si>
  <si>
    <t>Carbon fiber reinforced carbon material datasheet</t>
  </si>
  <si>
    <t>carbon.co.jp</t>
  </si>
  <si>
    <t>80 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</si>
</sst>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/>
    <xf numFmtId="0" fontId="2" fillId="0" borderId="0" xfId="1"/>
    <xf numFmtId="0" fontId="0" fillId="0" borderId="0" xfId="0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1" fillId="0" borderId="0" xfId="0" applyFont="1" applyBorder="1" applyAlignment="1"/>
    <xf numFmtId="0" fontId="0" fillId="5" borderId="0" xfId="0" applyFill="1" applyBorder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/>
    <xf numFmtId="0" fontId="1" fillId="0" borderId="0" xfId="0" applyFont="1" applyFill="1" applyBorder="1" applyAlignment="1"/>
    <xf numFmtId="0" fontId="0" fillId="5" borderId="0" xfId="0" applyFill="1"/>
    <xf numFmtId="0" fontId="0" fillId="3" borderId="0" xfId="0" applyFill="1"/>
    <xf numFmtId="0" fontId="0" fillId="3" borderId="0" xfId="0" applyFont="1" applyFill="1"/>
    <xf numFmtId="0" fontId="0" fillId="4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6" borderId="0" xfId="0" applyFill="1"/>
    <xf numFmtId="0" fontId="0" fillId="2" borderId="0" xfId="0" applyFill="1"/>
    <xf numFmtId="0" fontId="0" fillId="8" borderId="0" xfId="0" applyFill="1" applyBorder="1" applyAlignme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0" borderId="0" xfId="0" applyFill="1" applyBorder="1" applyAlignment="1">
      <alignment horizontal="center"/>
    </xf>
    <xf numFmtId="0" fontId="0" fillId="11" borderId="0" xfId="0" applyFill="1"/>
    <xf numFmtId="0" fontId="1" fillId="0" borderId="0" xfId="0" applyFont="1" applyAlignment="1">
      <alignment horizontal="center"/>
    </xf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3" borderId="0" xfId="0" applyFill="1"/>
    <xf numFmtId="0" fontId="0" fillId="14" borderId="0" xfId="0" applyFill="1"/>
    <xf numFmtId="0" fontId="0" fillId="0" borderId="0" xfId="0" applyAlignment="1">
      <alignment horizontal="left"/>
    </xf>
    <xf numFmtId="0" fontId="0" fillId="15" borderId="0" xfId="0" applyFill="1" applyBorder="1" applyAlignment="1">
      <alignment horizontal="center"/>
    </xf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reader.elsevier.com/reader/sd/pii/S0955221901005313?token=2A4BE3AB38CD006003FAAA3F07128DA2395363E7F24A3AEAAA704A9417886CE04FF5157CAD9A28F1A6AC7EEE7371B657" TargetMode="External"/><Relationship Id="rId18" Type="http://schemas.openxmlformats.org/officeDocument/2006/relationships/hyperlink" Target="https://www.tandfonline.com/doi/pdf/10.1080/09506608.2016.1213939?needAccess=true" TargetMode="External"/><Relationship Id="rId26" Type="http://schemas.openxmlformats.org/officeDocument/2006/relationships/hyperlink" Target="https://www.azom.com/article.aspx?ArticleID=7891" TargetMode="External"/><Relationship Id="rId3" Type="http://schemas.openxmlformats.org/officeDocument/2006/relationships/hyperlink" Target="https://www.sciencedirect.com/science/article/pii/0025541675901330" TargetMode="External"/><Relationship Id="rId21" Type="http://schemas.openxmlformats.org/officeDocument/2006/relationships/hyperlink" Target="https://www.sciencedirect.com/science/article/pii/S0008622301002251" TargetMode="External"/><Relationship Id="rId7" Type="http://schemas.openxmlformats.org/officeDocument/2006/relationships/hyperlink" Target="https://www.azom.com/properties.aspx?ArticleID=15" TargetMode="External"/><Relationship Id="rId12" Type="http://schemas.openxmlformats.org/officeDocument/2006/relationships/hyperlink" Target="https://multimedia.3m.com/mws/media/1324013O/oxide-oxide-ceramic-matrix-composites.pdf" TargetMode="External"/><Relationship Id="rId17" Type="http://schemas.openxmlformats.org/officeDocument/2006/relationships/hyperlink" Target="https://www.tandfonline.com/doi/full/10.1179/1743280414Y.0000000037" TargetMode="External"/><Relationship Id="rId25" Type="http://schemas.openxmlformats.org/officeDocument/2006/relationships/hyperlink" Target="https://www.accuratus.com/mullite.html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ntrs.nasa.gov/archive/nasa/casi.ntrs.nasa.gov/20030093547.pdf" TargetMode="External"/><Relationship Id="rId16" Type="http://schemas.openxmlformats.org/officeDocument/2006/relationships/hyperlink" Target="https://www.sciencedirect.com/science/article/pii/016766369090049L" TargetMode="External"/><Relationship Id="rId20" Type="http://schemas.openxmlformats.org/officeDocument/2006/relationships/hyperlink" Target="https://www.sciencedirect.com/science/article/pii/S0920379612000865" TargetMode="External"/><Relationship Id="rId29" Type="http://schemas.openxmlformats.org/officeDocument/2006/relationships/hyperlink" Target="https://ceramics.onlinelibrary.wiley.com/doi/pdf/10.1002/9780470314876.ch4" TargetMode="External"/><Relationship Id="rId1" Type="http://schemas.openxmlformats.org/officeDocument/2006/relationships/hyperlink" Target="https://www.jhuapl.edu/Content/techdigest/pdf/V13-N03/13-03-Kouroupis.pdf" TargetMode="External"/><Relationship Id="rId6" Type="http://schemas.openxmlformats.org/officeDocument/2006/relationships/hyperlink" Target="https://pdfs.semanticscholar.org/e945/eed355ef7c4a68f3ff4b223ccc8af83247ca.pdf" TargetMode="External"/><Relationship Id="rId11" Type="http://schemas.openxmlformats.org/officeDocument/2006/relationships/hyperlink" Target="https://www.azom.com/properties.aspx?ArticleID=54" TargetMode="External"/><Relationship Id="rId24" Type="http://schemas.openxmlformats.org/officeDocument/2006/relationships/hyperlink" Target="https://www.accuratus.com/boron.html" TargetMode="External"/><Relationship Id="rId32" Type="http://schemas.openxmlformats.org/officeDocument/2006/relationships/hyperlink" Target="https://www.carbon.co.jp/english/products/fine_carbon/pdf/fine_carbon_03.pdf" TargetMode="External"/><Relationship Id="rId5" Type="http://schemas.openxmlformats.org/officeDocument/2006/relationships/hyperlink" Target="https://www.azom.com/properties.aspx?ArticleID=77" TargetMode="External"/><Relationship Id="rId15" Type="http://schemas.openxmlformats.org/officeDocument/2006/relationships/hyperlink" Target="https://www.final-materials.com/gb/137-carboncarbon-composite" TargetMode="External"/><Relationship Id="rId23" Type="http://schemas.openxmlformats.org/officeDocument/2006/relationships/hyperlink" Target="https://www.accuratus.com/alumox.html" TargetMode="External"/><Relationship Id="rId28" Type="http://schemas.openxmlformats.org/officeDocument/2006/relationships/hyperlink" Target="https://www.azom.com/properties.aspx?ArticleID=263" TargetMode="External"/><Relationship Id="rId10" Type="http://schemas.openxmlformats.org/officeDocument/2006/relationships/hyperlink" Target="https://www.azom.com/properties.aspx?ArticleID=1387" TargetMode="External"/><Relationship Id="rId19" Type="http://schemas.openxmlformats.org/officeDocument/2006/relationships/hyperlink" Target="https://www.sciencedirect.com/science/article/pii/S0272884210003172" TargetMode="External"/><Relationship Id="rId31" Type="http://schemas.openxmlformats.org/officeDocument/2006/relationships/hyperlink" Target="https://www.sciencedirect.com/science/article/pii/S1359835X08002340" TargetMode="External"/><Relationship Id="rId4" Type="http://schemas.openxmlformats.org/officeDocument/2006/relationships/hyperlink" Target="https://www.azom.com/properties.aspx?ArticleID=78" TargetMode="External"/><Relationship Id="rId9" Type="http://schemas.openxmlformats.org/officeDocument/2006/relationships/hyperlink" Target="https://www.azom.com/properties.aspx?ArticleID=951" TargetMode="External"/><Relationship Id="rId14" Type="http://schemas.openxmlformats.org/officeDocument/2006/relationships/hyperlink" Target="https://link.springer.com/chapter/10.1007/978-1-4615-1029-1_10" TargetMode="External"/><Relationship Id="rId22" Type="http://schemas.openxmlformats.org/officeDocument/2006/relationships/hyperlink" Target="https://www.sciencedirect.com/science/article/pii/S0266353809000025" TargetMode="External"/><Relationship Id="rId27" Type="http://schemas.openxmlformats.org/officeDocument/2006/relationships/hyperlink" Target="https://apps.dtic.mil/dtic/tr/fulltext/u2/421883.pdf" TargetMode="External"/><Relationship Id="rId30" Type="http://schemas.openxmlformats.org/officeDocument/2006/relationships/hyperlink" Target="https://www.sciencedirect.com/science/article/pii/S0022311502009509" TargetMode="External"/><Relationship Id="rId8" Type="http://schemas.openxmlformats.org/officeDocument/2006/relationships/hyperlink" Target="https://www.azom.com/properties.aspx?ArticleID=17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7692-4AFB-4C16-8433-2D79E9B5F366}">
  <dimension ref="A1:Z24"/>
  <sheetViews>
    <sheetView tabSelected="1" zoomScale="85" zoomScaleNormal="85" workbookViewId="0">
      <pane xSplit="1" topLeftCell="B1" activePane="topRight" state="frozen"/>
      <selection pane="topRight" activeCell="B27" sqref="B27"/>
    </sheetView>
  </sheetViews>
  <sheetFormatPr defaultRowHeight="15" x14ac:dyDescent="0.25"/>
  <cols>
    <col min="1" max="4" width="25.7109375" style="5" customWidth="1"/>
    <col min="5" max="5" width="25.85546875" customWidth="1"/>
    <col min="6" max="6" width="24.7109375" customWidth="1"/>
    <col min="7" max="7" width="25.85546875" customWidth="1"/>
    <col min="8" max="8" width="20.7109375" customWidth="1"/>
    <col min="9" max="9" width="21.85546875" customWidth="1"/>
    <col min="10" max="10" width="21.42578125" customWidth="1"/>
    <col min="11" max="21" width="20.7109375" customWidth="1"/>
    <col min="22" max="22" width="23.42578125" customWidth="1"/>
    <col min="23" max="26" width="15.7109375" customWidth="1"/>
  </cols>
  <sheetData>
    <row r="1" spans="1:26" x14ac:dyDescent="0.25">
      <c r="B1" s="5" t="s">
        <v>49</v>
      </c>
      <c r="C1" s="4" t="s">
        <v>50</v>
      </c>
      <c r="D1" s="4" t="s">
        <v>51</v>
      </c>
      <c r="E1" s="17" t="s">
        <v>53</v>
      </c>
      <c r="F1" s="17" t="s">
        <v>54</v>
      </c>
      <c r="G1" s="17" t="s">
        <v>55</v>
      </c>
      <c r="H1" s="21" t="s">
        <v>56</v>
      </c>
      <c r="I1" s="21" t="s">
        <v>57</v>
      </c>
      <c r="J1" s="21" t="s">
        <v>58</v>
      </c>
      <c r="K1" s="21" t="s">
        <v>59</v>
      </c>
      <c r="L1" s="21" t="s">
        <v>60</v>
      </c>
      <c r="M1" s="21" t="s">
        <v>61</v>
      </c>
      <c r="N1" s="21" t="s">
        <v>62</v>
      </c>
      <c r="O1" s="21" t="s">
        <v>63</v>
      </c>
      <c r="P1" s="21" t="s">
        <v>64</v>
      </c>
      <c r="Q1" s="21" t="s">
        <v>65</v>
      </c>
      <c r="R1" s="21" t="s">
        <v>66</v>
      </c>
      <c r="S1" s="21" t="s">
        <v>67</v>
      </c>
      <c r="T1" s="21" t="s">
        <v>68</v>
      </c>
      <c r="U1" s="21" t="s">
        <v>69</v>
      </c>
      <c r="V1" s="21" t="s">
        <v>70</v>
      </c>
      <c r="W1" s="21" t="s">
        <v>72</v>
      </c>
      <c r="X1" s="21" t="s">
        <v>73</v>
      </c>
      <c r="Y1" s="21" t="s">
        <v>74</v>
      </c>
      <c r="Z1" s="21" t="s">
        <v>83</v>
      </c>
    </row>
    <row r="2" spans="1:26" x14ac:dyDescent="0.25">
      <c r="A2" s="4" t="s">
        <v>0</v>
      </c>
      <c r="B2" s="4"/>
      <c r="C2" s="4"/>
      <c r="D2" s="4"/>
      <c r="E2" s="7"/>
      <c r="F2" s="1"/>
      <c r="G2" s="17"/>
    </row>
    <row r="3" spans="1:26" x14ac:dyDescent="0.25">
      <c r="A3" s="5" t="s">
        <v>1</v>
      </c>
      <c r="B3" s="12">
        <v>343</v>
      </c>
      <c r="C3" s="14">
        <v>379.85939999999999</v>
      </c>
      <c r="D3" s="14">
        <f>55.1*6.894</f>
        <v>379.85939999999999</v>
      </c>
      <c r="E3" s="19">
        <v>1</v>
      </c>
      <c r="F3" s="18">
        <f>G3</f>
        <v>4.1974159999999996</v>
      </c>
      <c r="G3" s="18">
        <f>3.82*1.0988</f>
        <v>4.1974159999999996</v>
      </c>
      <c r="H3" s="23">
        <v>4.5</v>
      </c>
      <c r="I3" s="23">
        <v>8.4</v>
      </c>
      <c r="J3" s="22">
        <f>4.61*1.8</f>
        <v>8.298</v>
      </c>
      <c r="K3" s="23">
        <v>34.6</v>
      </c>
      <c r="L3" s="23">
        <v>40</v>
      </c>
      <c r="M3" s="22">
        <f>20.8*1.729</f>
        <v>35.963200000000001</v>
      </c>
      <c r="N3" s="23">
        <v>2100</v>
      </c>
      <c r="O3" s="27">
        <v>3000</v>
      </c>
      <c r="P3" s="23">
        <v>2426</v>
      </c>
      <c r="Q3" s="27">
        <v>300</v>
      </c>
      <c r="R3" s="23">
        <v>423</v>
      </c>
      <c r="S3" s="23">
        <v>403</v>
      </c>
      <c r="T3" s="25">
        <v>330</v>
      </c>
      <c r="U3" s="23">
        <v>655</v>
      </c>
      <c r="V3" s="23">
        <v>462</v>
      </c>
      <c r="W3" s="10">
        <v>3980</v>
      </c>
      <c r="X3" s="10">
        <v>648</v>
      </c>
      <c r="Y3" s="10">
        <v>1700</v>
      </c>
      <c r="Z3" s="10">
        <v>0.33</v>
      </c>
    </row>
    <row r="4" spans="1:26" x14ac:dyDescent="0.25">
      <c r="A4" s="5" t="s">
        <v>2</v>
      </c>
      <c r="D4" s="14">
        <f>12.8*6.894</f>
        <v>88.243200000000002</v>
      </c>
      <c r="E4" s="6"/>
      <c r="F4" s="1"/>
      <c r="G4" s="18">
        <f>1.55*1.0988</f>
        <v>1.7031400000000001</v>
      </c>
      <c r="J4" s="22">
        <f>1.11*1.8</f>
        <v>1.9980000000000002</v>
      </c>
      <c r="K4" s="22">
        <f>1.91*1.729</f>
        <v>3.3023899999999999</v>
      </c>
      <c r="L4" s="25">
        <f>2.2*1.729</f>
        <v>3.8038000000000003</v>
      </c>
      <c r="M4" s="22">
        <f>1.91*1.729</f>
        <v>3.3023899999999999</v>
      </c>
      <c r="S4" s="28">
        <v>155</v>
      </c>
      <c r="V4" s="29">
        <v>235</v>
      </c>
      <c r="W4" s="10">
        <v>2595.16</v>
      </c>
      <c r="X4" s="10">
        <v>974</v>
      </c>
      <c r="Y4" s="10">
        <v>1000</v>
      </c>
      <c r="Z4" s="10">
        <v>0.245</v>
      </c>
    </row>
    <row r="5" spans="1:26" x14ac:dyDescent="0.25">
      <c r="A5" s="5" t="s">
        <v>3</v>
      </c>
      <c r="B5" s="12">
        <v>71.2</v>
      </c>
      <c r="C5" s="12">
        <v>74.8</v>
      </c>
      <c r="D5" s="14">
        <f>10.8*6.894</f>
        <v>74.455200000000005</v>
      </c>
      <c r="E5" s="19">
        <v>0.65</v>
      </c>
      <c r="F5" s="20">
        <v>0.67</v>
      </c>
      <c r="G5" s="18">
        <f>0.61*1.0988</f>
        <v>0.67026799999999997</v>
      </c>
      <c r="H5" s="23">
        <v>0.54</v>
      </c>
      <c r="I5" s="23">
        <v>0.56999999999999995</v>
      </c>
      <c r="J5" s="22">
        <f>0.317*1.8</f>
        <v>0.5706</v>
      </c>
      <c r="K5" s="24">
        <f>1</f>
        <v>1</v>
      </c>
      <c r="L5" s="24">
        <v>1.5</v>
      </c>
      <c r="M5" s="22">
        <f>0.867*1.729</f>
        <v>1.4990430000000001</v>
      </c>
      <c r="N5" s="27">
        <v>1100</v>
      </c>
      <c r="O5" s="23">
        <v>1678</v>
      </c>
      <c r="P5" s="23">
        <v>1522</v>
      </c>
      <c r="Q5" s="23">
        <v>152.19999999999999</v>
      </c>
      <c r="R5" s="23">
        <v>167.8</v>
      </c>
      <c r="S5" s="23">
        <v>152.19999999999999</v>
      </c>
      <c r="T5" s="23">
        <v>197.9</v>
      </c>
      <c r="U5" s="23">
        <v>218.2</v>
      </c>
      <c r="V5" s="23">
        <v>197.9</v>
      </c>
      <c r="W5" s="10">
        <v>2200</v>
      </c>
      <c r="X5" s="10">
        <v>753.62</v>
      </c>
      <c r="Y5" s="10">
        <v>1200</v>
      </c>
      <c r="Z5" s="10">
        <v>0.15</v>
      </c>
    </row>
    <row r="6" spans="1:26" x14ac:dyDescent="0.25">
      <c r="A6" s="5" t="s">
        <v>4</v>
      </c>
      <c r="D6" s="14">
        <f>17.6*6.894</f>
        <v>121.33440000000002</v>
      </c>
      <c r="E6" s="6"/>
      <c r="F6" s="1"/>
      <c r="G6" s="18">
        <f>2.73*1.0988</f>
        <v>2.9997240000000001</v>
      </c>
      <c r="J6" s="22">
        <f>1.72*1.8</f>
        <v>3.0960000000000001</v>
      </c>
      <c r="K6" s="22">
        <f>1.21*1.729</f>
        <v>2.0920900000000002</v>
      </c>
      <c r="L6" s="25">
        <f>1.4*1.729</f>
        <v>2.4205999999999999</v>
      </c>
      <c r="M6" s="22">
        <f>1.21*1.729</f>
        <v>2.0920900000000002</v>
      </c>
      <c r="S6" s="28">
        <v>131</v>
      </c>
      <c r="V6" s="29">
        <v>125</v>
      </c>
      <c r="W6" s="10">
        <v>2450</v>
      </c>
      <c r="X6" s="10">
        <v>753.62</v>
      </c>
      <c r="Y6" s="10">
        <v>1250</v>
      </c>
      <c r="Z6" s="10">
        <v>0.31</v>
      </c>
    </row>
    <row r="7" spans="1:26" x14ac:dyDescent="0.25">
      <c r="A7" s="5" t="s">
        <v>5</v>
      </c>
      <c r="B7" s="12">
        <v>166</v>
      </c>
      <c r="C7" s="13">
        <v>310</v>
      </c>
      <c r="D7" s="14">
        <f>31.9*6.894</f>
        <v>219.9186</v>
      </c>
      <c r="E7" s="19">
        <v>1.8</v>
      </c>
      <c r="F7" s="20">
        <v>6.5</v>
      </c>
      <c r="G7" s="18">
        <f>1.81*1.0988</f>
        <v>1.988828</v>
      </c>
      <c r="H7" s="23">
        <v>1.4</v>
      </c>
      <c r="I7" s="23">
        <v>3.7</v>
      </c>
      <c r="J7" s="22">
        <f>1.83*1.8</f>
        <v>3.294</v>
      </c>
      <c r="K7" s="23">
        <v>10</v>
      </c>
      <c r="L7" s="23">
        <v>43</v>
      </c>
      <c r="M7" s="22">
        <f>8.67*1.729</f>
        <v>14.99043</v>
      </c>
      <c r="N7" s="27">
        <v>520</v>
      </c>
      <c r="O7" s="23">
        <v>5500</v>
      </c>
      <c r="P7" s="23">
        <v>524</v>
      </c>
      <c r="Q7" s="23">
        <v>60</v>
      </c>
      <c r="R7" s="23">
        <v>525</v>
      </c>
      <c r="S7" s="28">
        <v>138</v>
      </c>
      <c r="T7" s="23">
        <v>181</v>
      </c>
      <c r="U7" s="23">
        <v>1050</v>
      </c>
      <c r="V7" s="25">
        <v>830</v>
      </c>
      <c r="W7" s="10">
        <v>2400</v>
      </c>
      <c r="X7" s="10">
        <v>974</v>
      </c>
      <c r="Y7" s="10">
        <v>1600</v>
      </c>
      <c r="Z7" s="10">
        <v>0.27</v>
      </c>
    </row>
    <row r="8" spans="1:26" x14ac:dyDescent="0.25">
      <c r="A8" s="5" t="s">
        <v>16</v>
      </c>
      <c r="B8" s="13">
        <v>14</v>
      </c>
      <c r="C8" s="12">
        <v>100</v>
      </c>
      <c r="D8" s="14">
        <f>5.2*6.894</f>
        <v>35.848800000000004</v>
      </c>
      <c r="E8" s="19">
        <v>2.5</v>
      </c>
      <c r="F8" s="20">
        <v>5</v>
      </c>
      <c r="G8" s="18">
        <f>4.55*1.0988</f>
        <v>4.9995399999999997</v>
      </c>
      <c r="H8" s="23">
        <v>1</v>
      </c>
      <c r="I8" s="22">
        <v>9.9</v>
      </c>
      <c r="J8" s="22">
        <f>5.5*1.8</f>
        <v>9.9</v>
      </c>
      <c r="K8" s="23">
        <v>19</v>
      </c>
      <c r="L8" s="23">
        <v>52</v>
      </c>
      <c r="M8" s="22">
        <f>30*1.729</f>
        <v>51.870000000000005</v>
      </c>
      <c r="N8" s="23">
        <v>225</v>
      </c>
      <c r="O8" s="23">
        <v>540</v>
      </c>
      <c r="P8" s="23">
        <v>225</v>
      </c>
      <c r="Q8" s="23">
        <v>27</v>
      </c>
      <c r="R8" s="23">
        <v>83.3</v>
      </c>
      <c r="S8" s="23">
        <v>41</v>
      </c>
      <c r="T8" s="23">
        <v>33</v>
      </c>
      <c r="U8" s="23">
        <v>110</v>
      </c>
      <c r="V8" s="25">
        <v>75.8</v>
      </c>
      <c r="W8" s="10">
        <v>2000</v>
      </c>
      <c r="X8" s="10">
        <v>1256.04</v>
      </c>
      <c r="Y8" s="10">
        <v>1500</v>
      </c>
      <c r="Z8" s="10">
        <v>0.27</v>
      </c>
    </row>
    <row r="9" spans="1:26" x14ac:dyDescent="0.25">
      <c r="A9" s="5" t="s">
        <v>6</v>
      </c>
      <c r="B9" s="12">
        <v>91</v>
      </c>
      <c r="C9" s="12">
        <v>220</v>
      </c>
      <c r="D9" s="14">
        <f>31.9*6.894</f>
        <v>219.9186</v>
      </c>
      <c r="E9" s="19">
        <v>2.1</v>
      </c>
      <c r="F9" s="20">
        <v>4</v>
      </c>
      <c r="G9" s="18">
        <f>2.09*1.0988</f>
        <v>2.2964919999999998</v>
      </c>
      <c r="H9" s="23">
        <v>3.5</v>
      </c>
      <c r="I9" s="23">
        <v>5.6</v>
      </c>
      <c r="J9" s="22">
        <f>2.78*1.8</f>
        <v>5.0039999999999996</v>
      </c>
      <c r="K9" s="23">
        <v>1.9</v>
      </c>
      <c r="L9" s="23">
        <v>6</v>
      </c>
      <c r="M9" s="22">
        <f>3.47*1.729</f>
        <v>5.9996300000000007</v>
      </c>
      <c r="N9" s="23">
        <v>550</v>
      </c>
      <c r="O9" s="23">
        <v>1320</v>
      </c>
      <c r="P9" s="23">
        <v>550</v>
      </c>
      <c r="Q9" s="23">
        <v>55</v>
      </c>
      <c r="R9" s="23">
        <v>132</v>
      </c>
      <c r="S9" s="23">
        <v>55</v>
      </c>
      <c r="T9" s="23">
        <v>132</v>
      </c>
      <c r="U9" s="23">
        <v>250</v>
      </c>
      <c r="V9" s="25">
        <v>180</v>
      </c>
      <c r="W9" s="10">
        <v>3100</v>
      </c>
      <c r="X9" s="10">
        <v>1050</v>
      </c>
      <c r="Y9" s="10">
        <v>1650</v>
      </c>
      <c r="Z9" s="10">
        <v>0.26</v>
      </c>
    </row>
    <row r="10" spans="1:26" x14ac:dyDescent="0.25">
      <c r="A10" s="5" t="s">
        <v>7</v>
      </c>
      <c r="B10" s="12">
        <v>270</v>
      </c>
      <c r="C10" s="12">
        <v>330</v>
      </c>
      <c r="D10" s="14">
        <f>47.9*6.894</f>
        <v>330.2226</v>
      </c>
      <c r="E10" s="19">
        <v>2.7</v>
      </c>
      <c r="F10" s="20">
        <v>2.8</v>
      </c>
      <c r="G10" s="18">
        <f>2.55*1.0988</f>
        <v>2.8019399999999997</v>
      </c>
      <c r="H10" s="23">
        <v>9</v>
      </c>
      <c r="I10" s="23">
        <v>12</v>
      </c>
      <c r="J10" s="22">
        <f>6.67*1.8</f>
        <v>12.006</v>
      </c>
      <c r="K10" s="23">
        <v>30</v>
      </c>
      <c r="L10" s="23">
        <v>60</v>
      </c>
      <c r="M10" s="22">
        <v>60</v>
      </c>
      <c r="N10" s="23">
        <v>833.3</v>
      </c>
      <c r="O10" s="23">
        <v>1666.6</v>
      </c>
      <c r="P10" s="23">
        <v>833.3</v>
      </c>
      <c r="Q10" s="23">
        <v>83.3</v>
      </c>
      <c r="R10" s="23">
        <v>166.7</v>
      </c>
      <c r="S10" s="23">
        <v>83.3</v>
      </c>
      <c r="T10" s="23">
        <v>100</v>
      </c>
      <c r="U10" s="23">
        <v>200</v>
      </c>
      <c r="V10" s="23">
        <v>100</v>
      </c>
      <c r="W10" s="10">
        <v>3580</v>
      </c>
      <c r="X10" s="10">
        <v>1030</v>
      </c>
      <c r="Y10" s="10">
        <v>2400</v>
      </c>
      <c r="Z10" s="10">
        <v>0.35</v>
      </c>
    </row>
    <row r="11" spans="1:26" x14ac:dyDescent="0.25">
      <c r="A11" s="5" t="s">
        <v>17</v>
      </c>
      <c r="B11" s="12">
        <v>331.7</v>
      </c>
      <c r="C11" s="12">
        <v>400</v>
      </c>
      <c r="D11" s="14">
        <f>58*6.894</f>
        <v>399.85200000000003</v>
      </c>
      <c r="E11" s="19">
        <v>1</v>
      </c>
      <c r="F11" s="20">
        <v>2.5</v>
      </c>
      <c r="G11" s="18">
        <f>3.64*1.0988</f>
        <v>3.9996320000000001</v>
      </c>
      <c r="H11" s="23">
        <v>7.4</v>
      </c>
      <c r="I11" s="23">
        <v>8.9</v>
      </c>
      <c r="J11" s="22">
        <f>4.28*1.8</f>
        <v>7.7040000000000006</v>
      </c>
      <c r="K11" s="23">
        <v>209</v>
      </c>
      <c r="L11" s="23">
        <v>330</v>
      </c>
      <c r="M11" s="22">
        <f>153*1.729</f>
        <v>264.53700000000003</v>
      </c>
      <c r="N11" s="23">
        <v>785</v>
      </c>
      <c r="O11" s="23">
        <v>2800</v>
      </c>
      <c r="P11" s="23">
        <v>785</v>
      </c>
      <c r="Q11" s="23">
        <v>79</v>
      </c>
      <c r="R11" s="23">
        <v>306</v>
      </c>
      <c r="S11" s="23">
        <v>79</v>
      </c>
      <c r="T11" s="23">
        <v>172</v>
      </c>
      <c r="U11" s="23">
        <v>368</v>
      </c>
      <c r="V11" s="29">
        <v>260</v>
      </c>
      <c r="W11" s="10">
        <v>2950</v>
      </c>
      <c r="X11" s="10">
        <v>1088.57</v>
      </c>
      <c r="Y11" s="10">
        <v>2000</v>
      </c>
      <c r="Z11" s="10">
        <v>0.34</v>
      </c>
    </row>
    <row r="12" spans="1:26" x14ac:dyDescent="0.25">
      <c r="A12" s="5" t="s">
        <v>8</v>
      </c>
      <c r="D12" s="14">
        <f>21.2*6.894</f>
        <v>146.15279999999998</v>
      </c>
      <c r="E12" s="6"/>
      <c r="F12" s="1"/>
      <c r="G12" s="30">
        <v>3</v>
      </c>
      <c r="J12" s="22">
        <f>1.08*1.8</f>
        <v>1.9440000000000002</v>
      </c>
      <c r="M12" s="22">
        <f>2.1*1.729</f>
        <v>3.6309000000000005</v>
      </c>
      <c r="P12" s="37">
        <v>130</v>
      </c>
      <c r="S12" s="46">
        <v>153</v>
      </c>
      <c r="V12" s="31">
        <v>235</v>
      </c>
      <c r="W12" s="10">
        <v>3400</v>
      </c>
      <c r="X12" s="10">
        <v>2428.34</v>
      </c>
      <c r="Y12" s="10">
        <v>1200</v>
      </c>
      <c r="Z12" s="10"/>
    </row>
    <row r="13" spans="1:26" x14ac:dyDescent="0.25">
      <c r="A13" s="6"/>
      <c r="B13" s="6"/>
      <c r="C13" s="6"/>
      <c r="D13" s="6"/>
      <c r="E13" s="1"/>
      <c r="F13" s="1"/>
      <c r="G13" s="1"/>
      <c r="J13" s="8"/>
      <c r="K13" s="8"/>
      <c r="L13" s="8"/>
      <c r="M13" s="8"/>
    </row>
    <row r="14" spans="1:26" x14ac:dyDescent="0.25">
      <c r="A14" s="6" t="s">
        <v>13</v>
      </c>
      <c r="B14" s="6"/>
      <c r="C14" s="6">
        <v>250</v>
      </c>
      <c r="D14" s="16">
        <f>11.5*6.894</f>
        <v>79.281000000000006</v>
      </c>
      <c r="E14" s="1"/>
      <c r="F14" s="1"/>
      <c r="G14" s="18">
        <f>5.73*1.0988</f>
        <v>6.2961240000000007</v>
      </c>
      <c r="J14" s="22">
        <f>4.67*1.8</f>
        <v>8.4060000000000006</v>
      </c>
      <c r="M14" s="22">
        <f>20.2*1.729</f>
        <v>34.925800000000002</v>
      </c>
      <c r="P14" s="49" t="s">
        <v>142</v>
      </c>
      <c r="Q14" s="32">
        <v>700</v>
      </c>
      <c r="R14" s="32">
        <v>1100</v>
      </c>
      <c r="S14" s="32">
        <v>700</v>
      </c>
      <c r="T14" s="32">
        <v>600</v>
      </c>
      <c r="U14" s="32">
        <v>1200</v>
      </c>
      <c r="V14" s="32">
        <v>600</v>
      </c>
      <c r="W14" s="10">
        <v>2000</v>
      </c>
      <c r="X14" s="10">
        <v>800</v>
      </c>
      <c r="Y14" s="38">
        <v>2700</v>
      </c>
      <c r="Z14" s="39">
        <v>0.25</v>
      </c>
    </row>
    <row r="15" spans="1:26" x14ac:dyDescent="0.25">
      <c r="A15" s="6" t="s">
        <v>14</v>
      </c>
      <c r="B15" s="34">
        <v>230</v>
      </c>
      <c r="C15" s="6"/>
      <c r="D15" s="16">
        <f>39.1*6.894</f>
        <v>269.55540000000002</v>
      </c>
      <c r="E15" s="1"/>
      <c r="F15" s="1"/>
      <c r="G15" s="18">
        <f>27.3*1.0988</f>
        <v>29.997240000000001</v>
      </c>
      <c r="J15" s="22">
        <f>1.8*2.55</f>
        <v>4.59</v>
      </c>
      <c r="M15" s="22">
        <f>11.6*1.729</f>
        <v>20.0564</v>
      </c>
      <c r="N15" s="33">
        <v>420</v>
      </c>
      <c r="O15" s="33">
        <v>580</v>
      </c>
      <c r="P15" s="33">
        <v>420</v>
      </c>
      <c r="S15" s="35">
        <v>315</v>
      </c>
      <c r="V15" s="33">
        <v>300</v>
      </c>
      <c r="W15" s="10">
        <v>2300</v>
      </c>
      <c r="X15" s="10">
        <v>620</v>
      </c>
      <c r="Y15" s="10">
        <v>1400</v>
      </c>
      <c r="Z15" s="43">
        <v>0.25</v>
      </c>
    </row>
    <row r="16" spans="1:26" x14ac:dyDescent="0.25">
      <c r="A16" s="6" t="s">
        <v>15</v>
      </c>
      <c r="B16" s="6">
        <v>65</v>
      </c>
      <c r="C16" s="6">
        <v>110</v>
      </c>
      <c r="D16" s="6">
        <v>80</v>
      </c>
      <c r="E16" s="1"/>
      <c r="F16" s="1"/>
      <c r="G16" s="34">
        <v>32</v>
      </c>
      <c r="H16">
        <v>0.4</v>
      </c>
      <c r="I16">
        <v>3.5</v>
      </c>
      <c r="J16">
        <v>3</v>
      </c>
      <c r="K16" s="32">
        <v>10</v>
      </c>
      <c r="L16" s="32">
        <v>14</v>
      </c>
      <c r="M16" s="32">
        <v>13</v>
      </c>
      <c r="N16" s="32">
        <v>61</v>
      </c>
      <c r="O16" s="32">
        <v>600</v>
      </c>
      <c r="P16" s="32">
        <v>450</v>
      </c>
      <c r="Q16" s="32">
        <v>230</v>
      </c>
      <c r="R16" s="32">
        <v>350</v>
      </c>
      <c r="S16" s="32">
        <v>300</v>
      </c>
      <c r="T16" s="32">
        <v>241</v>
      </c>
      <c r="U16" s="32">
        <v>700</v>
      </c>
      <c r="V16" s="32">
        <v>500</v>
      </c>
      <c r="W16" s="32">
        <v>2000</v>
      </c>
      <c r="X16" s="32">
        <v>1400</v>
      </c>
      <c r="Y16" s="32">
        <v>2400</v>
      </c>
      <c r="Z16" s="45">
        <v>0.63</v>
      </c>
    </row>
    <row r="21" spans="1:22" x14ac:dyDescent="0.25">
      <c r="A21" s="4" t="s">
        <v>52</v>
      </c>
      <c r="B21" s="11" t="s">
        <v>9</v>
      </c>
      <c r="C21" s="12" t="s">
        <v>10</v>
      </c>
      <c r="D21" s="13" t="s">
        <v>11</v>
      </c>
      <c r="E21" s="14" t="s">
        <v>12</v>
      </c>
      <c r="F21" s="15" t="s">
        <v>20</v>
      </c>
      <c r="G21" s="26" t="s">
        <v>18</v>
      </c>
      <c r="H21" s="31" t="s">
        <v>80</v>
      </c>
      <c r="I21" s="32" t="s">
        <v>85</v>
      </c>
      <c r="J21" s="33" t="s">
        <v>88</v>
      </c>
      <c r="K21" s="37" t="s">
        <v>93</v>
      </c>
      <c r="L21" s="29" t="s">
        <v>96</v>
      </c>
      <c r="M21" s="40" t="s">
        <v>102</v>
      </c>
      <c r="N21" s="41" t="s">
        <v>105</v>
      </c>
      <c r="O21" s="44" t="s">
        <v>111</v>
      </c>
      <c r="P21" s="45" t="s">
        <v>114</v>
      </c>
      <c r="Q21" s="46" t="s">
        <v>117</v>
      </c>
      <c r="R21" s="47" t="s">
        <v>129</v>
      </c>
      <c r="S21" s="40" t="s">
        <v>132</v>
      </c>
      <c r="T21" s="48" t="s">
        <v>133</v>
      </c>
      <c r="U21" s="37" t="s">
        <v>136</v>
      </c>
      <c r="V21" s="49" t="s">
        <v>141</v>
      </c>
    </row>
    <row r="23" spans="1:22" x14ac:dyDescent="0.25">
      <c r="A23" s="36" t="s">
        <v>108</v>
      </c>
      <c r="B23" s="42" t="s">
        <v>110</v>
      </c>
    </row>
    <row r="24" spans="1:22" x14ac:dyDescent="0.25">
      <c r="B24" s="42" t="s">
        <v>109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517AB-649E-4BDB-BC61-7C0694B73F47}">
  <dimension ref="A1:C42"/>
  <sheetViews>
    <sheetView workbookViewId="0">
      <selection activeCell="A28" sqref="A28"/>
    </sheetView>
  </sheetViews>
  <sheetFormatPr defaultRowHeight="15" x14ac:dyDescent="0.25"/>
  <cols>
    <col min="1" max="1" width="15.5703125" customWidth="1"/>
    <col min="2" max="2" width="64.7109375" customWidth="1"/>
    <col min="3" max="3" width="75.5703125" customWidth="1"/>
  </cols>
  <sheetData>
    <row r="1" spans="1:3" s="3" customFormat="1" x14ac:dyDescent="0.25">
      <c r="A1" s="3" t="s">
        <v>21</v>
      </c>
      <c r="B1" s="3" t="s">
        <v>22</v>
      </c>
      <c r="C1" s="3" t="s">
        <v>35</v>
      </c>
    </row>
    <row r="2" spans="1:3" x14ac:dyDescent="0.25">
      <c r="A2" t="s">
        <v>9</v>
      </c>
      <c r="B2" t="s">
        <v>25</v>
      </c>
    </row>
    <row r="3" spans="1:3" x14ac:dyDescent="0.25">
      <c r="A3" t="s">
        <v>10</v>
      </c>
      <c r="B3" t="s">
        <v>26</v>
      </c>
    </row>
    <row r="4" spans="1:3" x14ac:dyDescent="0.25">
      <c r="A4" t="s">
        <v>24</v>
      </c>
      <c r="B4" t="s">
        <v>27</v>
      </c>
    </row>
    <row r="5" spans="1:3" x14ac:dyDescent="0.25">
      <c r="A5" t="s">
        <v>11</v>
      </c>
      <c r="B5" t="s">
        <v>28</v>
      </c>
    </row>
    <row r="6" spans="1:3" x14ac:dyDescent="0.25">
      <c r="A6" t="s">
        <v>12</v>
      </c>
      <c r="B6" t="s">
        <v>29</v>
      </c>
    </row>
    <row r="7" spans="1:3" x14ac:dyDescent="0.25">
      <c r="A7" t="s">
        <v>23</v>
      </c>
      <c r="B7" t="s">
        <v>30</v>
      </c>
      <c r="C7" s="9" t="s">
        <v>31</v>
      </c>
    </row>
    <row r="8" spans="1:3" x14ac:dyDescent="0.25">
      <c r="A8" t="s">
        <v>32</v>
      </c>
      <c r="B8" t="s">
        <v>33</v>
      </c>
      <c r="C8" s="9" t="s">
        <v>34</v>
      </c>
    </row>
    <row r="9" spans="1:3" x14ac:dyDescent="0.25">
      <c r="A9" t="s">
        <v>36</v>
      </c>
      <c r="B9" t="s">
        <v>37</v>
      </c>
      <c r="C9" s="9" t="s">
        <v>38</v>
      </c>
    </row>
    <row r="10" spans="1:3" x14ac:dyDescent="0.25">
      <c r="A10" t="s">
        <v>44</v>
      </c>
      <c r="B10" t="s">
        <v>43</v>
      </c>
      <c r="C10" s="9" t="s">
        <v>42</v>
      </c>
    </row>
    <row r="11" spans="1:3" x14ac:dyDescent="0.25">
      <c r="A11" t="s">
        <v>78</v>
      </c>
      <c r="C11" s="9" t="s">
        <v>79</v>
      </c>
    </row>
    <row r="12" spans="1:3" x14ac:dyDescent="0.25">
      <c r="A12" t="s">
        <v>80</v>
      </c>
      <c r="B12" t="s">
        <v>81</v>
      </c>
      <c r="C12" s="9" t="s">
        <v>82</v>
      </c>
    </row>
    <row r="13" spans="1:3" x14ac:dyDescent="0.25">
      <c r="A13" t="s">
        <v>84</v>
      </c>
      <c r="B13" t="s">
        <v>86</v>
      </c>
      <c r="C13" s="9" t="s">
        <v>87</v>
      </c>
    </row>
    <row r="14" spans="1:3" x14ac:dyDescent="0.25">
      <c r="A14" t="s">
        <v>88</v>
      </c>
      <c r="B14" t="s">
        <v>89</v>
      </c>
      <c r="C14" s="9" t="s">
        <v>90</v>
      </c>
    </row>
    <row r="15" spans="1:3" x14ac:dyDescent="0.25">
      <c r="A15" t="s">
        <v>92</v>
      </c>
      <c r="B15" t="s">
        <v>91</v>
      </c>
      <c r="C15" s="9"/>
    </row>
    <row r="16" spans="1:3" x14ac:dyDescent="0.25">
      <c r="A16" t="s">
        <v>93</v>
      </c>
      <c r="B16" t="s">
        <v>94</v>
      </c>
      <c r="C16" s="9" t="s">
        <v>95</v>
      </c>
    </row>
    <row r="17" spans="1:3" x14ac:dyDescent="0.25">
      <c r="A17" t="s">
        <v>96</v>
      </c>
      <c r="B17" t="s">
        <v>97</v>
      </c>
      <c r="C17" s="9" t="s">
        <v>98</v>
      </c>
    </row>
    <row r="18" spans="1:3" x14ac:dyDescent="0.25">
      <c r="A18" t="s">
        <v>99</v>
      </c>
      <c r="B18" t="s">
        <v>100</v>
      </c>
      <c r="C18" s="9" t="s">
        <v>101</v>
      </c>
    </row>
    <row r="19" spans="1:3" x14ac:dyDescent="0.25">
      <c r="A19" t="s">
        <v>102</v>
      </c>
      <c r="B19" t="s">
        <v>103</v>
      </c>
      <c r="C19" s="9" t="s">
        <v>104</v>
      </c>
    </row>
    <row r="20" spans="1:3" x14ac:dyDescent="0.25">
      <c r="A20" t="s">
        <v>105</v>
      </c>
      <c r="B20" t="s">
        <v>106</v>
      </c>
      <c r="C20" s="9" t="s">
        <v>107</v>
      </c>
    </row>
    <row r="21" spans="1:3" x14ac:dyDescent="0.25">
      <c r="A21" t="s">
        <v>111</v>
      </c>
      <c r="B21" t="s">
        <v>112</v>
      </c>
      <c r="C21" s="9" t="s">
        <v>113</v>
      </c>
    </row>
    <row r="22" spans="1:3" x14ac:dyDescent="0.25">
      <c r="A22" t="s">
        <v>114</v>
      </c>
      <c r="B22" t="s">
        <v>115</v>
      </c>
      <c r="C22" s="9" t="s">
        <v>116</v>
      </c>
    </row>
    <row r="23" spans="1:3" x14ac:dyDescent="0.25">
      <c r="A23" t="s">
        <v>117</v>
      </c>
      <c r="B23" t="s">
        <v>118</v>
      </c>
      <c r="C23" s="9" t="s">
        <v>119</v>
      </c>
    </row>
    <row r="24" spans="1:3" x14ac:dyDescent="0.25">
      <c r="A24" t="s">
        <v>124</v>
      </c>
      <c r="B24" t="s">
        <v>125</v>
      </c>
      <c r="C24" s="9" t="s">
        <v>126</v>
      </c>
    </row>
    <row r="25" spans="1:3" x14ac:dyDescent="0.25">
      <c r="A25" t="s">
        <v>129</v>
      </c>
      <c r="B25" t="s">
        <v>130</v>
      </c>
      <c r="C25" s="9" t="s">
        <v>131</v>
      </c>
    </row>
    <row r="26" spans="1:3" x14ac:dyDescent="0.25">
      <c r="A26" t="s">
        <v>133</v>
      </c>
      <c r="B26" t="s">
        <v>134</v>
      </c>
      <c r="C26" s="9" t="s">
        <v>135</v>
      </c>
    </row>
    <row r="27" spans="1:3" x14ac:dyDescent="0.25">
      <c r="A27" t="s">
        <v>136</v>
      </c>
      <c r="B27" t="s">
        <v>137</v>
      </c>
      <c r="C27" s="9" t="s">
        <v>138</v>
      </c>
    </row>
    <row r="28" spans="1:3" x14ac:dyDescent="0.25">
      <c r="A28" t="s">
        <v>141</v>
      </c>
      <c r="B28" t="s">
        <v>140</v>
      </c>
      <c r="C28" s="9" t="s">
        <v>139</v>
      </c>
    </row>
    <row r="29" spans="1:3" ht="14.65" customHeight="1" x14ac:dyDescent="0.25"/>
    <row r="30" spans="1:3" x14ac:dyDescent="0.25">
      <c r="A30" s="2" t="s">
        <v>128</v>
      </c>
    </row>
    <row r="31" spans="1:3" x14ac:dyDescent="0.25">
      <c r="A31" t="s">
        <v>39</v>
      </c>
      <c r="B31" s="9" t="s">
        <v>40</v>
      </c>
    </row>
    <row r="32" spans="1:3" x14ac:dyDescent="0.25">
      <c r="A32" t="s">
        <v>19</v>
      </c>
      <c r="B32" s="9" t="s">
        <v>41</v>
      </c>
    </row>
    <row r="33" spans="1:2" x14ac:dyDescent="0.25">
      <c r="A33" t="s">
        <v>45</v>
      </c>
      <c r="B33" s="9" t="s">
        <v>46</v>
      </c>
    </row>
    <row r="34" spans="1:2" x14ac:dyDescent="0.25">
      <c r="A34" t="s">
        <v>47</v>
      </c>
      <c r="B34" s="9" t="s">
        <v>48</v>
      </c>
    </row>
    <row r="35" spans="1:2" x14ac:dyDescent="0.25">
      <c r="A35" t="s">
        <v>6</v>
      </c>
      <c r="B35" s="9" t="s">
        <v>71</v>
      </c>
    </row>
    <row r="36" spans="1:2" x14ac:dyDescent="0.25">
      <c r="A36" t="s">
        <v>75</v>
      </c>
      <c r="B36" s="9" t="s">
        <v>76</v>
      </c>
    </row>
    <row r="37" spans="1:2" x14ac:dyDescent="0.25">
      <c r="A37" t="s">
        <v>7</v>
      </c>
      <c r="B37" s="9" t="s">
        <v>77</v>
      </c>
    </row>
    <row r="38" spans="1:2" x14ac:dyDescent="0.25">
      <c r="A38" t="s">
        <v>1</v>
      </c>
      <c r="B38" s="9" t="s">
        <v>120</v>
      </c>
    </row>
    <row r="39" spans="1:2" x14ac:dyDescent="0.25">
      <c r="A39" t="s">
        <v>39</v>
      </c>
      <c r="B39" s="9" t="s">
        <v>121</v>
      </c>
    </row>
    <row r="40" spans="1:2" x14ac:dyDescent="0.25">
      <c r="A40" t="s">
        <v>6</v>
      </c>
      <c r="B40" s="9" t="s">
        <v>122</v>
      </c>
    </row>
    <row r="41" spans="1:2" x14ac:dyDescent="0.25">
      <c r="A41" t="s">
        <v>2</v>
      </c>
      <c r="B41" s="9" t="s">
        <v>123</v>
      </c>
    </row>
    <row r="42" spans="1:2" x14ac:dyDescent="0.25">
      <c r="A42" t="s">
        <v>17</v>
      </c>
      <c r="B42" s="9" t="s">
        <v>127</v>
      </c>
    </row>
  </sheetData>
  <hyperlinks>
    <hyperlink ref="C7" r:id="rId1" xr:uid="{DD6FCBE5-C00F-459B-9A65-13717AD6E00F}"/>
    <hyperlink ref="C8" r:id="rId2" xr:uid="{4A6BD439-379C-4405-AE18-F0EF88538800}"/>
    <hyperlink ref="C9" r:id="rId3" xr:uid="{A0B15CEC-5E5A-4604-93D8-3DFD6252B1DE}"/>
    <hyperlink ref="B31" r:id="rId4" xr:uid="{E2C6475C-C13B-4750-9054-0C564D5D8B1B}"/>
    <hyperlink ref="B32" r:id="rId5" xr:uid="{F1E2EF20-5B3A-4F30-87F0-C877C574DE93}"/>
    <hyperlink ref="C10" r:id="rId6" xr:uid="{3186EEDD-0902-4255-819A-5179EE436314}"/>
    <hyperlink ref="B33" r:id="rId7" xr:uid="{6997876A-500F-4C81-92E8-7151CC8E6FF5}"/>
    <hyperlink ref="B34" r:id="rId8" xr:uid="{F0BA2DE6-FD0C-456C-A3D3-E9B7C351ED40}"/>
    <hyperlink ref="B35" r:id="rId9" xr:uid="{34D72377-9C11-42E3-BBA9-09710A71B3AB}"/>
    <hyperlink ref="B36" r:id="rId10" xr:uid="{5C37C92E-8E2D-43FF-A87F-289A6B11AD25}"/>
    <hyperlink ref="B37" r:id="rId11" xr:uid="{2A681EBA-189E-48B0-B302-871187119078}"/>
    <hyperlink ref="C11" r:id="rId12" xr:uid="{82492F0C-7F24-4DEF-AA26-6956879841D5}"/>
    <hyperlink ref="C12" r:id="rId13" xr:uid="{9EA92E5F-B7F4-465A-9574-6DA24650C39D}"/>
    <hyperlink ref="C14" r:id="rId14" xr:uid="{941568EC-5B33-446B-B027-766FA25840DE}"/>
    <hyperlink ref="C16" r:id="rId15" xr:uid="{058321CE-E0EB-432F-B30F-14F5038489C1}"/>
    <hyperlink ref="C17" r:id="rId16" xr:uid="{F38E988B-D126-413F-BE85-F6282C7C2387}"/>
    <hyperlink ref="C18" r:id="rId17" xr:uid="{11E7D925-1865-4A28-BC31-6550DAB38332}"/>
    <hyperlink ref="C19" r:id="rId18" xr:uid="{358C4C78-AED4-4897-98ED-2815089F4DC9}"/>
    <hyperlink ref="C20" r:id="rId19" xr:uid="{CF002027-E407-4256-97A5-10761AC13F5C}"/>
    <hyperlink ref="C21" r:id="rId20" xr:uid="{53B5F466-6E8A-4F8E-BDA9-3C39FCE056FB}"/>
    <hyperlink ref="C22" r:id="rId21" xr:uid="{78B914A4-B383-401E-98AB-FBF8C34A902D}"/>
    <hyperlink ref="C23" r:id="rId22" xr:uid="{7A122CE4-8B82-4C24-9833-30C23C92E584}"/>
    <hyperlink ref="B38" r:id="rId23" xr:uid="{B967AC65-985E-46EA-A87A-8DC6EC1E507B}"/>
    <hyperlink ref="B39" r:id="rId24" xr:uid="{9B05B7CA-6421-4696-BE07-551DCC2918F3}"/>
    <hyperlink ref="B40" r:id="rId25" xr:uid="{17AC3603-5468-4FA3-ADA2-00DFCFBA2420}"/>
    <hyperlink ref="B41" r:id="rId26" xr:uid="{C6B55240-765F-4C6E-A014-007AFA7AFE63}"/>
    <hyperlink ref="C24" r:id="rId27" xr:uid="{244D2A81-29AF-40E0-90AE-BEAFEBA2E017}"/>
    <hyperlink ref="B42" r:id="rId28" xr:uid="{64064D18-B4B6-425A-91C7-AFF80347F029}"/>
    <hyperlink ref="C25" r:id="rId29" xr:uid="{9BD3EDD5-EDEC-4FA4-AFC5-8156BB198365}"/>
    <hyperlink ref="C26" r:id="rId30" xr:uid="{34B1FA67-0779-4E96-A1D9-E912A5807E8F}"/>
    <hyperlink ref="C27" r:id="rId31" location="bib21" display="https://www.sciencedirect.com/science/article/pii/S1359835X08002340 - bib21" xr:uid="{72525E75-A6C3-4BCF-829A-91F09388920F}"/>
    <hyperlink ref="C28" r:id="rId32" xr:uid="{E590AF96-AEA8-43D6-93EE-D68EE7A77C57}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 Properties</vt:lpstr>
      <vt:lpstr>Sources</vt:lpstr>
    </vt:vector>
  </TitlesOfParts>
  <Company>U.S. Air Force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SANDOVAL, OSCAR E DR-02 USAF AFMC AFRL/STO</dc:creator>
  <cp:lastModifiedBy>Walgren, Patrick P</cp:lastModifiedBy>
  <dcterms:created xsi:type="dcterms:W3CDTF">2020-04-07T14:39:29Z</dcterms:created>
  <dcterms:modified xsi:type="dcterms:W3CDTF">2020-11-20T20:44:42Z</dcterms:modified>
</cp:coreProperties>
</file>