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 codeName="ThisWorkbook"/>
  <mc:AlternateContent xmlns:mc="http://schemas.openxmlformats.org/markup-compatibility/2006">
    <mc:Choice Requires="x15">
      <x15ac:absPath xmlns:x15ac="http://schemas.microsoft.com/office/spreadsheetml/2010/11/ac" url="/Users/rosswilkinson/Google Drive/projects/moco-cycling-standing/data/"/>
    </mc:Choice>
  </mc:AlternateContent>
  <xr:revisionPtr revIDLastSave="0" documentId="13_ncr:1_{81439BB6-EEA4-6A43-9FDA-24FB94A124DD}" xr6:coauthVersionLast="46" xr6:coauthVersionMax="46" xr10:uidLastSave="{00000000-0000-0000-0000-000000000000}"/>
  <bookViews>
    <workbookView xWindow="0" yWindow="500" windowWidth="19200" windowHeight="10200" xr2:uid="{00000000-000D-0000-FFFF-FFFF00000000}"/>
  </bookViews>
  <sheets>
    <sheet name="data_inc" sheetId="17" r:id="rId1"/>
    <sheet name="Sheet3" sheetId="23" r:id="rId2"/>
    <sheet name="data" sheetId="6" r:id="rId3"/>
    <sheet name="Pmax_seated" sheetId="19" r:id="rId4"/>
    <sheet name="Pmax_standing" sheetId="20" r:id="rId5"/>
    <sheet name="Sheet4" sheetId="21" r:id="rId6"/>
    <sheet name="Sheet1" sheetId="16" r:id="rId7"/>
    <sheet name="progress" sheetId="7" r:id="rId8"/>
    <sheet name="Inclusion" sheetId="13" r:id="rId9"/>
    <sheet name="nCyclesAnalyzed" sheetId="15" r:id="rId10"/>
    <sheet name="powerData" sheetId="18" r:id="rId11"/>
    <sheet name="Sheet2" sheetId="2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4" i="20" l="1"/>
  <c r="O24" i="20"/>
  <c r="H24" i="20"/>
  <c r="C24" i="20"/>
  <c r="D18" i="23" l="1"/>
  <c r="C18" i="23"/>
  <c r="E4" i="22" l="1"/>
  <c r="G4" i="22"/>
  <c r="K4" i="22" s="1"/>
  <c r="E5" i="22"/>
  <c r="E19" i="22" s="1"/>
  <c r="E6" i="22"/>
  <c r="G6" i="22"/>
  <c r="K6" i="22" s="1"/>
  <c r="E7" i="22"/>
  <c r="I7" i="22" s="1"/>
  <c r="E8" i="22"/>
  <c r="G8" i="22"/>
  <c r="K8" i="22" s="1"/>
  <c r="E9" i="22"/>
  <c r="G9" i="22" s="1"/>
  <c r="K9" i="22" s="1"/>
  <c r="E10" i="22"/>
  <c r="G10" i="22"/>
  <c r="K10" i="22" s="1"/>
  <c r="E11" i="22"/>
  <c r="I11" i="22" s="1"/>
  <c r="E12" i="22"/>
  <c r="G12" i="22"/>
  <c r="K12" i="22" s="1"/>
  <c r="E13" i="22"/>
  <c r="G13" i="22" s="1"/>
  <c r="K13" i="22" s="1"/>
  <c r="E14" i="22"/>
  <c r="G14" i="22"/>
  <c r="K14" i="22" s="1"/>
  <c r="E15" i="22"/>
  <c r="I15" i="22" s="1"/>
  <c r="F4" i="22"/>
  <c r="J4" i="22"/>
  <c r="F5" i="22"/>
  <c r="F21" i="22" s="1"/>
  <c r="F6" i="22"/>
  <c r="J6" i="22"/>
  <c r="F7" i="22"/>
  <c r="J7" i="22" s="1"/>
  <c r="F8" i="22"/>
  <c r="J8" i="22"/>
  <c r="F9" i="22"/>
  <c r="J9" i="22" s="1"/>
  <c r="F10" i="22"/>
  <c r="J10" i="22"/>
  <c r="F11" i="22"/>
  <c r="J11" i="22" s="1"/>
  <c r="F12" i="22"/>
  <c r="J12" i="22"/>
  <c r="F13" i="22"/>
  <c r="J13" i="22" s="1"/>
  <c r="F14" i="22"/>
  <c r="J14" i="22"/>
  <c r="F15" i="22"/>
  <c r="J15" i="22" s="1"/>
  <c r="F16" i="22"/>
  <c r="F17" i="22"/>
  <c r="J17" i="22" s="1"/>
  <c r="F3" i="22"/>
  <c r="F20" i="22"/>
  <c r="H4" i="22"/>
  <c r="H5" i="22"/>
  <c r="H6" i="22"/>
  <c r="H8" i="22"/>
  <c r="H9" i="22"/>
  <c r="H10" i="22"/>
  <c r="H12" i="22"/>
  <c r="H13" i="22"/>
  <c r="H14" i="22"/>
  <c r="E3" i="22"/>
  <c r="G3" i="22" s="1"/>
  <c r="H3" i="22"/>
  <c r="E16" i="22"/>
  <c r="J16" i="22" s="1"/>
  <c r="E17" i="22"/>
  <c r="G17" i="22" s="1"/>
  <c r="K17" i="22" s="1"/>
  <c r="H17" i="22"/>
  <c r="B18" i="22"/>
  <c r="B19" i="22"/>
  <c r="B20" i="22"/>
  <c r="B21" i="22"/>
  <c r="D18" i="22"/>
  <c r="I16" i="22"/>
  <c r="I3" i="22"/>
  <c r="I4" i="22"/>
  <c r="I6" i="22"/>
  <c r="I8" i="22"/>
  <c r="I10" i="22"/>
  <c r="I12" i="22"/>
  <c r="I14" i="22"/>
  <c r="D19" i="22"/>
  <c r="D20" i="22"/>
  <c r="D21" i="22"/>
  <c r="C21" i="22"/>
  <c r="C20" i="22"/>
  <c r="C19" i="22"/>
  <c r="C18" i="22"/>
  <c r="R5" i="21"/>
  <c r="F8" i="21"/>
  <c r="F9" i="21" s="1"/>
  <c r="I8" i="21"/>
  <c r="I9" i="21" s="1"/>
  <c r="J8" i="21"/>
  <c r="J9" i="21" s="1"/>
  <c r="N8" i="21"/>
  <c r="N9" i="21" s="1"/>
  <c r="B9" i="21"/>
  <c r="Q5" i="21"/>
  <c r="Q2" i="21"/>
  <c r="C7" i="21"/>
  <c r="D7" i="21"/>
  <c r="D8" i="21" s="1"/>
  <c r="D9" i="21" s="1"/>
  <c r="E7" i="21"/>
  <c r="E8" i="21" s="1"/>
  <c r="E9" i="21" s="1"/>
  <c r="F7" i="21"/>
  <c r="G7" i="21"/>
  <c r="G8" i="21" s="1"/>
  <c r="G9" i="21" s="1"/>
  <c r="H7" i="21"/>
  <c r="H8" i="21" s="1"/>
  <c r="H9" i="21" s="1"/>
  <c r="I7" i="21"/>
  <c r="J7" i="21"/>
  <c r="K7" i="21"/>
  <c r="K8" i="21" s="1"/>
  <c r="K9" i="21" s="1"/>
  <c r="L7" i="21"/>
  <c r="L8" i="21" s="1"/>
  <c r="L9" i="21" s="1"/>
  <c r="M7" i="21"/>
  <c r="M8" i="21" s="1"/>
  <c r="M9" i="21" s="1"/>
  <c r="N7" i="21"/>
  <c r="O7" i="21"/>
  <c r="O8" i="21" s="1"/>
  <c r="O9" i="21" s="1"/>
  <c r="P7" i="21"/>
  <c r="P8" i="21" s="1"/>
  <c r="P9" i="21" s="1"/>
  <c r="B7" i="21"/>
  <c r="B8" i="21" s="1"/>
  <c r="P17" i="20"/>
  <c r="O17" i="20"/>
  <c r="N17" i="20"/>
  <c r="M17" i="20"/>
  <c r="L17" i="20"/>
  <c r="L19" i="20" s="1"/>
  <c r="K17" i="20"/>
  <c r="J17" i="20"/>
  <c r="I17" i="20"/>
  <c r="H17" i="20"/>
  <c r="Q17" i="20" s="1"/>
  <c r="G17" i="20"/>
  <c r="F17" i="20"/>
  <c r="E17" i="20"/>
  <c r="D17" i="20"/>
  <c r="C17" i="20"/>
  <c r="B17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Q4" i="20"/>
  <c r="P3" i="20"/>
  <c r="P8" i="20" s="1"/>
  <c r="O3" i="20"/>
  <c r="O5" i="20"/>
  <c r="N3" i="20"/>
  <c r="M3" i="20"/>
  <c r="M5" i="20" s="1"/>
  <c r="L3" i="20"/>
  <c r="L14" i="20" s="1"/>
  <c r="K3" i="20"/>
  <c r="K8" i="20"/>
  <c r="J3" i="20"/>
  <c r="I3" i="20"/>
  <c r="I8" i="20" s="1"/>
  <c r="H3" i="20"/>
  <c r="G3" i="20"/>
  <c r="G6" i="20"/>
  <c r="F3" i="20"/>
  <c r="F15" i="20" s="1"/>
  <c r="E3" i="20"/>
  <c r="E14" i="20" s="1"/>
  <c r="D3" i="20"/>
  <c r="C3" i="20"/>
  <c r="C7" i="20"/>
  <c r="B3" i="20"/>
  <c r="P17" i="19"/>
  <c r="Q4" i="19"/>
  <c r="C17" i="19"/>
  <c r="D17" i="19"/>
  <c r="E17" i="19"/>
  <c r="E19" i="19" s="1"/>
  <c r="F17" i="19"/>
  <c r="F19" i="19" s="1"/>
  <c r="G17" i="19"/>
  <c r="H17" i="19"/>
  <c r="H19" i="19" s="1"/>
  <c r="I17" i="19"/>
  <c r="I19" i="19" s="1"/>
  <c r="J17" i="19"/>
  <c r="K17" i="19"/>
  <c r="L17" i="19"/>
  <c r="M17" i="19"/>
  <c r="M19" i="19"/>
  <c r="N17" i="19"/>
  <c r="N19" i="19" s="1"/>
  <c r="O17" i="19"/>
  <c r="B17" i="19"/>
  <c r="E15" i="19"/>
  <c r="I15" i="19"/>
  <c r="J15" i="19"/>
  <c r="M15" i="19"/>
  <c r="F14" i="19"/>
  <c r="H14" i="19"/>
  <c r="N14" i="19"/>
  <c r="P14" i="19"/>
  <c r="I8" i="19"/>
  <c r="N8" i="19"/>
  <c r="D7" i="19"/>
  <c r="E7" i="19"/>
  <c r="F7" i="19"/>
  <c r="M7" i="19"/>
  <c r="J6" i="19"/>
  <c r="L6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B12" i="19"/>
  <c r="B3" i="19"/>
  <c r="B14" i="19" s="1"/>
  <c r="E5" i="19"/>
  <c r="H5" i="19"/>
  <c r="C3" i="19"/>
  <c r="C15" i="19" s="1"/>
  <c r="D3" i="19"/>
  <c r="E3" i="19"/>
  <c r="E14" i="19" s="1"/>
  <c r="F3" i="19"/>
  <c r="F5" i="19" s="1"/>
  <c r="G3" i="19"/>
  <c r="G6" i="19" s="1"/>
  <c r="H3" i="19"/>
  <c r="I3" i="19"/>
  <c r="I14" i="19" s="1"/>
  <c r="J3" i="19"/>
  <c r="J8" i="19" s="1"/>
  <c r="K3" i="19"/>
  <c r="K14" i="19" s="1"/>
  <c r="L3" i="19"/>
  <c r="L15" i="19" s="1"/>
  <c r="M3" i="19"/>
  <c r="M14" i="19" s="1"/>
  <c r="N3" i="19"/>
  <c r="N6" i="19" s="1"/>
  <c r="O3" i="19"/>
  <c r="O14" i="19" s="1"/>
  <c r="P3" i="19"/>
  <c r="I6" i="20"/>
  <c r="L8" i="20"/>
  <c r="N8" i="20"/>
  <c r="B19" i="20"/>
  <c r="F19" i="20"/>
  <c r="N19" i="20"/>
  <c r="C19" i="20"/>
  <c r="G19" i="20"/>
  <c r="O19" i="20"/>
  <c r="N6" i="20"/>
  <c r="C14" i="20"/>
  <c r="G14" i="20"/>
  <c r="O14" i="20"/>
  <c r="O15" i="20"/>
  <c r="D5" i="20"/>
  <c r="O7" i="20"/>
  <c r="P14" i="20"/>
  <c r="P6" i="20"/>
  <c r="F7" i="20"/>
  <c r="J8" i="20"/>
  <c r="M14" i="20"/>
  <c r="K14" i="20"/>
  <c r="C15" i="20"/>
  <c r="F5" i="20"/>
  <c r="B6" i="20"/>
  <c r="K6" i="20"/>
  <c r="B14" i="20"/>
  <c r="F14" i="20"/>
  <c r="J14" i="20"/>
  <c r="G9" i="18"/>
  <c r="G7" i="18"/>
  <c r="M7" i="18"/>
  <c r="N7" i="18"/>
  <c r="M8" i="18"/>
  <c r="N8" i="18"/>
  <c r="E2" i="18"/>
  <c r="E18" i="18" s="1"/>
  <c r="I10" i="18"/>
  <c r="M10" i="18"/>
  <c r="H3" i="18"/>
  <c r="H4" i="18"/>
  <c r="H5" i="18"/>
  <c r="H6" i="18"/>
  <c r="H8" i="18"/>
  <c r="H10" i="18"/>
  <c r="H11" i="18"/>
  <c r="H12" i="18"/>
  <c r="H13" i="18"/>
  <c r="H14" i="18"/>
  <c r="H15" i="18"/>
  <c r="H16" i="18"/>
  <c r="H2" i="18"/>
  <c r="F3" i="18"/>
  <c r="E3" i="18"/>
  <c r="C3" i="18"/>
  <c r="D3" i="18" s="1"/>
  <c r="E4" i="18"/>
  <c r="F4" i="18" s="1"/>
  <c r="E5" i="18"/>
  <c r="F5" i="18"/>
  <c r="E6" i="18"/>
  <c r="F6" i="18" s="1"/>
  <c r="E8" i="18"/>
  <c r="F8" i="18" s="1"/>
  <c r="E10" i="18"/>
  <c r="E11" i="18"/>
  <c r="C11" i="18"/>
  <c r="D11" i="18" s="1"/>
  <c r="E12" i="18"/>
  <c r="F12" i="18"/>
  <c r="E13" i="18"/>
  <c r="C13" i="18" s="1"/>
  <c r="D13" i="18" s="1"/>
  <c r="E14" i="18"/>
  <c r="F14" i="18"/>
  <c r="E15" i="18"/>
  <c r="C15" i="18" s="1"/>
  <c r="D15" i="18" s="1"/>
  <c r="E16" i="18"/>
  <c r="F16" i="18" s="1"/>
  <c r="E9" i="18"/>
  <c r="F9" i="18" s="1"/>
  <c r="N3" i="18"/>
  <c r="N4" i="18"/>
  <c r="N5" i="18"/>
  <c r="N6" i="18"/>
  <c r="N9" i="18"/>
  <c r="N10" i="18"/>
  <c r="N11" i="18"/>
  <c r="N12" i="18"/>
  <c r="N13" i="18"/>
  <c r="N14" i="18"/>
  <c r="N15" i="18"/>
  <c r="N16" i="18"/>
  <c r="N2" i="18"/>
  <c r="M3" i="18"/>
  <c r="M4" i="18"/>
  <c r="M5" i="18"/>
  <c r="M6" i="18"/>
  <c r="M9" i="18"/>
  <c r="M11" i="18"/>
  <c r="M12" i="18"/>
  <c r="M13" i="18"/>
  <c r="M14" i="18"/>
  <c r="M15" i="18"/>
  <c r="M16" i="18"/>
  <c r="M2" i="18"/>
  <c r="C6" i="18"/>
  <c r="D6" i="18"/>
  <c r="C14" i="18"/>
  <c r="D14" i="18"/>
  <c r="F11" i="18"/>
  <c r="D9" i="18"/>
  <c r="C5" i="18"/>
  <c r="D5" i="18"/>
  <c r="C12" i="18"/>
  <c r="D12" i="18"/>
  <c r="H9" i="18"/>
  <c r="N16" i="17"/>
  <c r="N15" i="17"/>
  <c r="N14" i="17"/>
  <c r="N13" i="17"/>
  <c r="N12" i="17"/>
  <c r="N11" i="17"/>
  <c r="N10" i="17"/>
  <c r="N9" i="17"/>
  <c r="N8" i="17"/>
  <c r="N7" i="17"/>
  <c r="N6" i="17"/>
  <c r="N5" i="17"/>
  <c r="N4" i="17"/>
  <c r="N3" i="17"/>
  <c r="N2" i="17"/>
  <c r="N2" i="6"/>
  <c r="D7" i="18"/>
  <c r="R26" i="13"/>
  <c r="Q25" i="13"/>
  <c r="S25" i="13" s="1"/>
  <c r="P25" i="13"/>
  <c r="R25" i="13" s="1"/>
  <c r="P26" i="13"/>
  <c r="Q26" i="13" s="1"/>
  <c r="P27" i="13"/>
  <c r="R27" i="13" s="1"/>
  <c r="T27" i="13" s="1"/>
  <c r="U18" i="15"/>
  <c r="W18" i="15"/>
  <c r="X18" i="15"/>
  <c r="Y18" i="15"/>
  <c r="U19" i="15"/>
  <c r="W19" i="15"/>
  <c r="X19" i="15"/>
  <c r="Y19" i="15"/>
  <c r="U20" i="15"/>
  <c r="W20" i="15"/>
  <c r="X20" i="15"/>
  <c r="Y20" i="15"/>
  <c r="W16" i="15"/>
  <c r="X16" i="15"/>
  <c r="Y16" i="15"/>
  <c r="E18" i="15"/>
  <c r="G18" i="15"/>
  <c r="I18" i="15"/>
  <c r="J18" i="15"/>
  <c r="L18" i="15"/>
  <c r="M18" i="15"/>
  <c r="N18" i="15"/>
  <c r="O18" i="15"/>
  <c r="P18" i="15"/>
  <c r="R18" i="15"/>
  <c r="E19" i="15"/>
  <c r="G19" i="15"/>
  <c r="I19" i="15"/>
  <c r="J19" i="15"/>
  <c r="L19" i="15"/>
  <c r="M19" i="15"/>
  <c r="N19" i="15"/>
  <c r="O19" i="15"/>
  <c r="P19" i="15"/>
  <c r="R19" i="15"/>
  <c r="E20" i="15"/>
  <c r="G20" i="15"/>
  <c r="I20" i="15"/>
  <c r="J20" i="15"/>
  <c r="L20" i="15"/>
  <c r="M20" i="15"/>
  <c r="N20" i="15"/>
  <c r="O20" i="15"/>
  <c r="P20" i="15"/>
  <c r="R20" i="15"/>
  <c r="B20" i="15"/>
  <c r="Z20" i="15" s="1"/>
  <c r="AA20" i="15" s="1"/>
  <c r="B19" i="15"/>
  <c r="B18" i="15"/>
  <c r="Z18" i="15" s="1"/>
  <c r="AA18" i="15" s="1"/>
  <c r="Z3" i="15"/>
  <c r="AA3" i="15" s="1"/>
  <c r="Z4" i="15"/>
  <c r="AA4" i="15"/>
  <c r="Z5" i="15"/>
  <c r="AA5" i="15" s="1"/>
  <c r="Z6" i="15"/>
  <c r="AA6" i="15"/>
  <c r="Z7" i="15"/>
  <c r="AA7" i="15" s="1"/>
  <c r="Z8" i="15"/>
  <c r="AA8" i="15"/>
  <c r="Z9" i="15"/>
  <c r="AA9" i="15" s="1"/>
  <c r="Z10" i="15"/>
  <c r="AA10" i="15"/>
  <c r="Z11" i="15"/>
  <c r="AA11" i="15" s="1"/>
  <c r="Z12" i="15"/>
  <c r="AA12" i="15"/>
  <c r="Z13" i="15"/>
  <c r="AA13" i="15" s="1"/>
  <c r="Z14" i="15"/>
  <c r="AA14" i="15"/>
  <c r="Z15" i="15"/>
  <c r="AA15" i="15" s="1"/>
  <c r="Z2" i="15"/>
  <c r="AA2" i="15"/>
  <c r="E16" i="15"/>
  <c r="G16" i="15"/>
  <c r="I16" i="15"/>
  <c r="J16" i="15"/>
  <c r="L16" i="15"/>
  <c r="M16" i="15"/>
  <c r="N16" i="15"/>
  <c r="O16" i="15"/>
  <c r="P16" i="15"/>
  <c r="R16" i="15"/>
  <c r="U16" i="15"/>
  <c r="B16" i="15"/>
  <c r="Z19" i="15"/>
  <c r="AA19" i="15" s="1"/>
  <c r="K27" i="13"/>
  <c r="J26" i="13"/>
  <c r="J6" i="13"/>
  <c r="J8" i="13"/>
  <c r="J10" i="13"/>
  <c r="J11" i="13"/>
  <c r="J13" i="13"/>
  <c r="J14" i="13"/>
  <c r="J15" i="13"/>
  <c r="J16" i="13"/>
  <c r="J17" i="13"/>
  <c r="J19" i="13"/>
  <c r="J22" i="13"/>
  <c r="J24" i="13"/>
  <c r="J25" i="13"/>
  <c r="J3" i="13"/>
  <c r="J27" i="13" s="1"/>
  <c r="J31" i="13" s="1"/>
  <c r="I27" i="13"/>
  <c r="I28" i="13"/>
  <c r="G28" i="13"/>
  <c r="G27" i="13"/>
  <c r="H27" i="13"/>
  <c r="H28" i="13"/>
  <c r="F6" i="13"/>
  <c r="F8" i="13"/>
  <c r="F28" i="13" s="1"/>
  <c r="F10" i="13"/>
  <c r="F11" i="13"/>
  <c r="F13" i="13"/>
  <c r="F14" i="13"/>
  <c r="F15" i="13"/>
  <c r="F16" i="13"/>
  <c r="F17" i="13"/>
  <c r="F19" i="13"/>
  <c r="F22" i="13"/>
  <c r="F24" i="13"/>
  <c r="F25" i="13"/>
  <c r="F26" i="13"/>
  <c r="F3" i="13"/>
  <c r="B27" i="13"/>
  <c r="F27" i="13"/>
  <c r="L26" i="6"/>
  <c r="L28" i="6" s="1"/>
  <c r="L29" i="6" s="1"/>
  <c r="L27" i="6"/>
  <c r="K27" i="6" s="1"/>
  <c r="D26" i="6"/>
  <c r="B26" i="6"/>
  <c r="C26" i="6"/>
  <c r="J26" i="6"/>
  <c r="M26" i="6"/>
  <c r="Q26" i="7"/>
  <c r="N19" i="6"/>
  <c r="N4" i="6"/>
  <c r="N3" i="6"/>
  <c r="N5" i="6"/>
  <c r="N6" i="6"/>
  <c r="N7" i="6"/>
  <c r="N9" i="6"/>
  <c r="N10" i="6"/>
  <c r="N12" i="6"/>
  <c r="N13" i="6"/>
  <c r="N14" i="6"/>
  <c r="N15" i="6"/>
  <c r="N16" i="6"/>
  <c r="N18" i="6"/>
  <c r="N21" i="6"/>
  <c r="N23" i="6"/>
  <c r="N24" i="6"/>
  <c r="N25" i="6"/>
  <c r="N26" i="6"/>
  <c r="C26" i="7"/>
  <c r="F2" i="18"/>
  <c r="C2" i="18"/>
  <c r="D2" i="18"/>
  <c r="H7" i="18"/>
  <c r="E7" i="18"/>
  <c r="E17" i="18" s="1"/>
  <c r="F7" i="18"/>
  <c r="AA16" i="15" l="1"/>
  <c r="C17" i="18"/>
  <c r="Q27" i="13"/>
  <c r="C10" i="18"/>
  <c r="D10" i="18" s="1"/>
  <c r="F10" i="18"/>
  <c r="O7" i="19"/>
  <c r="G8" i="19"/>
  <c r="C14" i="19"/>
  <c r="Q14" i="19" s="1"/>
  <c r="G15" i="19"/>
  <c r="K19" i="19"/>
  <c r="C19" i="19"/>
  <c r="Q17" i="19"/>
  <c r="H22" i="20"/>
  <c r="H21" i="20"/>
  <c r="H23" i="20" s="1"/>
  <c r="H7" i="20"/>
  <c r="H15" i="20"/>
  <c r="E19" i="20"/>
  <c r="J28" i="13"/>
  <c r="F15" i="18"/>
  <c r="C8" i="18"/>
  <c r="D8" i="18" s="1"/>
  <c r="C16" i="18"/>
  <c r="D16" i="18" s="1"/>
  <c r="F13" i="18"/>
  <c r="F18" i="18" s="1"/>
  <c r="I14" i="20"/>
  <c r="E5" i="20"/>
  <c r="H5" i="20"/>
  <c r="M7" i="20"/>
  <c r="I19" i="20"/>
  <c r="O5" i="19"/>
  <c r="C5" i="19"/>
  <c r="K6" i="19"/>
  <c r="C7" i="19"/>
  <c r="Q7" i="19" s="1"/>
  <c r="L8" i="19"/>
  <c r="L14" i="19"/>
  <c r="G14" i="19"/>
  <c r="B15" i="19"/>
  <c r="Q15" i="19" s="1"/>
  <c r="K15" i="19"/>
  <c r="F15" i="19"/>
  <c r="B19" i="19"/>
  <c r="C22" i="20"/>
  <c r="Q22" i="20" s="1"/>
  <c r="C21" i="20"/>
  <c r="C5" i="20"/>
  <c r="I15" i="20"/>
  <c r="K19" i="20"/>
  <c r="K15" i="20"/>
  <c r="N15" i="20"/>
  <c r="N14" i="20"/>
  <c r="M19" i="20"/>
  <c r="Z16" i="15"/>
  <c r="F17" i="18"/>
  <c r="Q3" i="20"/>
  <c r="Q19" i="20" s="1"/>
  <c r="H14" i="20"/>
  <c r="H19" i="20"/>
  <c r="E7" i="20"/>
  <c r="Q7" i="20" s="1"/>
  <c r="B6" i="19"/>
  <c r="K8" i="19"/>
  <c r="O15" i="19"/>
  <c r="O19" i="19"/>
  <c r="G19" i="19"/>
  <c r="Q3" i="19"/>
  <c r="D15" i="20"/>
  <c r="D14" i="20"/>
  <c r="Q14" i="20" s="1"/>
  <c r="L15" i="20"/>
  <c r="L6" i="20"/>
  <c r="R9" i="21"/>
  <c r="Q9" i="21"/>
  <c r="K3" i="22"/>
  <c r="C4" i="18"/>
  <c r="D4" i="18" s="1"/>
  <c r="C18" i="18"/>
  <c r="P15" i="20"/>
  <c r="D19" i="20"/>
  <c r="D7" i="20"/>
  <c r="P15" i="19"/>
  <c r="P8" i="19"/>
  <c r="H15" i="19"/>
  <c r="H7" i="19"/>
  <c r="D15" i="19"/>
  <c r="D5" i="19"/>
  <c r="P6" i="19"/>
  <c r="B8" i="19"/>
  <c r="J14" i="19"/>
  <c r="D14" i="19"/>
  <c r="N15" i="19"/>
  <c r="L19" i="19"/>
  <c r="D19" i="19"/>
  <c r="J19" i="19"/>
  <c r="B15" i="20"/>
  <c r="B8" i="20"/>
  <c r="E15" i="20"/>
  <c r="G8" i="20"/>
  <c r="G15" i="20"/>
  <c r="J15" i="20"/>
  <c r="J19" i="20"/>
  <c r="J6" i="20"/>
  <c r="M15" i="20"/>
  <c r="O22" i="20"/>
  <c r="O21" i="20"/>
  <c r="Q7" i="21"/>
  <c r="C8" i="21"/>
  <c r="C9" i="21" s="1"/>
  <c r="I17" i="22"/>
  <c r="H16" i="22"/>
  <c r="H20" i="22" s="1"/>
  <c r="H15" i="22"/>
  <c r="H11" i="22"/>
  <c r="H7" i="22"/>
  <c r="H19" i="22" s="1"/>
  <c r="F18" i="22"/>
  <c r="G16" i="22"/>
  <c r="K16" i="22" s="1"/>
  <c r="I13" i="22"/>
  <c r="I9" i="22"/>
  <c r="I5" i="22"/>
  <c r="F19" i="22"/>
  <c r="J5" i="22"/>
  <c r="J3" i="22"/>
  <c r="G15" i="22"/>
  <c r="K15" i="22" s="1"/>
  <c r="G11" i="22"/>
  <c r="K11" i="22" s="1"/>
  <c r="G7" i="22"/>
  <c r="K7" i="22" s="1"/>
  <c r="G5" i="22"/>
  <c r="K5" i="22" s="1"/>
  <c r="M5" i="19"/>
  <c r="I6" i="19"/>
  <c r="E21" i="22"/>
  <c r="E20" i="22"/>
  <c r="E18" i="22"/>
  <c r="J20" i="22" l="1"/>
  <c r="J19" i="22"/>
  <c r="J18" i="22"/>
  <c r="J21" i="22"/>
  <c r="I18" i="22"/>
  <c r="I19" i="22"/>
  <c r="I20" i="22"/>
  <c r="I21" i="22"/>
  <c r="G21" i="22"/>
  <c r="L7" i="22"/>
  <c r="L11" i="22"/>
  <c r="L15" i="22"/>
  <c r="L4" i="22"/>
  <c r="L8" i="22"/>
  <c r="L12" i="22"/>
  <c r="L16" i="22"/>
  <c r="L5" i="22"/>
  <c r="L9" i="22"/>
  <c r="L13" i="22"/>
  <c r="L17" i="22"/>
  <c r="L6" i="22"/>
  <c r="L10" i="22"/>
  <c r="L14" i="22"/>
  <c r="L3" i="22"/>
  <c r="O23" i="20"/>
  <c r="Q8" i="20"/>
  <c r="Q8" i="19"/>
  <c r="G18" i="22"/>
  <c r="H18" i="22"/>
  <c r="G19" i="22"/>
  <c r="H21" i="22"/>
  <c r="Q15" i="20"/>
  <c r="G20" i="22"/>
  <c r="K20" i="22"/>
  <c r="K19" i="22"/>
  <c r="K18" i="22"/>
  <c r="K21" i="22"/>
  <c r="Q8" i="21"/>
  <c r="Q21" i="20"/>
  <c r="C23" i="20"/>
  <c r="Q19" i="19"/>
  <c r="L18" i="22" l="1"/>
  <c r="L19" i="22"/>
  <c r="L20" i="22"/>
  <c r="L21" i="22"/>
  <c r="M7" i="22"/>
  <c r="M11" i="22"/>
  <c r="M15" i="22"/>
  <c r="M4" i="22"/>
  <c r="M8" i="22"/>
  <c r="M12" i="22"/>
  <c r="M16" i="22"/>
  <c r="M5" i="22"/>
  <c r="M9" i="22"/>
  <c r="M13" i="22"/>
  <c r="M17" i="22"/>
  <c r="M6" i="22"/>
  <c r="M10" i="22"/>
  <c r="M14" i="22"/>
  <c r="M3" i="22"/>
  <c r="M21" i="22" l="1"/>
  <c r="M20" i="22"/>
  <c r="M19" i="22"/>
  <c r="M18" i="22"/>
</calcChain>
</file>

<file path=xl/sharedStrings.xml><?xml version="1.0" encoding="utf-8"?>
<sst xmlns="http://schemas.openxmlformats.org/spreadsheetml/2006/main" count="538" uniqueCount="215">
  <si>
    <t>male</t>
  </si>
  <si>
    <t>subject</t>
  </si>
  <si>
    <t>testDate</t>
  </si>
  <si>
    <t>mass</t>
  </si>
  <si>
    <t>height</t>
  </si>
  <si>
    <t>gender</t>
  </si>
  <si>
    <t>dob</t>
  </si>
  <si>
    <t>01/01/96</t>
  </si>
  <si>
    <t>subject01</t>
  </si>
  <si>
    <t>subject02</t>
  </si>
  <si>
    <t>subject04</t>
  </si>
  <si>
    <t>subject05</t>
  </si>
  <si>
    <t>subject06</t>
  </si>
  <si>
    <t>subject08</t>
  </si>
  <si>
    <t>subject09</t>
  </si>
  <si>
    <t>subject11</t>
  </si>
  <si>
    <t>subject12</t>
  </si>
  <si>
    <t>subject13</t>
  </si>
  <si>
    <t>subject14</t>
  </si>
  <si>
    <t>subject15</t>
  </si>
  <si>
    <t>subject17</t>
  </si>
  <si>
    <t>subject20</t>
  </si>
  <si>
    <t>subject22</t>
  </si>
  <si>
    <t>subject23</t>
  </si>
  <si>
    <t>subject24</t>
  </si>
  <si>
    <t>01/01/95</t>
  </si>
  <si>
    <t>01/01/91</t>
  </si>
  <si>
    <t>01/01/97</t>
  </si>
  <si>
    <t>01/01/80</t>
  </si>
  <si>
    <t>01/01/88</t>
  </si>
  <si>
    <t>01/01/93</t>
  </si>
  <si>
    <t>01/01/78</t>
  </si>
  <si>
    <t>01/01/90</t>
  </si>
  <si>
    <t>01/01/75</t>
  </si>
  <si>
    <t>01/01/92</t>
  </si>
  <si>
    <t>trainingStatus</t>
  </si>
  <si>
    <t>Trained</t>
  </si>
  <si>
    <t>Untrained</t>
  </si>
  <si>
    <t>frameRate</t>
  </si>
  <si>
    <t>Left</t>
  </si>
  <si>
    <t>Right</t>
  </si>
  <si>
    <t>sessionTiming</t>
  </si>
  <si>
    <t>Pre-paint</t>
  </si>
  <si>
    <t>Post-paint</t>
  </si>
  <si>
    <t>peakPower</t>
  </si>
  <si>
    <t>cadence</t>
  </si>
  <si>
    <t>relativePower</t>
  </si>
  <si>
    <t>09/01/17</t>
  </si>
  <si>
    <t>crankSide</t>
  </si>
  <si>
    <t>samplingFactor</t>
  </si>
  <si>
    <t>no</t>
  </si>
  <si>
    <t>yes</t>
  </si>
  <si>
    <t>subject03</t>
  </si>
  <si>
    <t>subject07</t>
  </si>
  <si>
    <t>subject10</t>
  </si>
  <si>
    <t>subject16</t>
  </si>
  <si>
    <t>subject18</t>
  </si>
  <si>
    <t>subject19</t>
  </si>
  <si>
    <t>subject21</t>
  </si>
  <si>
    <t>aa</t>
  </si>
  <si>
    <t>bb</t>
  </si>
  <si>
    <t>cm</t>
  </si>
  <si>
    <t>dm</t>
  </si>
  <si>
    <t>es</t>
  </si>
  <si>
    <t>gl</t>
  </si>
  <si>
    <t>gs</t>
  </si>
  <si>
    <t>hc</t>
  </si>
  <si>
    <t>jc</t>
  </si>
  <si>
    <t>jh</t>
  </si>
  <si>
    <t>js</t>
  </si>
  <si>
    <t>jw</t>
  </si>
  <si>
    <t>kd</t>
  </si>
  <si>
    <t>lp</t>
  </si>
  <si>
    <t>ma</t>
  </si>
  <si>
    <t>mr</t>
  </si>
  <si>
    <t>ra</t>
  </si>
  <si>
    <t>rm</t>
  </si>
  <si>
    <t>rw</t>
  </si>
  <si>
    <t>sb</t>
  </si>
  <si>
    <t>sk</t>
  </si>
  <si>
    <t>sn</t>
  </si>
  <si>
    <t>tf</t>
  </si>
  <si>
    <t>ts</t>
  </si>
  <si>
    <t>Kinematics</t>
  </si>
  <si>
    <t>Kinetics</t>
  </si>
  <si>
    <t>COM</t>
  </si>
  <si>
    <t>EMG</t>
  </si>
  <si>
    <t>27/09/17</t>
  </si>
  <si>
    <t>30/11/88</t>
  </si>
  <si>
    <t>female</t>
  </si>
  <si>
    <t>31/08/17</t>
  </si>
  <si>
    <t>13/09/96</t>
  </si>
  <si>
    <t>Data</t>
  </si>
  <si>
    <t>no right pedal force</t>
  </si>
  <si>
    <t>no analog data</t>
  </si>
  <si>
    <t>Standing max</t>
  </si>
  <si>
    <t>Delete</t>
  </si>
  <si>
    <t>EMA</t>
  </si>
  <si>
    <t>Total</t>
  </si>
  <si>
    <t>Study 1</t>
  </si>
  <si>
    <t>Y/N</t>
  </si>
  <si>
    <t>Subject</t>
  </si>
  <si>
    <t>Age</t>
  </si>
  <si>
    <t>Height</t>
  </si>
  <si>
    <t>Mass</t>
  </si>
  <si>
    <t>YOB</t>
  </si>
  <si>
    <t>yrs</t>
  </si>
  <si>
    <t>m</t>
  </si>
  <si>
    <t>kg</t>
  </si>
  <si>
    <t>Power</t>
  </si>
  <si>
    <t>W</t>
  </si>
  <si>
    <t>W/kg</t>
  </si>
  <si>
    <t>50% W/kg</t>
  </si>
  <si>
    <t>n=</t>
  </si>
  <si>
    <t>within10%</t>
  </si>
  <si>
    <t>Cut-off</t>
  </si>
  <si>
    <t>0.9 to 1.4</t>
  </si>
  <si>
    <t>0.9 to 1.3</t>
  </si>
  <si>
    <t>0.7 to 1.3</t>
  </si>
  <si>
    <t>0.8 to 1.2</t>
  </si>
  <si>
    <t>Scale</t>
  </si>
  <si>
    <t>Muscle Analysis</t>
  </si>
  <si>
    <t>Point Kinematics</t>
  </si>
  <si>
    <t>Body Kinematics</t>
  </si>
  <si>
    <t>Inverse Kinematics</t>
  </si>
  <si>
    <t>External Loads</t>
  </si>
  <si>
    <t>Inverse Dynamics</t>
  </si>
  <si>
    <t>Inclusion</t>
  </si>
  <si>
    <t>Seated100</t>
  </si>
  <si>
    <t>Seated1070</t>
  </si>
  <si>
    <t>Seated5070</t>
  </si>
  <si>
    <t>Seated3070</t>
  </si>
  <si>
    <t>Seated10120</t>
  </si>
  <si>
    <t>Seated30120</t>
  </si>
  <si>
    <t>Seated50120</t>
  </si>
  <si>
    <t>Standing100</t>
  </si>
  <si>
    <t>Standing1070</t>
  </si>
  <si>
    <t>Standing3070</t>
  </si>
  <si>
    <t>Standing5070</t>
  </si>
  <si>
    <t>Standing10120</t>
  </si>
  <si>
    <t>Standing30120</t>
  </si>
  <si>
    <t>Standing50120</t>
  </si>
  <si>
    <t>Mean</t>
  </si>
  <si>
    <t>Mean 120</t>
  </si>
  <si>
    <t>Mean 70</t>
  </si>
  <si>
    <t>Mean Max</t>
  </si>
  <si>
    <t>Time</t>
  </si>
  <si>
    <t>Trq 70</t>
  </si>
  <si>
    <t>Trq 120</t>
  </si>
  <si>
    <t>Imp70</t>
  </si>
  <si>
    <t>Imp120</t>
  </si>
  <si>
    <t>Experimental Data Variables</t>
  </si>
  <si>
    <t>sitstand</t>
  </si>
  <si>
    <t>condition</t>
  </si>
  <si>
    <t>measurement</t>
  </si>
  <si>
    <t>(1:15)</t>
  </si>
  <si>
    <t>ID</t>
  </si>
  <si>
    <t>lowCut</t>
  </si>
  <si>
    <t>highCut</t>
  </si>
  <si>
    <t>inclusion</t>
  </si>
  <si>
    <t>age</t>
  </si>
  <si>
    <t>Pmax (W)</t>
  </si>
  <si>
    <t>Pmax (W/kg)</t>
  </si>
  <si>
    <t>Mean (W)</t>
  </si>
  <si>
    <t>SD (W)</t>
  </si>
  <si>
    <t>50% Pmax (W)</t>
  </si>
  <si>
    <t>50% Pmax (W/kg)</t>
  </si>
  <si>
    <t>Target Power for right crank (W)</t>
  </si>
  <si>
    <t>Target Power for right crank (W/kg)</t>
  </si>
  <si>
    <t>Crank power - Seated 70 RPM (W)</t>
  </si>
  <si>
    <t>Crank power - Seated 120 RPM (W)</t>
  </si>
  <si>
    <t>Crank power - Standing 70 RPM (W)</t>
  </si>
  <si>
    <t>Crank power - Standing 120 RPM (W)</t>
  </si>
  <si>
    <t>Left crank power available?</t>
  </si>
  <si>
    <t>LODE</t>
  </si>
  <si>
    <t>LvC (W)</t>
  </si>
  <si>
    <t>LvC (%)</t>
  </si>
  <si>
    <t>Crank_r</t>
  </si>
  <si>
    <t>Crank_l</t>
  </si>
  <si>
    <t>Crank_total</t>
  </si>
  <si>
    <t>Cadence (RPM)</t>
  </si>
  <si>
    <t>L:R</t>
  </si>
  <si>
    <t>LvC (W) r only</t>
  </si>
  <si>
    <t>LvC (%) r only</t>
  </si>
  <si>
    <t>Crank as % of LODE</t>
  </si>
  <si>
    <t>LODE as % of Crank</t>
  </si>
  <si>
    <t>50% of LODE as % of Crank</t>
  </si>
  <si>
    <t>50% of LODE (W)</t>
  </si>
  <si>
    <t>NaN</t>
  </si>
  <si>
    <t>Pmax_r</t>
  </si>
  <si>
    <t>Pmax_Lode</t>
  </si>
  <si>
    <t>Pmax_l</t>
  </si>
  <si>
    <t>Lode / Pmax_r</t>
  </si>
  <si>
    <t>Pmax_ave</t>
  </si>
  <si>
    <t>SD</t>
  </si>
  <si>
    <t>Min</t>
  </si>
  <si>
    <t>Max</t>
  </si>
  <si>
    <t>Pmax [Peak]
(W)</t>
  </si>
  <si>
    <t>Pmax [Cycle]
(W)</t>
  </si>
  <si>
    <t>Individualised Target 
[50% Pmax [Peak]] 
(W)</t>
  </si>
  <si>
    <t>Theoretical Intensity 
[802 W:Pmax [Cycle]]
(W)</t>
  </si>
  <si>
    <t>Experimental Intensity 
[50% Pmax:Pmax [Cycle]]
(W)</t>
  </si>
  <si>
    <t>Mass 
(kg)</t>
  </si>
  <si>
    <t>Individualised Target 
[50% Pmax [Peak]] 
(W/kg)</t>
  </si>
  <si>
    <t>Theoretical Intensity 
[10.74:Pmax [Cycle]]
(W/kg)</t>
  </si>
  <si>
    <t>Left Crank Power</t>
  </si>
  <si>
    <t>Standing Max Trial</t>
  </si>
  <si>
    <t>Both</t>
  </si>
  <si>
    <t>Individualised Target 
[30% Pmax [Peak]] 
(W)</t>
  </si>
  <si>
    <t>Experimental Intensity 
[30% Pmax:Pmax [Cycle]]
(W)</t>
  </si>
  <si>
    <t>Individualised Target 
[10% Pmax [Peak]] 
(W)</t>
  </si>
  <si>
    <t>Experimental Intensity 
[10% Pmax:Pmax [Cycle]]
(W)</t>
  </si>
  <si>
    <t>Club</t>
  </si>
  <si>
    <t>Novice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</si>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</sst>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%"/>
    <numFmt numFmtId="167" formatCode="0.0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 tint="-0.499984740745262"/>
      <name val="Times New Roman"/>
      <family val="1"/>
    </font>
    <font>
      <sz val="11"/>
      <color theme="0"/>
      <name val="Times New Roman"/>
      <family val="1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3" fillId="4" borderId="1" applyNumberFormat="0" applyAlignment="0" applyProtection="0"/>
    <xf numFmtId="9" fontId="4" fillId="0" borderId="0" applyFont="0" applyFill="0" applyBorder="0" applyAlignment="0" applyProtection="0"/>
    <xf numFmtId="0" fontId="7" fillId="8" borderId="0" applyNumberFormat="0" applyBorder="0" applyAlignment="0" applyProtection="0"/>
    <xf numFmtId="0" fontId="8" fillId="4" borderId="3" applyNumberFormat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49" fontId="0" fillId="0" borderId="0" xfId="0" applyNumberFormat="1" applyAlignment="1">
      <alignment horizontal="center"/>
    </xf>
    <xf numFmtId="0" fontId="0" fillId="2" borderId="0" xfId="0" applyFill="1"/>
    <xf numFmtId="49" fontId="0" fillId="0" borderId="0" xfId="0" applyNumberFormat="1"/>
    <xf numFmtId="0" fontId="0" fillId="3" borderId="0" xfId="0" applyFill="1"/>
    <xf numFmtId="0" fontId="0" fillId="0" borderId="0" xfId="0" applyFill="1"/>
    <xf numFmtId="0" fontId="2" fillId="3" borderId="0" xfId="0" applyFont="1" applyFill="1"/>
    <xf numFmtId="164" fontId="0" fillId="0" borderId="0" xfId="0" applyNumberFormat="1"/>
    <xf numFmtId="14" fontId="0" fillId="0" borderId="0" xfId="0" applyNumberFormat="1" applyAlignment="1">
      <alignment horizontal="center"/>
    </xf>
    <xf numFmtId="2" fontId="0" fillId="0" borderId="0" xfId="0" applyNumberFormat="1"/>
    <xf numFmtId="2" fontId="3" fillId="4" borderId="1" xfId="1" applyNumberFormat="1"/>
    <xf numFmtId="0" fontId="0" fillId="0" borderId="0" xfId="0" applyAlignment="1">
      <alignment horizontal="right"/>
    </xf>
    <xf numFmtId="9" fontId="0" fillId="0" borderId="0" xfId="0" applyNumberFormat="1"/>
    <xf numFmtId="165" fontId="3" fillId="4" borderId="1" xfId="1" applyNumberFormat="1"/>
    <xf numFmtId="0" fontId="0" fillId="0" borderId="0" xfId="0" applyAlignment="1">
      <alignment horizontal="center" wrapText="1"/>
    </xf>
    <xf numFmtId="0" fontId="0" fillId="5" borderId="0" xfId="0" applyFill="1"/>
    <xf numFmtId="0" fontId="1" fillId="5" borderId="0" xfId="0" applyFont="1" applyFill="1"/>
    <xf numFmtId="0" fontId="1" fillId="2" borderId="0" xfId="0" applyFont="1" applyFill="1"/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6" borderId="0" xfId="0" applyFill="1"/>
    <xf numFmtId="0" fontId="1" fillId="6" borderId="0" xfId="0" applyFont="1" applyFill="1"/>
    <xf numFmtId="166" fontId="0" fillId="0" borderId="0" xfId="2" applyNumberFormat="1" applyFont="1"/>
    <xf numFmtId="0" fontId="5" fillId="0" borderId="0" xfId="0" applyFont="1"/>
    <xf numFmtId="2" fontId="5" fillId="0" borderId="0" xfId="0" applyNumberFormat="1" applyFont="1"/>
    <xf numFmtId="164" fontId="5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166" fontId="5" fillId="0" borderId="0" xfId="2" applyNumberFormat="1" applyFont="1"/>
    <xf numFmtId="0" fontId="5" fillId="0" borderId="0" xfId="0" applyFont="1" applyAlignment="1">
      <alignment wrapText="1"/>
    </xf>
    <xf numFmtId="0" fontId="6" fillId="7" borderId="2" xfId="0" applyFont="1" applyFill="1" applyBorder="1" applyAlignment="1">
      <alignment horizontal="center" wrapText="1"/>
    </xf>
    <xf numFmtId="0" fontId="5" fillId="0" borderId="2" xfId="0" applyFont="1" applyBorder="1"/>
    <xf numFmtId="164" fontId="5" fillId="0" borderId="2" xfId="0" applyNumberFormat="1" applyFont="1" applyBorder="1"/>
    <xf numFmtId="164" fontId="5" fillId="0" borderId="2" xfId="0" applyNumberFormat="1" applyFont="1" applyBorder="1" applyAlignment="1">
      <alignment horizontal="right"/>
    </xf>
    <xf numFmtId="164" fontId="5" fillId="0" borderId="2" xfId="0" applyNumberFormat="1" applyFont="1" applyBorder="1" applyAlignment="1">
      <alignment horizontal="right" vertical="center"/>
    </xf>
    <xf numFmtId="9" fontId="0" fillId="0" borderId="0" xfId="2" applyFont="1"/>
    <xf numFmtId="1" fontId="0" fillId="0" borderId="0" xfId="0" applyNumberFormat="1"/>
    <xf numFmtId="1" fontId="8" fillId="4" borderId="3" xfId="4" applyNumberFormat="1"/>
    <xf numFmtId="9" fontId="8" fillId="4" borderId="3" xfId="4" applyNumberFormat="1"/>
    <xf numFmtId="0" fontId="8" fillId="4" borderId="3" xfId="4"/>
    <xf numFmtId="0" fontId="7" fillId="8" borderId="0" xfId="3"/>
    <xf numFmtId="1" fontId="7" fillId="8" borderId="0" xfId="3" applyNumberFormat="1"/>
    <xf numFmtId="0" fontId="8" fillId="4" borderId="4" xfId="4" applyBorder="1"/>
    <xf numFmtId="9" fontId="8" fillId="4" borderId="5" xfId="4" applyNumberFormat="1" applyBorder="1"/>
    <xf numFmtId="2" fontId="0" fillId="0" borderId="0" xfId="2" applyNumberFormat="1" applyFont="1"/>
    <xf numFmtId="167" fontId="0" fillId="0" borderId="0" xfId="2" applyNumberFormat="1" applyFont="1"/>
    <xf numFmtId="0" fontId="9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2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166" fontId="9" fillId="0" borderId="0" xfId="2" applyNumberFormat="1" applyFont="1" applyAlignment="1">
      <alignment horizontal="center"/>
    </xf>
    <xf numFmtId="0" fontId="9" fillId="0" borderId="6" xfId="0" applyFont="1" applyBorder="1" applyAlignment="1">
      <alignment horizontal="center"/>
    </xf>
    <xf numFmtId="1" fontId="9" fillId="0" borderId="6" xfId="0" applyNumberFormat="1" applyFont="1" applyBorder="1" applyAlignment="1">
      <alignment horizontal="center"/>
    </xf>
    <xf numFmtId="166" fontId="9" fillId="0" borderId="6" xfId="2" applyNumberFormat="1" applyFont="1" applyBorder="1" applyAlignment="1">
      <alignment horizontal="center"/>
    </xf>
    <xf numFmtId="0" fontId="9" fillId="0" borderId="7" xfId="0" applyFont="1" applyBorder="1" applyAlignment="1">
      <alignment horizontal="center" vertical="center" wrapText="1"/>
    </xf>
    <xf numFmtId="164" fontId="9" fillId="0" borderId="6" xfId="0" applyNumberFormat="1" applyFont="1" applyBorder="1" applyAlignment="1">
      <alignment horizontal="center"/>
    </xf>
    <xf numFmtId="164" fontId="9" fillId="0" borderId="0" xfId="0" applyNumberFormat="1" applyFont="1" applyAlignment="1">
      <alignment horizontal="center"/>
    </xf>
    <xf numFmtId="0" fontId="0" fillId="9" borderId="0" xfId="0" applyFill="1"/>
    <xf numFmtId="11" fontId="0" fillId="0" borderId="0" xfId="0" applyNumberFormat="1"/>
  </cellXfs>
  <cellStyles count="5">
    <cellStyle name="Calculation" xfId="4" builtinId="22"/>
    <cellStyle name="Neutral" xfId="3" builtinId="28"/>
    <cellStyle name="Normal" xfId="0" builtinId="0"/>
    <cellStyle name="Output" xfId="1" builtinId="21"/>
    <cellStyle name="Percent" xfId="2" builtinId="5"/>
  </cellStyles>
  <dxfs count="7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168" formatCode="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2" displayName="Table22" ref="A1:P16" totalsRowShown="0" headerRowDxfId="69" dataDxfId="68">
  <autoFilter ref="A1:P16" xr:uid="{00000000-0009-0000-0100-000001000000}"/>
  <sortState xmlns:xlrd2="http://schemas.microsoft.com/office/spreadsheetml/2017/richdata2" ref="A2:N25">
    <sortCondition ref="A1:A25"/>
  </sortState>
  <tableColumns count="16">
    <tableColumn id="1" xr3:uid="{00000000-0010-0000-0000-000001000000}" name="ID" dataDxfId="67" totalsRowDxfId="66"/>
    <tableColumn id="2" xr3:uid="{00000000-0010-0000-0000-000002000000}" name="subject" dataDxfId="65" totalsRowDxfId="64"/>
    <tableColumn id="3" xr3:uid="{00000000-0010-0000-0000-000003000000}" name="mass" dataDxfId="63" totalsRowDxfId="62"/>
    <tableColumn id="4" xr3:uid="{00000000-0010-0000-0000-000004000000}" name="height" dataDxfId="61" totalsRowDxfId="60"/>
    <tableColumn id="18" xr3:uid="{00000000-0010-0000-0000-000012000000}" name="age" dataDxfId="59" totalsRowDxfId="58"/>
    <tableColumn id="22" xr3:uid="{00000000-0010-0000-0000-000016000000}" name="sex" dataDxfId="57" totalsRowDxfId="56"/>
    <tableColumn id="6" xr3:uid="{00000000-0010-0000-0000-000006000000}" name="trainingStatus" dataDxfId="55" totalsRowDxfId="54"/>
    <tableColumn id="7" xr3:uid="{00000000-0010-0000-0000-000007000000}" name="frameRate" dataDxfId="53" totalsRowDxfId="52"/>
    <tableColumn id="8" xr3:uid="{00000000-0010-0000-0000-000008000000}" name="crankSide" dataDxfId="51" totalsRowDxfId="50"/>
    <tableColumn id="9" xr3:uid="{00000000-0010-0000-0000-000009000000}" name="sessionTiming" dataDxfId="49" totalsRowDxfId="48"/>
    <tableColumn id="13" xr3:uid="{00000000-0010-0000-0000-00000D000000}" name="samplingFactor" dataDxfId="47" totalsRowDxfId="46"/>
    <tableColumn id="10" xr3:uid="{00000000-0010-0000-0000-00000A000000}" name="peakPower" dataDxfId="45" totalsRowDxfId="44"/>
    <tableColumn id="11" xr3:uid="{00000000-0010-0000-0000-00000B000000}" name="cadence" dataDxfId="43" totalsRowDxfId="42"/>
    <tableColumn id="12" xr3:uid="{00000000-0010-0000-0000-00000C000000}" name="relativePower" dataDxfId="41" totalsRowDxfId="40">
      <calculatedColumnFormula>Table22[[#This Row],[peakPower]]/Table22[[#This Row],[mass]]</calculatedColumnFormula>
    </tableColumn>
    <tableColumn id="14" xr3:uid="{00000000-0010-0000-0000-00000E000000}" name="lowCut" dataDxfId="39" totalsRowDxfId="38"/>
    <tableColumn id="15" xr3:uid="{00000000-0010-0000-0000-00000F000000}" name="highCut" dataDxfId="37" totalsRowDxfId="3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Q26" totalsRowCount="1" headerRowDxfId="35" dataDxfId="34">
  <autoFilter ref="A1:Q25" xr:uid="{00000000-0009-0000-0100-000002000000}"/>
  <sortState xmlns:xlrd2="http://schemas.microsoft.com/office/spreadsheetml/2017/richdata2" ref="A2:N25">
    <sortCondition ref="A1:A25"/>
  </sortState>
  <tableColumns count="17">
    <tableColumn id="1" xr3:uid="{00000000-0010-0000-0100-000001000000}" name="subject" totalsRowLabel="Total" dataDxfId="33" totalsRowDxfId="32"/>
    <tableColumn id="2" xr3:uid="{00000000-0010-0000-0100-000002000000}" name="testDate" totalsRowFunction="count" dataDxfId="31" totalsRowDxfId="30"/>
    <tableColumn id="3" xr3:uid="{00000000-0010-0000-0100-000003000000}" name="mass" totalsRowFunction="average" dataDxfId="29" totalsRowDxfId="28"/>
    <tableColumn id="4" xr3:uid="{00000000-0010-0000-0100-000004000000}" name="height" totalsRowFunction="average" dataDxfId="27" totalsRowDxfId="26"/>
    <tableColumn id="5" xr3:uid="{00000000-0010-0000-0100-000005000000}" name="dob" dataDxfId="25" totalsRowDxfId="24"/>
    <tableColumn id="22" xr3:uid="{00000000-0010-0000-0100-000016000000}" name="gender" dataDxfId="23" totalsRowDxfId="22"/>
    <tableColumn id="6" xr3:uid="{00000000-0010-0000-0100-000006000000}" name="trainingStatus" dataDxfId="21" totalsRowDxfId="20"/>
    <tableColumn id="7" xr3:uid="{00000000-0010-0000-0100-000007000000}" name="frameRate" dataDxfId="19" totalsRowDxfId="18"/>
    <tableColumn id="8" xr3:uid="{00000000-0010-0000-0100-000008000000}" name="crankSide" dataDxfId="17" totalsRowDxfId="16"/>
    <tableColumn id="9" xr3:uid="{00000000-0010-0000-0100-000009000000}" name="sessionTiming" totalsRowFunction="average" dataDxfId="15" totalsRowDxfId="14"/>
    <tableColumn id="13" xr3:uid="{00000000-0010-0000-0100-00000D000000}" name="samplingFactor" dataDxfId="13" totalsRowDxfId="12"/>
    <tableColumn id="10" xr3:uid="{00000000-0010-0000-0100-00000A000000}" name="peakPower" totalsRowFunction="average" dataDxfId="11" totalsRowDxfId="10"/>
    <tableColumn id="11" xr3:uid="{00000000-0010-0000-0100-00000B000000}" name="cadence" totalsRowFunction="average" dataDxfId="9" totalsRowDxfId="8"/>
    <tableColumn id="12" xr3:uid="{00000000-0010-0000-0100-00000C000000}" name="relativePower" totalsRowFunction="stdDev" dataDxfId="7" totalsRowDxfId="6">
      <calculatedColumnFormula>Table2[[#This Row],[peakPower]]/Table2[[#This Row],[mass]]</calculatedColumnFormula>
    </tableColumn>
    <tableColumn id="14" xr3:uid="{00000000-0010-0000-0100-00000E000000}" name="lowCut" dataDxfId="5" totalsRowDxfId="4"/>
    <tableColumn id="15" xr3:uid="{00000000-0010-0000-0100-00000F000000}" name="highCut" dataDxfId="3" totalsRowDxfId="2"/>
    <tableColumn id="16" xr3:uid="{00000000-0010-0000-0100-000010000000}" name="inclusion" dataDxfId="1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zoomScaleNormal="100" workbookViewId="0">
      <selection activeCell="F2" sqref="F2"/>
    </sheetView>
  </sheetViews>
  <sheetFormatPr baseColWidth="10" defaultColWidth="8.83203125" defaultRowHeight="15" x14ac:dyDescent="0.2"/>
  <cols>
    <col min="1" max="1" width="11.5" bestFit="1" customWidth="1"/>
    <col min="2" max="2" width="11.5" customWidth="1"/>
    <col min="3" max="3" width="9.6640625" bestFit="1" customWidth="1"/>
    <col min="4" max="4" width="10.6640625" bestFit="1" customWidth="1"/>
    <col min="5" max="5" width="10.5" style="6" customWidth="1"/>
    <col min="6" max="6" width="11.1640625" bestFit="1" customWidth="1"/>
    <col min="7" max="9" width="9.6640625" bestFit="1" customWidth="1"/>
    <col min="10" max="10" width="16" bestFit="1" customWidth="1"/>
    <col min="11" max="11" width="16" customWidth="1"/>
    <col min="12" max="12" width="16.6640625" bestFit="1" customWidth="1"/>
    <col min="13" max="13" width="23.1640625" bestFit="1" customWidth="1"/>
    <col min="14" max="14" width="15.1640625" bestFit="1" customWidth="1"/>
  </cols>
  <sheetData>
    <row r="1" spans="1:16" x14ac:dyDescent="0.2">
      <c r="A1" s="1" t="s">
        <v>156</v>
      </c>
      <c r="B1" s="1" t="s">
        <v>1</v>
      </c>
      <c r="C1" s="1" t="s">
        <v>3</v>
      </c>
      <c r="D1" s="1" t="s">
        <v>4</v>
      </c>
      <c r="E1" s="4" t="s">
        <v>160</v>
      </c>
      <c r="F1" s="1" t="s">
        <v>214</v>
      </c>
      <c r="G1" s="1" t="s">
        <v>35</v>
      </c>
      <c r="H1" s="1" t="s">
        <v>38</v>
      </c>
      <c r="I1" s="1" t="s">
        <v>48</v>
      </c>
      <c r="J1" s="1" t="s">
        <v>41</v>
      </c>
      <c r="K1" s="1" t="s">
        <v>49</v>
      </c>
      <c r="L1" s="1" t="s">
        <v>44</v>
      </c>
      <c r="M1" s="1" t="s">
        <v>45</v>
      </c>
      <c r="N1" s="1" t="s">
        <v>46</v>
      </c>
      <c r="O1" s="1" t="s">
        <v>157</v>
      </c>
      <c r="P1" s="1" t="s">
        <v>158</v>
      </c>
    </row>
    <row r="2" spans="1:16" x14ac:dyDescent="0.2">
      <c r="A2" s="1">
        <v>1</v>
      </c>
      <c r="B2" s="1" t="s">
        <v>8</v>
      </c>
      <c r="C2" s="1">
        <v>73</v>
      </c>
      <c r="D2" s="1">
        <v>1825</v>
      </c>
      <c r="E2" s="4">
        <v>22</v>
      </c>
      <c r="F2" s="1" t="s">
        <v>0</v>
      </c>
      <c r="G2" s="1" t="s">
        <v>36</v>
      </c>
      <c r="H2" s="1">
        <v>100</v>
      </c>
      <c r="I2" s="1" t="s">
        <v>39</v>
      </c>
      <c r="J2" s="1" t="s">
        <v>42</v>
      </c>
      <c r="K2" s="1" t="s">
        <v>50</v>
      </c>
      <c r="L2" s="1">
        <v>1428</v>
      </c>
      <c r="M2" s="1">
        <v>120</v>
      </c>
      <c r="N2" s="1">
        <f>Table22[[#This Row],[peakPower]]/Table22[[#This Row],[mass]]</f>
        <v>19.561643835616437</v>
      </c>
      <c r="O2" s="3">
        <v>0.9</v>
      </c>
      <c r="P2" s="1">
        <v>1.1000000000000001</v>
      </c>
    </row>
    <row r="3" spans="1:16" x14ac:dyDescent="0.2">
      <c r="A3" s="1">
        <v>4</v>
      </c>
      <c r="B3" s="1" t="s">
        <v>10</v>
      </c>
      <c r="C3" s="1">
        <v>75</v>
      </c>
      <c r="D3" s="1">
        <v>1774</v>
      </c>
      <c r="E3" s="4">
        <v>27</v>
      </c>
      <c r="F3" s="1" t="s">
        <v>0</v>
      </c>
      <c r="G3" s="1" t="s">
        <v>37</v>
      </c>
      <c r="H3" s="1">
        <v>200</v>
      </c>
      <c r="I3" s="1" t="s">
        <v>40</v>
      </c>
      <c r="J3" s="1" t="s">
        <v>43</v>
      </c>
      <c r="K3" s="1" t="s">
        <v>50</v>
      </c>
      <c r="L3" s="1">
        <v>1885</v>
      </c>
      <c r="M3" s="1">
        <v>120</v>
      </c>
      <c r="N3" s="1">
        <f>Table22[[#This Row],[peakPower]]/Table22[[#This Row],[mass]]</f>
        <v>25.133333333333333</v>
      </c>
      <c r="O3" s="3">
        <v>0.9</v>
      </c>
      <c r="P3" s="1">
        <v>1.1000000000000001</v>
      </c>
    </row>
    <row r="4" spans="1:16" x14ac:dyDescent="0.2">
      <c r="A4" s="1">
        <v>6</v>
      </c>
      <c r="B4" s="1" t="s">
        <v>12</v>
      </c>
      <c r="C4" s="1">
        <v>91</v>
      </c>
      <c r="D4" s="1">
        <v>1880</v>
      </c>
      <c r="E4" s="4">
        <v>38</v>
      </c>
      <c r="F4" s="1" t="s">
        <v>0</v>
      </c>
      <c r="G4" s="1" t="s">
        <v>37</v>
      </c>
      <c r="H4" s="1">
        <v>60</v>
      </c>
      <c r="I4" s="1" t="s">
        <v>40</v>
      </c>
      <c r="J4" s="1" t="s">
        <v>42</v>
      </c>
      <c r="K4" s="1" t="s">
        <v>50</v>
      </c>
      <c r="L4" s="1">
        <v>1982</v>
      </c>
      <c r="M4" s="1">
        <v>118</v>
      </c>
      <c r="N4" s="1">
        <f>Table22[[#This Row],[peakPower]]/Table22[[#This Row],[mass]]</f>
        <v>21.780219780219781</v>
      </c>
      <c r="O4" s="3">
        <v>0.9</v>
      </c>
      <c r="P4" s="1">
        <v>1.1000000000000001</v>
      </c>
    </row>
    <row r="5" spans="1:16" x14ac:dyDescent="0.2">
      <c r="A5" s="1">
        <v>8</v>
      </c>
      <c r="B5" s="1" t="s">
        <v>13</v>
      </c>
      <c r="C5" s="1">
        <v>73</v>
      </c>
      <c r="D5" s="1">
        <v>1750</v>
      </c>
      <c r="E5" s="4">
        <v>21</v>
      </c>
      <c r="F5" s="1" t="s">
        <v>0</v>
      </c>
      <c r="G5" s="1" t="s">
        <v>37</v>
      </c>
      <c r="H5" s="1">
        <v>200</v>
      </c>
      <c r="I5" s="1" t="s">
        <v>40</v>
      </c>
      <c r="J5" s="1" t="s">
        <v>43</v>
      </c>
      <c r="K5" s="1" t="s">
        <v>51</v>
      </c>
      <c r="L5" s="1">
        <v>1517</v>
      </c>
      <c r="M5" s="1">
        <v>123</v>
      </c>
      <c r="N5" s="1">
        <f>Table22[[#This Row],[peakPower]]/Table22[[#This Row],[mass]]</f>
        <v>20.780821917808218</v>
      </c>
      <c r="O5" s="3">
        <v>0.9</v>
      </c>
      <c r="P5" s="1">
        <v>1.1000000000000001</v>
      </c>
    </row>
    <row r="6" spans="1:16" x14ac:dyDescent="0.2">
      <c r="A6" s="1">
        <v>9</v>
      </c>
      <c r="B6" s="1" t="s">
        <v>14</v>
      </c>
      <c r="C6" s="1">
        <v>75</v>
      </c>
      <c r="D6" s="1">
        <v>1764</v>
      </c>
      <c r="E6" s="4">
        <v>30</v>
      </c>
      <c r="F6" s="1" t="s">
        <v>0</v>
      </c>
      <c r="G6" s="1" t="s">
        <v>36</v>
      </c>
      <c r="H6" s="1">
        <v>60</v>
      </c>
      <c r="I6" s="1" t="s">
        <v>40</v>
      </c>
      <c r="J6" s="1" t="s">
        <v>42</v>
      </c>
      <c r="K6" s="1" t="s">
        <v>50</v>
      </c>
      <c r="L6" s="1">
        <v>1792</v>
      </c>
      <c r="M6" s="1">
        <v>122</v>
      </c>
      <c r="N6" s="1">
        <f>Table22[[#This Row],[peakPower]]/Table22[[#This Row],[mass]]</f>
        <v>23.893333333333334</v>
      </c>
      <c r="O6" s="3">
        <v>0.9</v>
      </c>
      <c r="P6" s="1">
        <v>1.1000000000000001</v>
      </c>
    </row>
    <row r="7" spans="1:16" x14ac:dyDescent="0.2">
      <c r="A7" s="1">
        <v>11</v>
      </c>
      <c r="B7" s="1" t="s">
        <v>15</v>
      </c>
      <c r="C7" s="1">
        <v>70</v>
      </c>
      <c r="D7" s="1">
        <v>1750</v>
      </c>
      <c r="E7" s="4">
        <v>38</v>
      </c>
      <c r="F7" s="1" t="s">
        <v>0</v>
      </c>
      <c r="G7" s="1" t="s">
        <v>36</v>
      </c>
      <c r="H7" s="1">
        <v>100</v>
      </c>
      <c r="I7" s="1" t="s">
        <v>39</v>
      </c>
      <c r="J7" s="1" t="s">
        <v>42</v>
      </c>
      <c r="K7" s="1" t="s">
        <v>50</v>
      </c>
      <c r="L7" s="1">
        <v>1138</v>
      </c>
      <c r="M7" s="1">
        <v>119</v>
      </c>
      <c r="N7" s="1">
        <f>Table22[[#This Row],[peakPower]]/Table22[[#This Row],[mass]]</f>
        <v>16.257142857142856</v>
      </c>
      <c r="O7" s="3">
        <v>0.9</v>
      </c>
      <c r="P7" s="1">
        <v>1.4</v>
      </c>
    </row>
    <row r="8" spans="1:16" x14ac:dyDescent="0.2">
      <c r="A8" s="1">
        <v>12</v>
      </c>
      <c r="B8" s="1" t="s">
        <v>16</v>
      </c>
      <c r="C8" s="1">
        <v>90</v>
      </c>
      <c r="D8" s="1">
        <v>1840</v>
      </c>
      <c r="E8" s="4">
        <v>25</v>
      </c>
      <c r="F8" s="1" t="s">
        <v>0</v>
      </c>
      <c r="G8" s="1" t="s">
        <v>36</v>
      </c>
      <c r="H8" s="1">
        <v>200</v>
      </c>
      <c r="I8" s="1" t="s">
        <v>40</v>
      </c>
      <c r="J8" s="1" t="s">
        <v>43</v>
      </c>
      <c r="K8" s="1" t="s">
        <v>51</v>
      </c>
      <c r="L8" s="1">
        <v>2059</v>
      </c>
      <c r="M8" s="1">
        <v>121</v>
      </c>
      <c r="N8" s="1">
        <f>Table22[[#This Row],[peakPower]]/Table22[[#This Row],[mass]]</f>
        <v>22.877777777777776</v>
      </c>
      <c r="O8" s="3">
        <v>0.9</v>
      </c>
      <c r="P8" s="1">
        <v>1.1000000000000001</v>
      </c>
    </row>
    <row r="9" spans="1:16" x14ac:dyDescent="0.2">
      <c r="A9" s="1">
        <v>13</v>
      </c>
      <c r="B9" s="1" t="s">
        <v>17</v>
      </c>
      <c r="C9" s="1">
        <v>62.5</v>
      </c>
      <c r="D9" s="1">
        <v>1790</v>
      </c>
      <c r="E9" s="4">
        <v>21</v>
      </c>
      <c r="F9" s="1" t="s">
        <v>0</v>
      </c>
      <c r="G9" s="1" t="s">
        <v>37</v>
      </c>
      <c r="H9" s="1">
        <v>100</v>
      </c>
      <c r="I9" s="1" t="s">
        <v>39</v>
      </c>
      <c r="J9" s="1" t="s">
        <v>42</v>
      </c>
      <c r="K9" s="1" t="s">
        <v>50</v>
      </c>
      <c r="L9" s="1">
        <v>917</v>
      </c>
      <c r="M9" s="1">
        <v>124</v>
      </c>
      <c r="N9" s="1">
        <f>Table22[[#This Row],[peakPower]]/Table22[[#This Row],[mass]]</f>
        <v>14.672000000000001</v>
      </c>
      <c r="O9" s="3">
        <v>0.9</v>
      </c>
      <c r="P9" s="1">
        <v>1.3</v>
      </c>
    </row>
    <row r="10" spans="1:16" x14ac:dyDescent="0.2">
      <c r="A10" s="1">
        <v>14</v>
      </c>
      <c r="B10" s="1" t="s">
        <v>18</v>
      </c>
      <c r="C10" s="1">
        <v>79</v>
      </c>
      <c r="D10" s="1">
        <v>1830</v>
      </c>
      <c r="E10" s="4">
        <v>40</v>
      </c>
      <c r="F10" s="1" t="s">
        <v>0</v>
      </c>
      <c r="G10" s="1" t="s">
        <v>36</v>
      </c>
      <c r="H10" s="1">
        <v>100</v>
      </c>
      <c r="I10" s="1" t="s">
        <v>39</v>
      </c>
      <c r="J10" s="1" t="s">
        <v>42</v>
      </c>
      <c r="K10" s="1" t="s">
        <v>50</v>
      </c>
      <c r="L10" s="1">
        <v>2230</v>
      </c>
      <c r="M10" s="1">
        <v>118</v>
      </c>
      <c r="N10" s="1">
        <f>Table22[[#This Row],[peakPower]]/Table22[[#This Row],[mass]]</f>
        <v>28.227848101265824</v>
      </c>
      <c r="O10" s="3">
        <v>0.7</v>
      </c>
      <c r="P10" s="1">
        <v>1.3</v>
      </c>
    </row>
    <row r="11" spans="1:16" x14ac:dyDescent="0.2">
      <c r="A11" s="1">
        <v>15</v>
      </c>
      <c r="B11" s="1" t="s">
        <v>19</v>
      </c>
      <c r="C11" s="1">
        <v>74</v>
      </c>
      <c r="D11" s="1">
        <v>1750</v>
      </c>
      <c r="E11" s="4">
        <v>28</v>
      </c>
      <c r="F11" s="1" t="s">
        <v>0</v>
      </c>
      <c r="G11" s="1" t="s">
        <v>36</v>
      </c>
      <c r="H11" s="1">
        <v>100</v>
      </c>
      <c r="I11" s="1" t="s">
        <v>39</v>
      </c>
      <c r="J11" s="1" t="s">
        <v>42</v>
      </c>
      <c r="K11" s="1" t="s">
        <v>50</v>
      </c>
      <c r="L11" s="1">
        <v>1874</v>
      </c>
      <c r="M11" s="1">
        <v>116</v>
      </c>
      <c r="N11" s="1">
        <f>Table22[[#This Row],[peakPower]]/Table22[[#This Row],[mass]]</f>
        <v>25.324324324324323</v>
      </c>
      <c r="O11" s="3">
        <v>0.9</v>
      </c>
      <c r="P11" s="1">
        <v>1.1000000000000001</v>
      </c>
    </row>
    <row r="12" spans="1:16" x14ac:dyDescent="0.2">
      <c r="A12" s="1">
        <v>17</v>
      </c>
      <c r="B12" s="1" t="s">
        <v>20</v>
      </c>
      <c r="C12" s="1">
        <v>64</v>
      </c>
      <c r="D12" s="1">
        <v>1720</v>
      </c>
      <c r="E12" s="4">
        <v>40</v>
      </c>
      <c r="F12" s="1" t="s">
        <v>0</v>
      </c>
      <c r="G12" s="1" t="s">
        <v>36</v>
      </c>
      <c r="H12" s="1">
        <v>100</v>
      </c>
      <c r="I12" s="1" t="s">
        <v>39</v>
      </c>
      <c r="J12" s="1" t="s">
        <v>42</v>
      </c>
      <c r="K12" s="1" t="s">
        <v>50</v>
      </c>
      <c r="L12" s="1">
        <v>1382</v>
      </c>
      <c r="M12" s="1">
        <v>118</v>
      </c>
      <c r="N12" s="1">
        <f>Table22[[#This Row],[peakPower]]/Table22[[#This Row],[mass]]</f>
        <v>21.59375</v>
      </c>
      <c r="O12" s="3">
        <v>0.8</v>
      </c>
      <c r="P12" s="1">
        <v>1.2</v>
      </c>
    </row>
    <row r="13" spans="1:16" x14ac:dyDescent="0.2">
      <c r="A13" s="1">
        <v>20</v>
      </c>
      <c r="B13" s="1" t="s">
        <v>21</v>
      </c>
      <c r="C13" s="1">
        <v>76</v>
      </c>
      <c r="D13" s="1">
        <v>1722</v>
      </c>
      <c r="E13" s="4">
        <v>28</v>
      </c>
      <c r="F13" s="1" t="s">
        <v>0</v>
      </c>
      <c r="G13" s="1" t="s">
        <v>37</v>
      </c>
      <c r="H13" s="1">
        <v>60</v>
      </c>
      <c r="I13" s="1" t="s">
        <v>40</v>
      </c>
      <c r="J13" s="1" t="s">
        <v>42</v>
      </c>
      <c r="K13" s="1" t="s">
        <v>50</v>
      </c>
      <c r="L13" s="1">
        <v>1483</v>
      </c>
      <c r="M13" s="1">
        <v>121</v>
      </c>
      <c r="N13" s="1">
        <f>Table22[[#This Row],[peakPower]]/Table22[[#This Row],[mass]]</f>
        <v>19.513157894736842</v>
      </c>
      <c r="O13" s="3">
        <v>0.9</v>
      </c>
      <c r="P13" s="1">
        <v>1.1000000000000001</v>
      </c>
    </row>
    <row r="14" spans="1:16" x14ac:dyDescent="0.2">
      <c r="A14" s="1">
        <v>22</v>
      </c>
      <c r="B14" s="1" t="s">
        <v>22</v>
      </c>
      <c r="C14" s="1">
        <v>84</v>
      </c>
      <c r="D14" s="1">
        <v>1870</v>
      </c>
      <c r="E14" s="4">
        <v>43</v>
      </c>
      <c r="F14" s="1" t="s">
        <v>0</v>
      </c>
      <c r="G14" s="1" t="s">
        <v>36</v>
      </c>
      <c r="H14" s="1">
        <v>100</v>
      </c>
      <c r="I14" s="1" t="s">
        <v>39</v>
      </c>
      <c r="J14" s="1" t="s">
        <v>42</v>
      </c>
      <c r="K14" s="1" t="s">
        <v>50</v>
      </c>
      <c r="L14" s="1">
        <v>1404</v>
      </c>
      <c r="M14" s="1">
        <v>119</v>
      </c>
      <c r="N14" s="1">
        <f>Table22[[#This Row],[peakPower]]/Table22[[#This Row],[mass]]</f>
        <v>16.714285714285715</v>
      </c>
      <c r="O14" s="3">
        <v>0.7</v>
      </c>
      <c r="P14" s="1">
        <v>1.3</v>
      </c>
    </row>
    <row r="15" spans="1:16" x14ac:dyDescent="0.2">
      <c r="A15" s="1">
        <v>23</v>
      </c>
      <c r="B15" s="1" t="s">
        <v>23</v>
      </c>
      <c r="C15" s="1">
        <v>66</v>
      </c>
      <c r="D15" s="1">
        <v>1812</v>
      </c>
      <c r="E15" s="4">
        <v>21</v>
      </c>
      <c r="F15" s="1" t="s">
        <v>0</v>
      </c>
      <c r="G15" s="1" t="s">
        <v>37</v>
      </c>
      <c r="H15" s="1">
        <v>200</v>
      </c>
      <c r="I15" s="1" t="s">
        <v>40</v>
      </c>
      <c r="J15" s="1" t="s">
        <v>43</v>
      </c>
      <c r="K15" s="1" t="s">
        <v>51</v>
      </c>
      <c r="L15" s="1">
        <v>1257</v>
      </c>
      <c r="M15" s="1">
        <v>118</v>
      </c>
      <c r="N15" s="1">
        <f>Table22[[#This Row],[peakPower]]/Table22[[#This Row],[mass]]</f>
        <v>19.045454545454547</v>
      </c>
      <c r="O15" s="3">
        <v>0.9</v>
      </c>
      <c r="P15" s="1">
        <v>1.1000000000000001</v>
      </c>
    </row>
    <row r="16" spans="1:16" x14ac:dyDescent="0.2">
      <c r="A16" s="1">
        <v>24</v>
      </c>
      <c r="B16" s="1" t="s">
        <v>24</v>
      </c>
      <c r="C16" s="1">
        <v>64</v>
      </c>
      <c r="D16" s="1">
        <v>1720</v>
      </c>
      <c r="E16" s="4">
        <v>26</v>
      </c>
      <c r="F16" s="1" t="s">
        <v>0</v>
      </c>
      <c r="G16" s="1" t="s">
        <v>36</v>
      </c>
      <c r="H16" s="1">
        <v>100</v>
      </c>
      <c r="I16" s="1" t="s">
        <v>39</v>
      </c>
      <c r="J16" s="1" t="s">
        <v>42</v>
      </c>
      <c r="K16" s="1" t="s">
        <v>50</v>
      </c>
      <c r="L16" s="1">
        <v>1721</v>
      </c>
      <c r="M16" s="1">
        <v>120</v>
      </c>
      <c r="N16" s="1">
        <f>Table22[[#This Row],[peakPower]]/Table22[[#This Row],[mass]]</f>
        <v>26.890625</v>
      </c>
      <c r="O16" s="3">
        <v>0.9</v>
      </c>
      <c r="P16" s="1">
        <v>1.1000000000000001</v>
      </c>
    </row>
    <row r="23" spans="9:9" x14ac:dyDescent="0.2">
      <c r="I23" s="62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20"/>
  <sheetViews>
    <sheetView workbookViewId="0">
      <selection activeCell="AB20" sqref="AB20"/>
    </sheetView>
  </sheetViews>
  <sheetFormatPr baseColWidth="10" defaultColWidth="8.83203125" defaultRowHeight="15" x14ac:dyDescent="0.2"/>
  <cols>
    <col min="1" max="1" width="13" bestFit="1" customWidth="1"/>
    <col min="2" max="25" width="4.1640625" style="1" customWidth="1"/>
    <col min="26" max="26" width="5.6640625" bestFit="1" customWidth="1"/>
    <col min="27" max="27" width="5" bestFit="1" customWidth="1"/>
  </cols>
  <sheetData>
    <row r="1" spans="1:28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t="s">
        <v>142</v>
      </c>
      <c r="AA1" t="s">
        <v>146</v>
      </c>
    </row>
    <row r="2" spans="1:28" x14ac:dyDescent="0.2">
      <c r="A2" t="s">
        <v>128</v>
      </c>
      <c r="B2" s="21">
        <v>5</v>
      </c>
      <c r="C2" s="22"/>
      <c r="D2" s="22"/>
      <c r="E2" s="21">
        <v>5</v>
      </c>
      <c r="F2" s="22"/>
      <c r="G2" s="21">
        <v>8</v>
      </c>
      <c r="H2" s="22"/>
      <c r="I2" s="21">
        <v>8</v>
      </c>
      <c r="J2" s="21">
        <v>8</v>
      </c>
      <c r="K2" s="22"/>
      <c r="L2" s="21">
        <v>4</v>
      </c>
      <c r="M2" s="21">
        <v>8</v>
      </c>
      <c r="N2" s="21">
        <v>8</v>
      </c>
      <c r="O2" s="21">
        <v>3</v>
      </c>
      <c r="P2" s="21">
        <v>4</v>
      </c>
      <c r="Q2" s="23"/>
      <c r="R2" s="21">
        <v>3</v>
      </c>
      <c r="S2" s="22"/>
      <c r="T2" s="23"/>
      <c r="U2" s="21">
        <v>8</v>
      </c>
      <c r="V2" s="22"/>
      <c r="W2" s="21">
        <v>5</v>
      </c>
      <c r="X2" s="21">
        <v>7</v>
      </c>
      <c r="Y2" s="21">
        <v>3</v>
      </c>
      <c r="Z2" s="24">
        <f>AVERAGE(B2:Y2)</f>
        <v>5.8</v>
      </c>
      <c r="AA2" s="24">
        <f>Z2*(60/120)</f>
        <v>2.9</v>
      </c>
    </row>
    <row r="3" spans="1:28" x14ac:dyDescent="0.2">
      <c r="A3" t="s">
        <v>132</v>
      </c>
      <c r="B3" s="21">
        <v>6</v>
      </c>
      <c r="C3" s="22"/>
      <c r="D3" s="22"/>
      <c r="E3" s="21">
        <v>8</v>
      </c>
      <c r="F3" s="22"/>
      <c r="G3" s="21">
        <v>11</v>
      </c>
      <c r="H3" s="22"/>
      <c r="I3" s="21">
        <v>6</v>
      </c>
      <c r="J3" s="21">
        <v>14</v>
      </c>
      <c r="K3" s="22"/>
      <c r="L3" s="21">
        <v>16</v>
      </c>
      <c r="M3" s="21">
        <v>7</v>
      </c>
      <c r="N3" s="21">
        <v>8</v>
      </c>
      <c r="O3" s="21">
        <v>19</v>
      </c>
      <c r="P3" s="21">
        <v>13</v>
      </c>
      <c r="Q3" s="23"/>
      <c r="R3" s="21">
        <v>11</v>
      </c>
      <c r="S3" s="22"/>
      <c r="T3" s="23"/>
      <c r="U3" s="21">
        <v>3</v>
      </c>
      <c r="V3" s="22"/>
      <c r="W3" s="21">
        <v>14</v>
      </c>
      <c r="X3" s="21">
        <v>6</v>
      </c>
      <c r="Y3" s="21">
        <v>8</v>
      </c>
      <c r="Z3" s="24">
        <f t="shared" ref="Z3:Z20" si="0">AVERAGE(B3:Y3)</f>
        <v>10</v>
      </c>
      <c r="AA3" s="24">
        <f>Z3*(60/120)</f>
        <v>5</v>
      </c>
    </row>
    <row r="4" spans="1:28" x14ac:dyDescent="0.2">
      <c r="A4" t="s">
        <v>129</v>
      </c>
      <c r="B4" s="21">
        <v>5</v>
      </c>
      <c r="C4" s="22"/>
      <c r="D4" s="22"/>
      <c r="E4" s="21">
        <v>14</v>
      </c>
      <c r="F4" s="22"/>
      <c r="G4" s="21">
        <v>6</v>
      </c>
      <c r="H4" s="22"/>
      <c r="I4" s="21">
        <v>12</v>
      </c>
      <c r="J4" s="21">
        <v>5</v>
      </c>
      <c r="K4" s="22"/>
      <c r="L4" s="21">
        <v>10</v>
      </c>
      <c r="M4" s="21">
        <v>8</v>
      </c>
      <c r="N4" s="21">
        <v>3</v>
      </c>
      <c r="O4" s="21">
        <v>12</v>
      </c>
      <c r="P4" s="21">
        <v>10</v>
      </c>
      <c r="Q4" s="23"/>
      <c r="R4" s="21">
        <v>7</v>
      </c>
      <c r="S4" s="22"/>
      <c r="T4" s="23"/>
      <c r="U4" s="21">
        <v>5</v>
      </c>
      <c r="V4" s="22"/>
      <c r="W4" s="21">
        <v>8</v>
      </c>
      <c r="X4" s="21">
        <v>7</v>
      </c>
      <c r="Y4" s="21">
        <v>5</v>
      </c>
      <c r="Z4" s="24">
        <f t="shared" si="0"/>
        <v>7.8</v>
      </c>
      <c r="AA4" s="24">
        <f>Z4*(60/70)</f>
        <v>6.6857142857142851</v>
      </c>
    </row>
    <row r="5" spans="1:28" x14ac:dyDescent="0.2">
      <c r="A5" t="s">
        <v>133</v>
      </c>
      <c r="B5" s="21">
        <v>6</v>
      </c>
      <c r="C5" s="22"/>
      <c r="D5" s="22"/>
      <c r="E5" s="21">
        <v>17</v>
      </c>
      <c r="F5" s="22"/>
      <c r="G5" s="21">
        <v>14</v>
      </c>
      <c r="H5" s="22"/>
      <c r="I5" s="21">
        <v>9</v>
      </c>
      <c r="J5" s="21">
        <v>11</v>
      </c>
      <c r="K5" s="22"/>
      <c r="L5" s="21">
        <v>12</v>
      </c>
      <c r="M5" s="21">
        <v>10</v>
      </c>
      <c r="N5" s="21">
        <v>10</v>
      </c>
      <c r="O5" s="21">
        <v>20</v>
      </c>
      <c r="P5" s="21">
        <v>16</v>
      </c>
      <c r="Q5" s="23"/>
      <c r="R5" s="21">
        <v>12</v>
      </c>
      <c r="S5" s="22"/>
      <c r="T5" s="23"/>
      <c r="U5" s="21">
        <v>10</v>
      </c>
      <c r="V5" s="22"/>
      <c r="W5" s="21">
        <v>14</v>
      </c>
      <c r="X5" s="21">
        <v>10</v>
      </c>
      <c r="Y5" s="21">
        <v>11</v>
      </c>
      <c r="Z5" s="24">
        <f t="shared" si="0"/>
        <v>12.133333333333333</v>
      </c>
      <c r="AA5" s="24">
        <f>Z5*(60/120)</f>
        <v>6.0666666666666664</v>
      </c>
    </row>
    <row r="6" spans="1:28" x14ac:dyDescent="0.2">
      <c r="A6" t="s">
        <v>131</v>
      </c>
      <c r="B6" s="21">
        <v>3</v>
      </c>
      <c r="C6" s="22"/>
      <c r="D6" s="22"/>
      <c r="E6" s="21">
        <v>18</v>
      </c>
      <c r="F6" s="22"/>
      <c r="G6" s="21">
        <v>8</v>
      </c>
      <c r="H6" s="22"/>
      <c r="I6" s="21">
        <v>15</v>
      </c>
      <c r="J6" s="21">
        <v>6</v>
      </c>
      <c r="K6" s="22"/>
      <c r="L6" s="21">
        <v>9</v>
      </c>
      <c r="M6" s="21">
        <v>9</v>
      </c>
      <c r="N6" s="21">
        <v>2</v>
      </c>
      <c r="O6" s="21">
        <v>12</v>
      </c>
      <c r="P6" s="21">
        <v>1</v>
      </c>
      <c r="Q6" s="23"/>
      <c r="R6" s="21">
        <v>1</v>
      </c>
      <c r="S6" s="22"/>
      <c r="T6" s="23"/>
      <c r="U6" s="21">
        <v>5</v>
      </c>
      <c r="V6" s="22"/>
      <c r="W6" s="21">
        <v>8</v>
      </c>
      <c r="X6" s="21">
        <v>6</v>
      </c>
      <c r="Y6" s="21">
        <v>4</v>
      </c>
      <c r="Z6" s="24">
        <f t="shared" si="0"/>
        <v>7.1333333333333337</v>
      </c>
      <c r="AA6" s="24">
        <f>Z6*(60/70)</f>
        <v>6.1142857142857139</v>
      </c>
    </row>
    <row r="7" spans="1:28" x14ac:dyDescent="0.2">
      <c r="A7" t="s">
        <v>134</v>
      </c>
      <c r="B7" s="21">
        <v>7</v>
      </c>
      <c r="C7" s="22"/>
      <c r="D7" s="22"/>
      <c r="E7" s="21">
        <v>4</v>
      </c>
      <c r="F7" s="22"/>
      <c r="G7" s="21">
        <v>14</v>
      </c>
      <c r="H7" s="22"/>
      <c r="I7" s="21">
        <v>14</v>
      </c>
      <c r="J7" s="21">
        <v>15</v>
      </c>
      <c r="K7" s="22"/>
      <c r="L7" s="21">
        <v>15</v>
      </c>
      <c r="M7" s="21">
        <v>20</v>
      </c>
      <c r="N7" s="21">
        <v>5</v>
      </c>
      <c r="O7" s="21">
        <v>13</v>
      </c>
      <c r="P7" s="21">
        <v>3</v>
      </c>
      <c r="Q7" s="23"/>
      <c r="R7" s="21">
        <v>10</v>
      </c>
      <c r="S7" s="22"/>
      <c r="T7" s="23"/>
      <c r="U7" s="21">
        <v>5</v>
      </c>
      <c r="V7" s="22"/>
      <c r="W7" s="21">
        <v>8</v>
      </c>
      <c r="X7" s="21">
        <v>13</v>
      </c>
      <c r="Y7" s="21">
        <v>16</v>
      </c>
      <c r="Z7" s="24">
        <f t="shared" si="0"/>
        <v>10.8</v>
      </c>
      <c r="AA7" s="24">
        <f>Z7*(60/120)</f>
        <v>5.4</v>
      </c>
    </row>
    <row r="8" spans="1:28" x14ac:dyDescent="0.2">
      <c r="A8" t="s">
        <v>130</v>
      </c>
      <c r="B8" s="21">
        <v>9</v>
      </c>
      <c r="C8" s="22"/>
      <c r="D8" s="22"/>
      <c r="E8" s="21">
        <v>3</v>
      </c>
      <c r="F8" s="22"/>
      <c r="G8" s="21">
        <v>1</v>
      </c>
      <c r="H8" s="22"/>
      <c r="I8" s="21">
        <v>10</v>
      </c>
      <c r="J8" s="21">
        <v>3</v>
      </c>
      <c r="K8" s="22"/>
      <c r="L8" s="21">
        <v>5</v>
      </c>
      <c r="M8" s="21">
        <v>10</v>
      </c>
      <c r="N8" s="21">
        <v>2</v>
      </c>
      <c r="O8" s="21">
        <v>1</v>
      </c>
      <c r="P8" s="21">
        <v>1</v>
      </c>
      <c r="Q8" s="23"/>
      <c r="R8" s="21">
        <v>4</v>
      </c>
      <c r="S8" s="22"/>
      <c r="T8" s="23"/>
      <c r="U8" s="21">
        <v>5</v>
      </c>
      <c r="V8" s="22"/>
      <c r="W8" s="21">
        <v>4</v>
      </c>
      <c r="X8" s="21">
        <v>13</v>
      </c>
      <c r="Y8" s="21">
        <v>3</v>
      </c>
      <c r="Z8" s="24">
        <f t="shared" si="0"/>
        <v>4.9333333333333336</v>
      </c>
      <c r="AA8" s="24">
        <f>Z8*(60/70)</f>
        <v>4.2285714285714286</v>
      </c>
    </row>
    <row r="9" spans="1:28" x14ac:dyDescent="0.2">
      <c r="A9" t="s">
        <v>135</v>
      </c>
      <c r="B9" s="21">
        <v>6</v>
      </c>
      <c r="C9" s="22"/>
      <c r="D9" s="22"/>
      <c r="E9" s="21">
        <v>6</v>
      </c>
      <c r="F9" s="22"/>
      <c r="H9" s="22"/>
      <c r="I9" s="21">
        <v>8</v>
      </c>
      <c r="K9" s="22"/>
      <c r="L9" s="21">
        <v>7</v>
      </c>
      <c r="M9" s="21">
        <v>7</v>
      </c>
      <c r="N9" s="21">
        <v>7</v>
      </c>
      <c r="O9" s="21">
        <v>6</v>
      </c>
      <c r="P9" s="21">
        <v>5</v>
      </c>
      <c r="Q9" s="23"/>
      <c r="R9" s="21">
        <v>5</v>
      </c>
      <c r="S9" s="22"/>
      <c r="T9" s="23"/>
      <c r="V9" s="22"/>
      <c r="W9" s="21">
        <v>5</v>
      </c>
      <c r="X9" s="21">
        <v>7</v>
      </c>
      <c r="Y9" s="21">
        <v>4</v>
      </c>
      <c r="Z9" s="24">
        <f t="shared" si="0"/>
        <v>6.083333333333333</v>
      </c>
      <c r="AA9" s="24">
        <f>Z9*(60/120)</f>
        <v>3.0416666666666665</v>
      </c>
    </row>
    <row r="10" spans="1:28" x14ac:dyDescent="0.2">
      <c r="A10" t="s">
        <v>139</v>
      </c>
      <c r="B10" s="21">
        <v>7</v>
      </c>
      <c r="C10" s="22"/>
      <c r="D10" s="22"/>
      <c r="E10" s="21">
        <v>9</v>
      </c>
      <c r="F10" s="22"/>
      <c r="G10" s="21">
        <v>3</v>
      </c>
      <c r="H10" s="22"/>
      <c r="I10" s="21">
        <v>3</v>
      </c>
      <c r="J10" s="21">
        <v>4</v>
      </c>
      <c r="K10" s="22"/>
      <c r="L10" s="21">
        <v>3</v>
      </c>
      <c r="M10" s="21">
        <v>1</v>
      </c>
      <c r="N10" s="21">
        <v>6</v>
      </c>
      <c r="O10" s="21">
        <v>17</v>
      </c>
      <c r="P10" s="21">
        <v>8</v>
      </c>
      <c r="Q10" s="23"/>
      <c r="R10" s="21">
        <v>9</v>
      </c>
      <c r="S10" s="22"/>
      <c r="T10" s="23"/>
      <c r="U10" s="21">
        <v>4</v>
      </c>
      <c r="V10" s="22"/>
      <c r="W10" s="21">
        <v>8</v>
      </c>
      <c r="X10" s="21">
        <v>5</v>
      </c>
      <c r="Y10" s="21">
        <v>4</v>
      </c>
      <c r="Z10" s="24">
        <f t="shared" si="0"/>
        <v>6.0666666666666664</v>
      </c>
      <c r="AA10" s="24">
        <f>Z10*(60/120)</f>
        <v>3.0333333333333332</v>
      </c>
    </row>
    <row r="11" spans="1:28" x14ac:dyDescent="0.2">
      <c r="A11" t="s">
        <v>136</v>
      </c>
      <c r="B11" s="21">
        <v>6</v>
      </c>
      <c r="C11" s="22"/>
      <c r="D11" s="22"/>
      <c r="E11" s="21">
        <v>10</v>
      </c>
      <c r="F11" s="22"/>
      <c r="G11" s="21">
        <v>4</v>
      </c>
      <c r="H11" s="22"/>
      <c r="I11" s="21">
        <v>6</v>
      </c>
      <c r="J11" s="21">
        <v>10</v>
      </c>
      <c r="K11" s="22"/>
      <c r="L11" s="21">
        <v>4</v>
      </c>
      <c r="M11" s="21">
        <v>5</v>
      </c>
      <c r="N11" s="21">
        <v>1</v>
      </c>
      <c r="O11" s="21">
        <v>11</v>
      </c>
      <c r="P11" s="21">
        <v>7</v>
      </c>
      <c r="Q11" s="23"/>
      <c r="R11" s="21">
        <v>6</v>
      </c>
      <c r="S11" s="22"/>
      <c r="T11" s="23"/>
      <c r="U11" s="21">
        <v>3</v>
      </c>
      <c r="V11" s="22"/>
      <c r="W11" s="21">
        <v>1</v>
      </c>
      <c r="X11" s="21">
        <v>5</v>
      </c>
      <c r="Y11" s="21">
        <v>4</v>
      </c>
      <c r="Z11" s="24">
        <f t="shared" si="0"/>
        <v>5.5333333333333332</v>
      </c>
      <c r="AA11" s="24">
        <f>Z11*(60/70)</f>
        <v>4.7428571428571429</v>
      </c>
    </row>
    <row r="12" spans="1:28" x14ac:dyDescent="0.2">
      <c r="A12" t="s">
        <v>140</v>
      </c>
      <c r="B12" s="21">
        <v>11</v>
      </c>
      <c r="C12" s="22"/>
      <c r="D12" s="22"/>
      <c r="E12" s="21">
        <v>18</v>
      </c>
      <c r="F12" s="22"/>
      <c r="G12" s="21">
        <v>11</v>
      </c>
      <c r="H12" s="22"/>
      <c r="I12" s="21">
        <v>12</v>
      </c>
      <c r="J12" s="21">
        <v>11</v>
      </c>
      <c r="K12" s="22"/>
      <c r="L12" s="21">
        <v>14</v>
      </c>
      <c r="M12" s="21">
        <v>9</v>
      </c>
      <c r="N12" s="21">
        <v>10</v>
      </c>
      <c r="O12" s="21">
        <v>20</v>
      </c>
      <c r="P12" s="21">
        <v>12</v>
      </c>
      <c r="Q12" s="23"/>
      <c r="R12" s="21">
        <v>13</v>
      </c>
      <c r="S12" s="22"/>
      <c r="T12" s="23"/>
      <c r="U12" s="21">
        <v>7</v>
      </c>
      <c r="V12" s="22"/>
      <c r="W12" s="21">
        <v>14</v>
      </c>
      <c r="X12" s="21">
        <v>10</v>
      </c>
      <c r="Y12" s="21">
        <v>5</v>
      </c>
      <c r="Z12" s="24">
        <f t="shared" si="0"/>
        <v>11.8</v>
      </c>
      <c r="AA12" s="24">
        <f>Z12*(60/120)</f>
        <v>5.9</v>
      </c>
    </row>
    <row r="13" spans="1:28" x14ac:dyDescent="0.2">
      <c r="A13" t="s">
        <v>137</v>
      </c>
      <c r="B13" s="21">
        <v>2</v>
      </c>
      <c r="C13" s="22"/>
      <c r="D13" s="22"/>
      <c r="E13" s="21">
        <v>10</v>
      </c>
      <c r="F13" s="22"/>
      <c r="G13" s="21">
        <v>7</v>
      </c>
      <c r="H13" s="22"/>
      <c r="I13" s="21">
        <v>9</v>
      </c>
      <c r="J13" s="21">
        <v>6</v>
      </c>
      <c r="K13" s="22"/>
      <c r="L13" s="21">
        <v>3</v>
      </c>
      <c r="M13" s="21">
        <v>14</v>
      </c>
      <c r="N13" s="21">
        <v>2</v>
      </c>
      <c r="O13" s="21">
        <v>11</v>
      </c>
      <c r="P13" s="21">
        <v>7</v>
      </c>
      <c r="Q13" s="23"/>
      <c r="R13" s="21">
        <v>6</v>
      </c>
      <c r="S13" s="22"/>
      <c r="T13" s="23"/>
      <c r="U13" s="21">
        <v>6</v>
      </c>
      <c r="V13" s="22"/>
      <c r="W13" s="21">
        <v>1</v>
      </c>
      <c r="X13" s="21">
        <v>10</v>
      </c>
      <c r="Y13" s="21">
        <v>6</v>
      </c>
      <c r="Z13" s="24">
        <f t="shared" si="0"/>
        <v>6.666666666666667</v>
      </c>
      <c r="AA13" s="24">
        <f>Z13*(60/70)</f>
        <v>5.7142857142857144</v>
      </c>
    </row>
    <row r="14" spans="1:28" x14ac:dyDescent="0.2">
      <c r="A14" t="s">
        <v>141</v>
      </c>
      <c r="B14" s="21">
        <v>10</v>
      </c>
      <c r="C14" s="22"/>
      <c r="D14" s="22"/>
      <c r="E14" s="21">
        <v>10</v>
      </c>
      <c r="F14" s="22"/>
      <c r="G14" s="21">
        <v>12</v>
      </c>
      <c r="H14" s="22"/>
      <c r="I14" s="21">
        <v>11</v>
      </c>
      <c r="J14" s="21">
        <v>12</v>
      </c>
      <c r="K14" s="22"/>
      <c r="L14" s="21">
        <v>18</v>
      </c>
      <c r="M14" s="21">
        <v>15</v>
      </c>
      <c r="N14" s="21">
        <v>2</v>
      </c>
      <c r="O14" s="21">
        <v>16</v>
      </c>
      <c r="P14" s="21">
        <v>6</v>
      </c>
      <c r="Q14" s="23"/>
      <c r="R14" s="21">
        <v>19</v>
      </c>
      <c r="S14" s="22"/>
      <c r="T14" s="23"/>
      <c r="U14" s="21">
        <v>9</v>
      </c>
      <c r="V14" s="22"/>
      <c r="W14" s="21">
        <v>13</v>
      </c>
      <c r="X14" s="21">
        <v>20</v>
      </c>
      <c r="Y14" s="21">
        <v>15</v>
      </c>
      <c r="Z14" s="24">
        <f t="shared" si="0"/>
        <v>12.533333333333333</v>
      </c>
      <c r="AA14" s="24">
        <f>Z14*(60/120)</f>
        <v>6.2666666666666666</v>
      </c>
    </row>
    <row r="15" spans="1:28" x14ac:dyDescent="0.2">
      <c r="A15" t="s">
        <v>138</v>
      </c>
      <c r="B15" s="21">
        <v>3</v>
      </c>
      <c r="C15" s="22"/>
      <c r="D15" s="22"/>
      <c r="E15" s="21">
        <v>5</v>
      </c>
      <c r="F15" s="22"/>
      <c r="G15" s="21">
        <v>9</v>
      </c>
      <c r="H15" s="22"/>
      <c r="I15" s="21">
        <v>7</v>
      </c>
      <c r="J15" s="21">
        <v>10</v>
      </c>
      <c r="K15" s="22"/>
      <c r="L15" s="21">
        <v>7</v>
      </c>
      <c r="M15" s="21">
        <v>15</v>
      </c>
      <c r="N15" s="21">
        <v>6</v>
      </c>
      <c r="O15" s="21">
        <v>3</v>
      </c>
      <c r="P15" s="21">
        <v>4</v>
      </c>
      <c r="Q15" s="23"/>
      <c r="R15" s="21">
        <v>4</v>
      </c>
      <c r="S15" s="22"/>
      <c r="T15" s="23"/>
      <c r="U15" s="21">
        <v>2</v>
      </c>
      <c r="V15" s="22"/>
      <c r="W15" s="21">
        <v>5</v>
      </c>
      <c r="X15" s="21">
        <v>7</v>
      </c>
      <c r="Y15" s="21">
        <v>6</v>
      </c>
      <c r="Z15" s="24">
        <f t="shared" si="0"/>
        <v>6.2</v>
      </c>
      <c r="AA15" s="24">
        <f>Z15*(60/70)</f>
        <v>5.3142857142857141</v>
      </c>
    </row>
    <row r="16" spans="1:28" x14ac:dyDescent="0.2">
      <c r="A16" t="s">
        <v>142</v>
      </c>
      <c r="B16" s="24">
        <f>AVERAGE(B2:B15)</f>
        <v>6.1428571428571432</v>
      </c>
      <c r="C16" s="24"/>
      <c r="D16" s="24"/>
      <c r="E16" s="24">
        <f t="shared" ref="E16:R16" si="1">AVERAGE(E2:E15)</f>
        <v>9.7857142857142865</v>
      </c>
      <c r="F16" s="24"/>
      <c r="G16" s="24">
        <f>AVERAGE(G2:G15)</f>
        <v>8.3076923076923084</v>
      </c>
      <c r="H16" s="24"/>
      <c r="I16" s="24">
        <f t="shared" si="1"/>
        <v>9.2857142857142865</v>
      </c>
      <c r="J16" s="24">
        <f>AVERAGE(J2:J15)</f>
        <v>8.8461538461538467</v>
      </c>
      <c r="K16" s="24"/>
      <c r="L16" s="24">
        <f t="shared" si="1"/>
        <v>9.0714285714285712</v>
      </c>
      <c r="M16" s="24">
        <f t="shared" si="1"/>
        <v>9.8571428571428577</v>
      </c>
      <c r="N16" s="24">
        <f t="shared" si="1"/>
        <v>5.1428571428571432</v>
      </c>
      <c r="O16" s="24">
        <f t="shared" si="1"/>
        <v>11.714285714285714</v>
      </c>
      <c r="P16" s="24">
        <f t="shared" si="1"/>
        <v>6.9285714285714288</v>
      </c>
      <c r="Q16" s="24"/>
      <c r="R16" s="24">
        <f t="shared" si="1"/>
        <v>7.8571428571428568</v>
      </c>
      <c r="S16" s="24"/>
      <c r="T16" s="24"/>
      <c r="U16" s="24">
        <f>AVERAGE(U2:U15)</f>
        <v>5.5384615384615383</v>
      </c>
      <c r="V16" s="24"/>
      <c r="W16" s="24">
        <f t="shared" ref="W16" si="2">AVERAGE(W2:W15)</f>
        <v>7.7142857142857144</v>
      </c>
      <c r="X16" s="24">
        <f t="shared" ref="X16" si="3">AVERAGE(X2:X15)</f>
        <v>9</v>
      </c>
      <c r="Y16" s="24">
        <f t="shared" ref="Y16" si="4">AVERAGE(Y2:Y15)</f>
        <v>6.7142857142857144</v>
      </c>
      <c r="Z16" s="24">
        <f t="shared" ref="Z16" si="5">AVERAGE(Z2:Z15)</f>
        <v>8.105952380952381</v>
      </c>
      <c r="AA16" s="24">
        <f t="shared" ref="AA16" si="6">AVERAGE(AA2:AA15)</f>
        <v>5.0291666666666668</v>
      </c>
      <c r="AB16" s="1"/>
    </row>
    <row r="17" spans="1:27" x14ac:dyDescent="0.2"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 spans="1:27" x14ac:dyDescent="0.2">
      <c r="A18" t="s">
        <v>143</v>
      </c>
      <c r="B18" s="24">
        <f>AVERAGE(B3,B5,B7,B10,B12,B14)</f>
        <v>7.833333333333333</v>
      </c>
      <c r="C18" s="24"/>
      <c r="D18" s="24"/>
      <c r="E18" s="24">
        <f t="shared" ref="E18:R18" si="7">AVERAGE(E3,E5,E7,E10,E12,E14)</f>
        <v>11</v>
      </c>
      <c r="F18" s="24"/>
      <c r="G18" s="24">
        <f t="shared" si="7"/>
        <v>10.833333333333334</v>
      </c>
      <c r="H18" s="24"/>
      <c r="I18" s="24">
        <f t="shared" si="7"/>
        <v>9.1666666666666661</v>
      </c>
      <c r="J18" s="24">
        <f t="shared" si="7"/>
        <v>11.166666666666666</v>
      </c>
      <c r="K18" s="24"/>
      <c r="L18" s="24">
        <f t="shared" si="7"/>
        <v>13</v>
      </c>
      <c r="M18" s="24">
        <f t="shared" si="7"/>
        <v>10.333333333333334</v>
      </c>
      <c r="N18" s="24">
        <f t="shared" si="7"/>
        <v>6.833333333333333</v>
      </c>
      <c r="O18" s="24">
        <f t="shared" si="7"/>
        <v>17.5</v>
      </c>
      <c r="P18" s="24">
        <f t="shared" si="7"/>
        <v>9.6666666666666661</v>
      </c>
      <c r="Q18" s="24"/>
      <c r="R18" s="24">
        <f t="shared" si="7"/>
        <v>12.333333333333334</v>
      </c>
      <c r="S18" s="24"/>
      <c r="T18" s="24"/>
      <c r="U18" s="24">
        <f t="shared" ref="U18:Y18" si="8">AVERAGE(U3,U5,U7,U10,U12,U14)</f>
        <v>6.333333333333333</v>
      </c>
      <c r="V18" s="24"/>
      <c r="W18" s="24">
        <f t="shared" si="8"/>
        <v>11.833333333333334</v>
      </c>
      <c r="X18" s="24">
        <f t="shared" si="8"/>
        <v>10.666666666666666</v>
      </c>
      <c r="Y18" s="24">
        <f t="shared" si="8"/>
        <v>9.8333333333333339</v>
      </c>
      <c r="Z18" s="24">
        <f t="shared" si="0"/>
        <v>10.555555555555554</v>
      </c>
      <c r="AA18" s="24">
        <f>Z18*(60/120)</f>
        <v>5.2777777777777768</v>
      </c>
    </row>
    <row r="19" spans="1:27" x14ac:dyDescent="0.2">
      <c r="A19" t="s">
        <v>144</v>
      </c>
      <c r="B19" s="24">
        <f>AVERAGE(B4,B6,B8,B11,B13,B15)</f>
        <v>4.666666666666667</v>
      </c>
      <c r="C19" s="24"/>
      <c r="D19" s="24"/>
      <c r="E19" s="24">
        <f t="shared" ref="E19:R19" si="9">AVERAGE(E4,E6,E8,E11,E13,E15)</f>
        <v>10</v>
      </c>
      <c r="F19" s="24"/>
      <c r="G19" s="24">
        <f t="shared" si="9"/>
        <v>5.833333333333333</v>
      </c>
      <c r="H19" s="24"/>
      <c r="I19" s="24">
        <f t="shared" si="9"/>
        <v>9.8333333333333339</v>
      </c>
      <c r="J19" s="24">
        <f t="shared" si="9"/>
        <v>6.666666666666667</v>
      </c>
      <c r="K19" s="24"/>
      <c r="L19" s="24">
        <f t="shared" si="9"/>
        <v>6.333333333333333</v>
      </c>
      <c r="M19" s="24">
        <f t="shared" si="9"/>
        <v>10.166666666666666</v>
      </c>
      <c r="N19" s="24">
        <f t="shared" si="9"/>
        <v>2.6666666666666665</v>
      </c>
      <c r="O19" s="24">
        <f t="shared" si="9"/>
        <v>8.3333333333333339</v>
      </c>
      <c r="P19" s="24">
        <f t="shared" si="9"/>
        <v>5</v>
      </c>
      <c r="Q19" s="24"/>
      <c r="R19" s="24">
        <f t="shared" si="9"/>
        <v>4.666666666666667</v>
      </c>
      <c r="S19" s="24"/>
      <c r="T19" s="24"/>
      <c r="U19" s="24">
        <f t="shared" ref="U19:Y19" si="10">AVERAGE(U4,U6,U8,U11,U13,U15)</f>
        <v>4.333333333333333</v>
      </c>
      <c r="V19" s="24"/>
      <c r="W19" s="24">
        <f t="shared" si="10"/>
        <v>4.5</v>
      </c>
      <c r="X19" s="24">
        <f t="shared" si="10"/>
        <v>8</v>
      </c>
      <c r="Y19" s="24">
        <f t="shared" si="10"/>
        <v>4.666666666666667</v>
      </c>
      <c r="Z19" s="24">
        <f t="shared" si="0"/>
        <v>6.3777777777777782</v>
      </c>
      <c r="AA19" s="24">
        <f>Z19*(60/70)</f>
        <v>5.4666666666666668</v>
      </c>
    </row>
    <row r="20" spans="1:27" x14ac:dyDescent="0.2">
      <c r="A20" t="s">
        <v>145</v>
      </c>
      <c r="B20" s="24">
        <f>AVERAGE(B9,B2)</f>
        <v>5.5</v>
      </c>
      <c r="C20" s="24"/>
      <c r="D20" s="24"/>
      <c r="E20" s="24">
        <f t="shared" ref="E20:R20" si="11">AVERAGE(E9,E2)</f>
        <v>5.5</v>
      </c>
      <c r="F20" s="24"/>
      <c r="G20" s="24">
        <f t="shared" si="11"/>
        <v>8</v>
      </c>
      <c r="H20" s="24"/>
      <c r="I20" s="24">
        <f t="shared" si="11"/>
        <v>8</v>
      </c>
      <c r="J20" s="24">
        <f t="shared" si="11"/>
        <v>8</v>
      </c>
      <c r="K20" s="24"/>
      <c r="L20" s="24">
        <f t="shared" si="11"/>
        <v>5.5</v>
      </c>
      <c r="M20" s="24">
        <f t="shared" si="11"/>
        <v>7.5</v>
      </c>
      <c r="N20" s="24">
        <f t="shared" si="11"/>
        <v>7.5</v>
      </c>
      <c r="O20" s="24">
        <f t="shared" si="11"/>
        <v>4.5</v>
      </c>
      <c r="P20" s="24">
        <f t="shared" si="11"/>
        <v>4.5</v>
      </c>
      <c r="Q20" s="24"/>
      <c r="R20" s="24">
        <f t="shared" si="11"/>
        <v>4</v>
      </c>
      <c r="S20" s="24"/>
      <c r="T20" s="24"/>
      <c r="U20" s="24">
        <f t="shared" ref="U20:Y20" si="12">AVERAGE(U9,U2)</f>
        <v>8</v>
      </c>
      <c r="V20" s="24"/>
      <c r="W20" s="24">
        <f t="shared" si="12"/>
        <v>5</v>
      </c>
      <c r="X20" s="24">
        <f t="shared" si="12"/>
        <v>7</v>
      </c>
      <c r="Y20" s="24">
        <f t="shared" si="12"/>
        <v>3.5</v>
      </c>
      <c r="Z20" s="24">
        <f t="shared" si="0"/>
        <v>6.1333333333333337</v>
      </c>
      <c r="AA20" s="24">
        <f>Z20*(60/120)</f>
        <v>3.0666666666666669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20"/>
  <sheetViews>
    <sheetView workbookViewId="0">
      <selection activeCell="I19" sqref="I19"/>
    </sheetView>
  </sheetViews>
  <sheetFormatPr baseColWidth="10" defaultColWidth="9" defaultRowHeight="14" x14ac:dyDescent="0.15"/>
  <cols>
    <col min="1" max="5" width="9" style="28"/>
    <col min="6" max="6" width="11" style="28" bestFit="1" customWidth="1"/>
    <col min="7" max="7" width="9.6640625" style="28" bestFit="1" customWidth="1"/>
    <col min="8" max="8" width="9.6640625" style="28" customWidth="1"/>
    <col min="9" max="13" width="9.6640625" style="28" bestFit="1" customWidth="1"/>
    <col min="14" max="14" width="9.1640625" style="28" bestFit="1" customWidth="1"/>
    <col min="15" max="16384" width="9" style="28"/>
  </cols>
  <sheetData>
    <row r="1" spans="1:20" ht="75" x14ac:dyDescent="0.15">
      <c r="A1" s="34" t="s">
        <v>101</v>
      </c>
      <c r="B1" s="34" t="s">
        <v>104</v>
      </c>
      <c r="C1" s="34" t="s">
        <v>161</v>
      </c>
      <c r="D1" s="34" t="s">
        <v>162</v>
      </c>
      <c r="E1" s="34" t="s">
        <v>165</v>
      </c>
      <c r="F1" s="34" t="s">
        <v>166</v>
      </c>
      <c r="G1" s="34" t="s">
        <v>167</v>
      </c>
      <c r="H1" s="34" t="s">
        <v>168</v>
      </c>
      <c r="I1" s="34" t="s">
        <v>169</v>
      </c>
      <c r="J1" s="34" t="s">
        <v>170</v>
      </c>
      <c r="K1" s="34" t="s">
        <v>171</v>
      </c>
      <c r="L1" s="34" t="s">
        <v>172</v>
      </c>
      <c r="M1" s="34" t="s">
        <v>163</v>
      </c>
      <c r="N1" s="34" t="s">
        <v>164</v>
      </c>
      <c r="P1" s="33" t="s">
        <v>173</v>
      </c>
    </row>
    <row r="2" spans="1:20" x14ac:dyDescent="0.15">
      <c r="A2" s="35">
        <v>1</v>
      </c>
      <c r="B2" s="36">
        <v>73</v>
      </c>
      <c r="C2" s="36">
        <f>E2*2</f>
        <v>1428</v>
      </c>
      <c r="D2" s="36">
        <f>C2/B2</f>
        <v>19.561643835616437</v>
      </c>
      <c r="E2" s="36">
        <f>G2*2</f>
        <v>714</v>
      </c>
      <c r="F2" s="36">
        <f>E2/B2</f>
        <v>9.7808219178082183</v>
      </c>
      <c r="G2" s="37">
        <v>357</v>
      </c>
      <c r="H2" s="37">
        <f>G2/B2</f>
        <v>4.8904109589041092</v>
      </c>
      <c r="I2" s="38">
        <v>379.56920000000002</v>
      </c>
      <c r="J2" s="37">
        <v>377.65260000000001</v>
      </c>
      <c r="K2" s="37">
        <v>377.28680000000003</v>
      </c>
      <c r="L2" s="37">
        <v>363.69880000000001</v>
      </c>
      <c r="M2" s="37">
        <f t="shared" ref="M2:M16" si="0">AVERAGE(I2:L2)</f>
        <v>374.55185000000006</v>
      </c>
      <c r="N2" s="37">
        <f t="shared" ref="N2:N16" si="1">STDEVA(I2:L2)</f>
        <v>7.3042703808571305</v>
      </c>
      <c r="P2" s="29"/>
      <c r="Q2" s="29"/>
      <c r="R2" s="29"/>
      <c r="S2" s="29"/>
      <c r="T2" s="29"/>
    </row>
    <row r="3" spans="1:20" x14ac:dyDescent="0.15">
      <c r="A3" s="35">
        <v>2</v>
      </c>
      <c r="B3" s="36">
        <v>75</v>
      </c>
      <c r="C3" s="36">
        <f t="shared" ref="C3:C16" si="2">E3*2</f>
        <v>1885</v>
      </c>
      <c r="D3" s="36">
        <f t="shared" ref="D3:D16" si="3">C3/B3</f>
        <v>25.133333333333333</v>
      </c>
      <c r="E3" s="36">
        <f t="shared" ref="E3:E16" si="4">G3*2</f>
        <v>942.5</v>
      </c>
      <c r="F3" s="36">
        <f t="shared" ref="F3:F16" si="5">E3/B3</f>
        <v>12.566666666666666</v>
      </c>
      <c r="G3" s="37">
        <v>471.25</v>
      </c>
      <c r="H3" s="37">
        <f t="shared" ref="H3:H16" si="6">G3/B3</f>
        <v>6.2833333333333332</v>
      </c>
      <c r="I3" s="38">
        <v>469.4171</v>
      </c>
      <c r="J3" s="37">
        <v>458.97370000000001</v>
      </c>
      <c r="K3" s="37">
        <v>485.96429999999998</v>
      </c>
      <c r="L3" s="37">
        <v>476.09289999999999</v>
      </c>
      <c r="M3" s="37">
        <f t="shared" si="0"/>
        <v>472.61199999999997</v>
      </c>
      <c r="N3" s="37">
        <f t="shared" si="1"/>
        <v>11.352109833271804</v>
      </c>
      <c r="P3" s="29"/>
      <c r="Q3" s="29"/>
      <c r="R3" s="29"/>
      <c r="S3" s="29"/>
      <c r="T3" s="29"/>
    </row>
    <row r="4" spans="1:20" x14ac:dyDescent="0.15">
      <c r="A4" s="35">
        <v>3</v>
      </c>
      <c r="B4" s="36">
        <v>91</v>
      </c>
      <c r="C4" s="36">
        <f t="shared" si="2"/>
        <v>1982</v>
      </c>
      <c r="D4" s="36">
        <f t="shared" si="3"/>
        <v>21.780219780219781</v>
      </c>
      <c r="E4" s="36">
        <f t="shared" si="4"/>
        <v>991</v>
      </c>
      <c r="F4" s="36">
        <f t="shared" si="5"/>
        <v>10.890109890109891</v>
      </c>
      <c r="G4" s="37">
        <v>495.5</v>
      </c>
      <c r="H4" s="37">
        <f t="shared" si="6"/>
        <v>5.4450549450549453</v>
      </c>
      <c r="I4" s="38">
        <v>488.22629999999998</v>
      </c>
      <c r="J4" s="37">
        <v>504.15980000000002</v>
      </c>
      <c r="K4" s="37">
        <v>495.18579999999997</v>
      </c>
      <c r="L4" s="37">
        <v>511.72590000000002</v>
      </c>
      <c r="M4" s="37">
        <f t="shared" si="0"/>
        <v>499.82444999999996</v>
      </c>
      <c r="N4" s="37">
        <f t="shared" si="1"/>
        <v>10.270896244080511</v>
      </c>
      <c r="P4" s="29"/>
      <c r="Q4" s="29"/>
      <c r="R4" s="29"/>
      <c r="S4" s="29"/>
      <c r="T4" s="29"/>
    </row>
    <row r="5" spans="1:20" x14ac:dyDescent="0.15">
      <c r="A5" s="35">
        <v>4</v>
      </c>
      <c r="B5" s="36">
        <v>73</v>
      </c>
      <c r="C5" s="36">
        <f t="shared" si="2"/>
        <v>1517</v>
      </c>
      <c r="D5" s="36">
        <f t="shared" si="3"/>
        <v>20.780821917808218</v>
      </c>
      <c r="E5" s="36">
        <f t="shared" si="4"/>
        <v>758.5</v>
      </c>
      <c r="F5" s="36">
        <f t="shared" si="5"/>
        <v>10.390410958904109</v>
      </c>
      <c r="G5" s="37">
        <v>379.25</v>
      </c>
      <c r="H5" s="37">
        <f t="shared" si="6"/>
        <v>5.1952054794520546</v>
      </c>
      <c r="I5" s="38">
        <v>375.71809999999999</v>
      </c>
      <c r="J5" s="37">
        <v>384.84309999999999</v>
      </c>
      <c r="K5" s="37">
        <v>381.45760000000001</v>
      </c>
      <c r="L5" s="37">
        <v>378.47910000000002</v>
      </c>
      <c r="M5" s="37">
        <f t="shared" si="0"/>
        <v>380.12447500000002</v>
      </c>
      <c r="N5" s="37">
        <f t="shared" si="1"/>
        <v>3.9228409640420883</v>
      </c>
      <c r="P5" s="29"/>
      <c r="Q5" s="29"/>
      <c r="R5" s="29"/>
      <c r="S5" s="29"/>
      <c r="T5" s="29"/>
    </row>
    <row r="6" spans="1:20" x14ac:dyDescent="0.15">
      <c r="A6" s="35">
        <v>5</v>
      </c>
      <c r="B6" s="36">
        <v>75</v>
      </c>
      <c r="C6" s="36">
        <f t="shared" si="2"/>
        <v>1792</v>
      </c>
      <c r="D6" s="36">
        <f t="shared" si="3"/>
        <v>23.893333333333334</v>
      </c>
      <c r="E6" s="36">
        <f t="shared" si="4"/>
        <v>896</v>
      </c>
      <c r="F6" s="36">
        <f t="shared" si="5"/>
        <v>11.946666666666667</v>
      </c>
      <c r="G6" s="37">
        <v>448</v>
      </c>
      <c r="H6" s="37">
        <f t="shared" si="6"/>
        <v>5.9733333333333336</v>
      </c>
      <c r="I6" s="38">
        <v>461.57900000000001</v>
      </c>
      <c r="J6" s="37">
        <v>448.26729999999998</v>
      </c>
      <c r="K6" s="37">
        <v>476.2371</v>
      </c>
      <c r="L6" s="37">
        <v>454.3218</v>
      </c>
      <c r="M6" s="37">
        <f t="shared" si="0"/>
        <v>460.10129999999998</v>
      </c>
      <c r="N6" s="37">
        <f t="shared" si="1"/>
        <v>12.055342041048311</v>
      </c>
      <c r="P6" s="29"/>
      <c r="Q6" s="29"/>
      <c r="R6" s="29"/>
      <c r="S6" s="29"/>
      <c r="T6" s="29"/>
    </row>
    <row r="7" spans="1:20" x14ac:dyDescent="0.15">
      <c r="A7" s="35">
        <v>6</v>
      </c>
      <c r="B7" s="36">
        <v>70</v>
      </c>
      <c r="C7" s="36">
        <v>1138</v>
      </c>
      <c r="D7" s="36">
        <f t="shared" si="3"/>
        <v>16.257142857142856</v>
      </c>
      <c r="E7" s="36">
        <f t="shared" si="4"/>
        <v>569</v>
      </c>
      <c r="F7" s="36">
        <f t="shared" si="5"/>
        <v>8.1285714285714281</v>
      </c>
      <c r="G7" s="37">
        <f>C7/4</f>
        <v>284.5</v>
      </c>
      <c r="H7" s="37">
        <f t="shared" si="6"/>
        <v>4.0642857142857141</v>
      </c>
      <c r="I7" s="38">
        <v>365.7527</v>
      </c>
      <c r="J7" s="37">
        <v>367.23939999999999</v>
      </c>
      <c r="K7" s="37">
        <v>385.0702</v>
      </c>
      <c r="L7" s="37">
        <v>365.45569999999998</v>
      </c>
      <c r="M7" s="37">
        <f t="shared" ref="M7:M8" si="7">AVERAGE(I7:L7)</f>
        <v>370.87950000000001</v>
      </c>
      <c r="N7" s="37">
        <f t="shared" ref="N7:N8" si="8">STDEVA(I7:L7)</f>
        <v>9.4925932385904659</v>
      </c>
      <c r="P7" s="29"/>
      <c r="Q7" s="29"/>
      <c r="R7" s="29"/>
      <c r="S7" s="29"/>
      <c r="T7" s="29"/>
    </row>
    <row r="8" spans="1:20" x14ac:dyDescent="0.15">
      <c r="A8" s="35">
        <v>7</v>
      </c>
      <c r="B8" s="36">
        <v>90</v>
      </c>
      <c r="C8" s="36">
        <f t="shared" si="2"/>
        <v>2059</v>
      </c>
      <c r="D8" s="36">
        <f t="shared" si="3"/>
        <v>22.877777777777776</v>
      </c>
      <c r="E8" s="36">
        <f t="shared" si="4"/>
        <v>1029.5</v>
      </c>
      <c r="F8" s="36">
        <f t="shared" si="5"/>
        <v>11.438888888888888</v>
      </c>
      <c r="G8" s="37">
        <v>514.75</v>
      </c>
      <c r="H8" s="37">
        <f t="shared" si="6"/>
        <v>5.7194444444444441</v>
      </c>
      <c r="I8" s="38">
        <v>535.13660000000004</v>
      </c>
      <c r="J8" s="37">
        <v>538.42550000000006</v>
      </c>
      <c r="K8" s="37">
        <v>552.6327</v>
      </c>
      <c r="L8" s="37">
        <v>558.38530000000003</v>
      </c>
      <c r="M8" s="37">
        <f t="shared" si="7"/>
        <v>546.14502500000003</v>
      </c>
      <c r="N8" s="37">
        <f t="shared" si="8"/>
        <v>11.145862404011917</v>
      </c>
      <c r="P8" s="29"/>
      <c r="Q8" s="29"/>
      <c r="R8" s="29"/>
      <c r="S8" s="29"/>
      <c r="T8" s="29"/>
    </row>
    <row r="9" spans="1:20" x14ac:dyDescent="0.15">
      <c r="A9" s="35">
        <v>8</v>
      </c>
      <c r="B9" s="36">
        <v>62.5</v>
      </c>
      <c r="C9" s="36">
        <v>917</v>
      </c>
      <c r="D9" s="36">
        <f t="shared" si="3"/>
        <v>14.672000000000001</v>
      </c>
      <c r="E9" s="36">
        <f t="shared" si="4"/>
        <v>458.5</v>
      </c>
      <c r="F9" s="36">
        <f t="shared" si="5"/>
        <v>7.3360000000000003</v>
      </c>
      <c r="G9" s="37">
        <f>C9/4</f>
        <v>229.25</v>
      </c>
      <c r="H9" s="37">
        <f t="shared" si="6"/>
        <v>3.6680000000000001</v>
      </c>
      <c r="I9" s="38">
        <v>311.0532</v>
      </c>
      <c r="J9" s="37">
        <v>278.05810000000002</v>
      </c>
      <c r="K9" s="37">
        <v>317.88720000000001</v>
      </c>
      <c r="L9" s="37">
        <v>302.77030000000002</v>
      </c>
      <c r="M9" s="37">
        <f t="shared" si="0"/>
        <v>302.44220000000001</v>
      </c>
      <c r="N9" s="37">
        <f t="shared" si="1"/>
        <v>17.39146657051478</v>
      </c>
      <c r="P9" s="29"/>
      <c r="Q9" s="29"/>
      <c r="R9" s="29"/>
      <c r="S9" s="29"/>
      <c r="T9" s="29"/>
    </row>
    <row r="10" spans="1:20" x14ac:dyDescent="0.15">
      <c r="A10" s="35">
        <v>9</v>
      </c>
      <c r="B10" s="36">
        <v>79</v>
      </c>
      <c r="C10" s="36">
        <f t="shared" si="2"/>
        <v>2230</v>
      </c>
      <c r="D10" s="36">
        <f t="shared" si="3"/>
        <v>28.227848101265824</v>
      </c>
      <c r="E10" s="36">
        <f t="shared" si="4"/>
        <v>1115</v>
      </c>
      <c r="F10" s="36">
        <f t="shared" si="5"/>
        <v>14.113924050632912</v>
      </c>
      <c r="G10" s="37">
        <v>557.5</v>
      </c>
      <c r="H10" s="37">
        <f t="shared" si="6"/>
        <v>7.056962025316456</v>
      </c>
      <c r="I10" s="38">
        <f>B10*6.97</f>
        <v>550.63</v>
      </c>
      <c r="J10" s="37">
        <v>533.73069999999996</v>
      </c>
      <c r="K10" s="37">
        <v>533.20979999999997</v>
      </c>
      <c r="L10" s="37">
        <v>528.8492</v>
      </c>
      <c r="M10" s="37">
        <f t="shared" si="0"/>
        <v>536.60492499999998</v>
      </c>
      <c r="N10" s="37">
        <f t="shared" si="1"/>
        <v>9.6028128196464806</v>
      </c>
      <c r="P10" s="29"/>
      <c r="Q10" s="29"/>
      <c r="R10" s="29"/>
      <c r="S10" s="29"/>
      <c r="T10" s="29"/>
    </row>
    <row r="11" spans="1:20" x14ac:dyDescent="0.15">
      <c r="A11" s="35">
        <v>10</v>
      </c>
      <c r="B11" s="36">
        <v>74</v>
      </c>
      <c r="C11" s="36">
        <f t="shared" si="2"/>
        <v>1874</v>
      </c>
      <c r="D11" s="36">
        <f t="shared" si="3"/>
        <v>25.324324324324323</v>
      </c>
      <c r="E11" s="36">
        <f t="shared" si="4"/>
        <v>937</v>
      </c>
      <c r="F11" s="36">
        <f t="shared" si="5"/>
        <v>12.662162162162161</v>
      </c>
      <c r="G11" s="37">
        <v>468.5</v>
      </c>
      <c r="H11" s="37">
        <f t="shared" si="6"/>
        <v>6.3310810810810807</v>
      </c>
      <c r="I11" s="38">
        <v>479.66309999999999</v>
      </c>
      <c r="J11" s="37">
        <v>492.27780000000001</v>
      </c>
      <c r="K11" s="37">
        <v>507.57589999999999</v>
      </c>
      <c r="L11" s="37">
        <v>486.62560000000002</v>
      </c>
      <c r="M11" s="37">
        <f t="shared" si="0"/>
        <v>491.53560000000004</v>
      </c>
      <c r="N11" s="37">
        <f t="shared" si="1"/>
        <v>11.873028835417971</v>
      </c>
      <c r="P11" s="29"/>
      <c r="Q11" s="29"/>
      <c r="R11" s="29"/>
      <c r="S11" s="29"/>
      <c r="T11" s="29"/>
    </row>
    <row r="12" spans="1:20" x14ac:dyDescent="0.15">
      <c r="A12" s="35">
        <v>11</v>
      </c>
      <c r="B12" s="36">
        <v>64</v>
      </c>
      <c r="C12" s="36">
        <f t="shared" si="2"/>
        <v>1382</v>
      </c>
      <c r="D12" s="36">
        <f t="shared" si="3"/>
        <v>21.59375</v>
      </c>
      <c r="E12" s="36">
        <f t="shared" si="4"/>
        <v>691</v>
      </c>
      <c r="F12" s="36">
        <f t="shared" si="5"/>
        <v>10.796875</v>
      </c>
      <c r="G12" s="37">
        <v>345.5</v>
      </c>
      <c r="H12" s="37">
        <f t="shared" si="6"/>
        <v>5.3984375</v>
      </c>
      <c r="I12" s="38">
        <v>389.90719999999999</v>
      </c>
      <c r="J12" s="37">
        <v>400.4504</v>
      </c>
      <c r="K12" s="37">
        <v>430.76740000000001</v>
      </c>
      <c r="L12" s="37">
        <v>410.51580000000001</v>
      </c>
      <c r="M12" s="37">
        <f t="shared" si="0"/>
        <v>407.91020000000003</v>
      </c>
      <c r="N12" s="37">
        <f t="shared" si="1"/>
        <v>17.406869987067374</v>
      </c>
      <c r="P12" s="29"/>
      <c r="Q12" s="29"/>
      <c r="R12" s="29"/>
      <c r="S12" s="29"/>
      <c r="T12" s="29"/>
    </row>
    <row r="13" spans="1:20" x14ac:dyDescent="0.15">
      <c r="A13" s="35">
        <v>12</v>
      </c>
      <c r="B13" s="36">
        <v>76</v>
      </c>
      <c r="C13" s="36">
        <f t="shared" si="2"/>
        <v>1483</v>
      </c>
      <c r="D13" s="36">
        <f t="shared" si="3"/>
        <v>19.513157894736842</v>
      </c>
      <c r="E13" s="36">
        <f t="shared" si="4"/>
        <v>741.5</v>
      </c>
      <c r="F13" s="36">
        <f t="shared" si="5"/>
        <v>9.7565789473684212</v>
      </c>
      <c r="G13" s="37">
        <v>370.75</v>
      </c>
      <c r="H13" s="37">
        <f t="shared" si="6"/>
        <v>4.8782894736842106</v>
      </c>
      <c r="I13" s="38">
        <v>385.26260000000002</v>
      </c>
      <c r="J13" s="37">
        <v>352.33069999999998</v>
      </c>
      <c r="K13" s="37">
        <v>363.42880000000002</v>
      </c>
      <c r="L13" s="37">
        <v>365.73750000000001</v>
      </c>
      <c r="M13" s="37">
        <f t="shared" si="0"/>
        <v>366.68990000000002</v>
      </c>
      <c r="N13" s="37">
        <f t="shared" si="1"/>
        <v>13.695177361635997</v>
      </c>
      <c r="P13" s="29"/>
      <c r="Q13" s="29"/>
      <c r="R13" s="29"/>
      <c r="S13" s="29"/>
      <c r="T13" s="29"/>
    </row>
    <row r="14" spans="1:20" x14ac:dyDescent="0.15">
      <c r="A14" s="35">
        <v>13</v>
      </c>
      <c r="B14" s="36">
        <v>84</v>
      </c>
      <c r="C14" s="36">
        <f t="shared" si="2"/>
        <v>1404</v>
      </c>
      <c r="D14" s="36">
        <f t="shared" si="3"/>
        <v>16.714285714285715</v>
      </c>
      <c r="E14" s="36">
        <f t="shared" si="4"/>
        <v>702</v>
      </c>
      <c r="F14" s="36">
        <f t="shared" si="5"/>
        <v>8.3571428571428577</v>
      </c>
      <c r="G14" s="37">
        <v>351</v>
      </c>
      <c r="H14" s="37">
        <f t="shared" si="6"/>
        <v>4.1785714285714288</v>
      </c>
      <c r="I14" s="38">
        <v>419.80970000000002</v>
      </c>
      <c r="J14" s="37">
        <v>413.83019999999999</v>
      </c>
      <c r="K14" s="37">
        <v>398.5582</v>
      </c>
      <c r="L14" s="37">
        <v>423.96480000000003</v>
      </c>
      <c r="M14" s="37">
        <f t="shared" si="0"/>
        <v>414.04072500000001</v>
      </c>
      <c r="N14" s="37">
        <f t="shared" si="1"/>
        <v>11.128360740431042</v>
      </c>
      <c r="P14" s="29"/>
      <c r="Q14" s="29"/>
      <c r="R14" s="29"/>
      <c r="S14" s="29"/>
      <c r="T14" s="29"/>
    </row>
    <row r="15" spans="1:20" x14ac:dyDescent="0.15">
      <c r="A15" s="35">
        <v>14</v>
      </c>
      <c r="B15" s="36">
        <v>66</v>
      </c>
      <c r="C15" s="36">
        <f t="shared" si="2"/>
        <v>1257</v>
      </c>
      <c r="D15" s="36">
        <f t="shared" si="3"/>
        <v>19.045454545454547</v>
      </c>
      <c r="E15" s="36">
        <f t="shared" si="4"/>
        <v>628.5</v>
      </c>
      <c r="F15" s="36">
        <f t="shared" si="5"/>
        <v>9.5227272727272734</v>
      </c>
      <c r="G15" s="37">
        <v>314.25</v>
      </c>
      <c r="H15" s="37">
        <f t="shared" si="6"/>
        <v>4.7613636363636367</v>
      </c>
      <c r="I15" s="38">
        <v>323.42320000000001</v>
      </c>
      <c r="J15" s="37">
        <v>319.41680000000002</v>
      </c>
      <c r="K15" s="37">
        <v>315.80939999999998</v>
      </c>
      <c r="L15" s="37">
        <v>327.74930000000001</v>
      </c>
      <c r="M15" s="37">
        <f t="shared" si="0"/>
        <v>321.59967499999999</v>
      </c>
      <c r="N15" s="37">
        <f t="shared" si="1"/>
        <v>5.1457218122598434</v>
      </c>
      <c r="P15" s="29"/>
      <c r="Q15" s="29"/>
      <c r="R15" s="29"/>
      <c r="S15" s="29"/>
      <c r="T15" s="29"/>
    </row>
    <row r="16" spans="1:20" x14ac:dyDescent="0.15">
      <c r="A16" s="35">
        <v>15</v>
      </c>
      <c r="B16" s="36">
        <v>64</v>
      </c>
      <c r="C16" s="36">
        <f t="shared" si="2"/>
        <v>1721</v>
      </c>
      <c r="D16" s="36">
        <f t="shared" si="3"/>
        <v>26.890625</v>
      </c>
      <c r="E16" s="36">
        <f t="shared" si="4"/>
        <v>860.5</v>
      </c>
      <c r="F16" s="36">
        <f t="shared" si="5"/>
        <v>13.4453125</v>
      </c>
      <c r="G16" s="37">
        <v>430.25</v>
      </c>
      <c r="H16" s="37">
        <f t="shared" si="6"/>
        <v>6.72265625</v>
      </c>
      <c r="I16" s="38">
        <v>453.54410000000001</v>
      </c>
      <c r="J16" s="37">
        <v>448.26409999999998</v>
      </c>
      <c r="K16" s="37">
        <v>461.3297</v>
      </c>
      <c r="L16" s="37">
        <v>464.4735</v>
      </c>
      <c r="M16" s="37">
        <f t="shared" si="0"/>
        <v>456.90285</v>
      </c>
      <c r="N16" s="37">
        <f t="shared" si="1"/>
        <v>7.3670651205212012</v>
      </c>
      <c r="P16" s="29"/>
      <c r="Q16" s="29"/>
      <c r="R16" s="29"/>
      <c r="S16" s="29"/>
      <c r="T16" s="29"/>
    </row>
    <row r="17" spans="2:20" x14ac:dyDescent="0.15">
      <c r="B17" s="31"/>
      <c r="C17" s="31">
        <f>AVERAGE(C2:C16)</f>
        <v>1604.6</v>
      </c>
      <c r="D17" s="31"/>
      <c r="E17" s="31">
        <f>AVERAGE(E2:E16)</f>
        <v>802.3</v>
      </c>
      <c r="F17" s="31">
        <f>AVERAGE(F2:F16)</f>
        <v>10.742190613843299</v>
      </c>
      <c r="G17" s="31"/>
      <c r="H17" s="31"/>
      <c r="I17" s="31"/>
      <c r="J17" s="31"/>
      <c r="K17" s="31"/>
      <c r="L17" s="31"/>
      <c r="M17" s="31"/>
      <c r="N17" s="31"/>
      <c r="O17" s="30"/>
      <c r="P17" s="31"/>
      <c r="Q17" s="31"/>
      <c r="R17" s="31"/>
      <c r="S17" s="31"/>
      <c r="T17" s="31"/>
    </row>
    <row r="18" spans="2:20" x14ac:dyDescent="0.15">
      <c r="B18" s="31"/>
      <c r="C18" s="31">
        <f>STDEVA(C2:C16)</f>
        <v>367.87785239901899</v>
      </c>
      <c r="D18" s="31"/>
      <c r="E18" s="31">
        <f>STDEVA(E2:E16)</f>
        <v>183.9389261995095</v>
      </c>
      <c r="F18" s="31">
        <f>STDEVA(F2:F16)</f>
        <v>1.987093568407341</v>
      </c>
      <c r="G18" s="31"/>
      <c r="H18" s="31"/>
      <c r="I18" s="31"/>
      <c r="J18" s="31"/>
      <c r="K18" s="31"/>
      <c r="L18" s="31"/>
      <c r="M18" s="31"/>
      <c r="N18" s="31"/>
      <c r="O18" s="30"/>
      <c r="P18" s="31"/>
      <c r="Q18" s="31"/>
      <c r="R18" s="31"/>
      <c r="S18" s="31"/>
      <c r="T18" s="31"/>
    </row>
    <row r="20" spans="2:20" x14ac:dyDescent="0.15">
      <c r="K20" s="32"/>
      <c r="L20" s="32"/>
    </row>
  </sheetData>
  <pageMargins left="0.7" right="0.7" top="0.75" bottom="0.75" header="0.3" footer="0.3"/>
  <pageSetup paperSize="9" orientation="portrait" r:id="rId1"/>
  <ignoredErrors>
    <ignoredError sqref="D2:D16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1"/>
  <sheetViews>
    <sheetView topLeftCell="E17" workbookViewId="0">
      <selection activeCell="K3" sqref="K3"/>
    </sheetView>
  </sheetViews>
  <sheetFormatPr baseColWidth="10" defaultColWidth="8.83203125" defaultRowHeight="15" x14ac:dyDescent="0.2"/>
  <cols>
    <col min="1" max="2" width="10.6640625" customWidth="1"/>
    <col min="3" max="4" width="13.6640625" customWidth="1"/>
    <col min="5" max="11" width="22.6640625" customWidth="1"/>
    <col min="12" max="12" width="21.1640625" customWidth="1"/>
    <col min="13" max="13" width="22.6640625" customWidth="1"/>
  </cols>
  <sheetData>
    <row r="1" spans="1:13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ht="48" x14ac:dyDescent="0.2">
      <c r="A2" s="58" t="s">
        <v>156</v>
      </c>
      <c r="B2" s="58" t="s">
        <v>202</v>
      </c>
      <c r="C2" s="58" t="s">
        <v>197</v>
      </c>
      <c r="D2" s="58" t="s">
        <v>198</v>
      </c>
      <c r="E2" s="58" t="s">
        <v>199</v>
      </c>
      <c r="F2" s="58" t="s">
        <v>208</v>
      </c>
      <c r="G2" s="58" t="s">
        <v>210</v>
      </c>
      <c r="H2" s="58" t="s">
        <v>203</v>
      </c>
      <c r="I2" s="58" t="s">
        <v>201</v>
      </c>
      <c r="J2" s="58" t="s">
        <v>209</v>
      </c>
      <c r="K2" s="58" t="s">
        <v>211</v>
      </c>
      <c r="L2" s="58" t="s">
        <v>200</v>
      </c>
      <c r="M2" s="58" t="s">
        <v>204</v>
      </c>
    </row>
    <row r="3" spans="1:13" x14ac:dyDescent="0.2">
      <c r="A3" s="1">
        <v>1</v>
      </c>
      <c r="B3" s="1">
        <v>73</v>
      </c>
      <c r="C3" s="51">
        <v>1428</v>
      </c>
      <c r="D3" s="51">
        <v>961.46002447694798</v>
      </c>
      <c r="E3" s="51">
        <f>C3/2</f>
        <v>714</v>
      </c>
      <c r="F3" s="51">
        <f>D3*0.3</f>
        <v>288.43800734308439</v>
      </c>
      <c r="G3" s="51">
        <f>E3*0.1</f>
        <v>71.400000000000006</v>
      </c>
      <c r="H3" s="24">
        <f>E3/B3</f>
        <v>9.7808219178082183</v>
      </c>
      <c r="I3" s="52">
        <f t="shared" ref="I3:I17" si="0">E3/D3</f>
        <v>0.74262057893507238</v>
      </c>
      <c r="J3" s="52">
        <f t="shared" ref="J3:J17" si="1">F3/E3</f>
        <v>0.40397480020039833</v>
      </c>
      <c r="K3" s="52">
        <f t="shared" ref="K3:K17" si="2">G3/F3</f>
        <v>0.2475401929783575</v>
      </c>
      <c r="L3" s="52">
        <f>$E$18/D3</f>
        <v>0.83446007069973183</v>
      </c>
      <c r="M3" s="52">
        <f>$H$18/(D3/B3)</f>
        <v>0.81561364471410991</v>
      </c>
    </row>
    <row r="4" spans="1:13" x14ac:dyDescent="0.2">
      <c r="A4" s="1">
        <v>2</v>
      </c>
      <c r="B4" s="1">
        <v>75</v>
      </c>
      <c r="C4" s="51">
        <v>1885</v>
      </c>
      <c r="D4" s="51">
        <v>1220.57874697025</v>
      </c>
      <c r="E4" s="51">
        <f t="shared" ref="E4:E15" si="3">C4/2</f>
        <v>942.5</v>
      </c>
      <c r="F4" s="51">
        <f t="shared" ref="F4:F17" si="4">D4*0.3</f>
        <v>366.173624091075</v>
      </c>
      <c r="G4" s="51">
        <f t="shared" ref="G4:G17" si="5">E4*0.1</f>
        <v>94.25</v>
      </c>
      <c r="H4" s="24">
        <f t="shared" ref="H4:H17" si="6">E4/B4</f>
        <v>12.566666666666666</v>
      </c>
      <c r="I4" s="52">
        <f t="shared" si="0"/>
        <v>0.77217467725003097</v>
      </c>
      <c r="J4" s="52">
        <f t="shared" si="1"/>
        <v>0.38851312900909812</v>
      </c>
      <c r="K4" s="52">
        <f t="shared" si="2"/>
        <v>0.25739155908334366</v>
      </c>
      <c r="L4" s="52">
        <f t="shared" ref="L4:L17" si="7">$E$18/D4</f>
        <v>0.65731113374822259</v>
      </c>
      <c r="M4" s="52">
        <f t="shared" ref="M4:M17" si="8">$H$18/(D4/B4)</f>
        <v>0.6600674459047291</v>
      </c>
    </row>
    <row r="5" spans="1:13" x14ac:dyDescent="0.2">
      <c r="A5" s="1">
        <v>3</v>
      </c>
      <c r="B5" s="1">
        <v>91</v>
      </c>
      <c r="C5" s="51">
        <v>1982</v>
      </c>
      <c r="D5" s="51">
        <v>1241.8041343426801</v>
      </c>
      <c r="E5" s="51">
        <f t="shared" si="3"/>
        <v>991</v>
      </c>
      <c r="F5" s="51">
        <f t="shared" si="4"/>
        <v>372.541240302804</v>
      </c>
      <c r="G5" s="51">
        <f t="shared" si="5"/>
        <v>99.100000000000009</v>
      </c>
      <c r="H5" s="24">
        <f t="shared" si="6"/>
        <v>10.890109890109891</v>
      </c>
      <c r="I5" s="52">
        <f t="shared" si="0"/>
        <v>0.79803245342274742</v>
      </c>
      <c r="J5" s="52">
        <f t="shared" si="1"/>
        <v>0.37592456135499897</v>
      </c>
      <c r="K5" s="52">
        <f t="shared" si="2"/>
        <v>0.26601081780758251</v>
      </c>
      <c r="L5" s="52">
        <f t="shared" si="7"/>
        <v>0.64607612248342094</v>
      </c>
      <c r="M5" s="52">
        <f t="shared" si="8"/>
        <v>0.78719285821767515</v>
      </c>
    </row>
    <row r="6" spans="1:13" x14ac:dyDescent="0.2">
      <c r="A6" s="1">
        <v>4</v>
      </c>
      <c r="B6" s="1">
        <v>73</v>
      </c>
      <c r="C6" s="51">
        <v>1517</v>
      </c>
      <c r="D6" s="51">
        <v>914.58308806034302</v>
      </c>
      <c r="E6" s="51">
        <f t="shared" si="3"/>
        <v>758.5</v>
      </c>
      <c r="F6" s="51">
        <f t="shared" si="4"/>
        <v>274.37492641810292</v>
      </c>
      <c r="G6" s="51">
        <f t="shared" si="5"/>
        <v>75.850000000000009</v>
      </c>
      <c r="H6" s="24">
        <f t="shared" si="6"/>
        <v>10.390410958904109</v>
      </c>
      <c r="I6" s="52">
        <f t="shared" si="0"/>
        <v>0.82933963015720569</v>
      </c>
      <c r="J6" s="52">
        <f t="shared" si="1"/>
        <v>0.36173358789466437</v>
      </c>
      <c r="K6" s="52">
        <f t="shared" si="2"/>
        <v>0.27644654338573527</v>
      </c>
      <c r="L6" s="52">
        <f t="shared" si="7"/>
        <v>0.87723030359278331</v>
      </c>
      <c r="M6" s="52">
        <f t="shared" si="8"/>
        <v>0.85741790445049393</v>
      </c>
    </row>
    <row r="7" spans="1:13" x14ac:dyDescent="0.2">
      <c r="A7" s="1">
        <v>5</v>
      </c>
      <c r="B7" s="1">
        <v>75</v>
      </c>
      <c r="C7" s="51">
        <v>1792</v>
      </c>
      <c r="D7" s="51">
        <v>1191.36562734172</v>
      </c>
      <c r="E7" s="51">
        <f t="shared" si="3"/>
        <v>896</v>
      </c>
      <c r="F7" s="51">
        <f t="shared" si="4"/>
        <v>357.40968820251601</v>
      </c>
      <c r="G7" s="51">
        <f t="shared" si="5"/>
        <v>89.600000000000009</v>
      </c>
      <c r="H7" s="24">
        <f t="shared" si="6"/>
        <v>11.946666666666667</v>
      </c>
      <c r="I7" s="52">
        <f t="shared" si="0"/>
        <v>0.75207810216854598</v>
      </c>
      <c r="J7" s="52">
        <f t="shared" si="1"/>
        <v>0.39889474129745089</v>
      </c>
      <c r="K7" s="52">
        <f t="shared" si="2"/>
        <v>0.25069270072284866</v>
      </c>
      <c r="L7" s="52">
        <f t="shared" si="7"/>
        <v>0.67342886313596473</v>
      </c>
      <c r="M7" s="52">
        <f t="shared" si="8"/>
        <v>0.67625276199710116</v>
      </c>
    </row>
    <row r="8" spans="1:13" x14ac:dyDescent="0.2">
      <c r="A8" s="1">
        <v>6</v>
      </c>
      <c r="B8" s="1">
        <v>70</v>
      </c>
      <c r="C8" s="51">
        <v>1138</v>
      </c>
      <c r="D8" s="51">
        <v>814.40470616849802</v>
      </c>
      <c r="E8" s="51">
        <f t="shared" si="3"/>
        <v>569</v>
      </c>
      <c r="F8" s="51">
        <f t="shared" si="4"/>
        <v>244.3214118505494</v>
      </c>
      <c r="G8" s="51">
        <f t="shared" si="5"/>
        <v>56.900000000000006</v>
      </c>
      <c r="H8" s="24">
        <f t="shared" si="6"/>
        <v>8.1285714285714281</v>
      </c>
      <c r="I8" s="52">
        <f t="shared" si="0"/>
        <v>0.69866983293472706</v>
      </c>
      <c r="J8" s="52">
        <f t="shared" si="1"/>
        <v>0.42938736704841723</v>
      </c>
      <c r="K8" s="52">
        <f t="shared" si="2"/>
        <v>0.23288994431157573</v>
      </c>
      <c r="L8" s="52">
        <f t="shared" si="7"/>
        <v>0.98513674334539802</v>
      </c>
      <c r="M8" s="52">
        <f t="shared" si="8"/>
        <v>0.9233165492212343</v>
      </c>
    </row>
    <row r="9" spans="1:13" x14ac:dyDescent="0.2">
      <c r="A9" s="1">
        <v>7</v>
      </c>
      <c r="B9" s="1">
        <v>90</v>
      </c>
      <c r="C9" s="51">
        <v>2059</v>
      </c>
      <c r="D9" s="51">
        <v>1346.8853559992699</v>
      </c>
      <c r="E9" s="51">
        <f t="shared" si="3"/>
        <v>1029.5</v>
      </c>
      <c r="F9" s="51">
        <f t="shared" si="4"/>
        <v>404.06560679978094</v>
      </c>
      <c r="G9" s="51">
        <f t="shared" si="5"/>
        <v>102.95</v>
      </c>
      <c r="H9" s="24">
        <f t="shared" si="6"/>
        <v>11.438888888888888</v>
      </c>
      <c r="I9" s="52">
        <f t="shared" si="0"/>
        <v>0.76435607189165855</v>
      </c>
      <c r="J9" s="52">
        <f t="shared" si="1"/>
        <v>0.39248723341406599</v>
      </c>
      <c r="K9" s="52">
        <f t="shared" si="2"/>
        <v>0.25478535729721952</v>
      </c>
      <c r="L9" s="52">
        <f t="shared" si="7"/>
        <v>0.59567059395694766</v>
      </c>
      <c r="M9" s="52">
        <f t="shared" si="8"/>
        <v>0.71780211355005696</v>
      </c>
    </row>
    <row r="10" spans="1:13" x14ac:dyDescent="0.2">
      <c r="A10" s="1">
        <v>8</v>
      </c>
      <c r="B10" s="1">
        <v>62.5</v>
      </c>
      <c r="C10" s="51">
        <v>917</v>
      </c>
      <c r="D10" s="51">
        <v>507.51007709354599</v>
      </c>
      <c r="E10" s="51">
        <f t="shared" si="3"/>
        <v>458.5</v>
      </c>
      <c r="F10" s="51">
        <f t="shared" si="4"/>
        <v>152.2530231280638</v>
      </c>
      <c r="G10" s="51">
        <f t="shared" si="5"/>
        <v>45.85</v>
      </c>
      <c r="H10" s="24">
        <f t="shared" si="6"/>
        <v>7.3360000000000003</v>
      </c>
      <c r="I10" s="52">
        <f t="shared" si="0"/>
        <v>0.90343033704035736</v>
      </c>
      <c r="J10" s="52">
        <f t="shared" si="1"/>
        <v>0.33206766222042267</v>
      </c>
      <c r="K10" s="52">
        <f t="shared" si="2"/>
        <v>0.30114344568011914</v>
      </c>
      <c r="L10" s="52">
        <f t="shared" si="7"/>
        <v>1.5808553095037703</v>
      </c>
      <c r="M10" s="52">
        <f t="shared" si="8"/>
        <v>1.3229036105256562</v>
      </c>
    </row>
    <row r="11" spans="1:13" x14ac:dyDescent="0.2">
      <c r="A11" s="1">
        <v>9</v>
      </c>
      <c r="B11" s="1">
        <v>79</v>
      </c>
      <c r="C11" s="51">
        <v>2230</v>
      </c>
      <c r="D11" s="51">
        <v>1394.97056452525</v>
      </c>
      <c r="E11" s="51">
        <f t="shared" si="3"/>
        <v>1115</v>
      </c>
      <c r="F11" s="51">
        <f t="shared" si="4"/>
        <v>418.49116935757496</v>
      </c>
      <c r="G11" s="51">
        <f t="shared" si="5"/>
        <v>111.5</v>
      </c>
      <c r="H11" s="24">
        <f t="shared" si="6"/>
        <v>14.113924050632912</v>
      </c>
      <c r="I11" s="52">
        <f t="shared" si="0"/>
        <v>0.79930001991079125</v>
      </c>
      <c r="J11" s="52">
        <f t="shared" si="1"/>
        <v>0.37532840301127801</v>
      </c>
      <c r="K11" s="52">
        <f t="shared" si="2"/>
        <v>0.26643333997026375</v>
      </c>
      <c r="L11" s="52">
        <f t="shared" si="7"/>
        <v>0.5751375838335675</v>
      </c>
      <c r="M11" s="52">
        <f t="shared" si="8"/>
        <v>0.60835194668242754</v>
      </c>
    </row>
    <row r="12" spans="1:13" x14ac:dyDescent="0.2">
      <c r="A12" s="1">
        <v>10</v>
      </c>
      <c r="B12" s="1">
        <v>74</v>
      </c>
      <c r="C12" s="51">
        <v>1874</v>
      </c>
      <c r="D12" s="51">
        <v>1158.82432137918</v>
      </c>
      <c r="E12" s="51">
        <f t="shared" si="3"/>
        <v>937</v>
      </c>
      <c r="F12" s="51">
        <f t="shared" si="4"/>
        <v>347.64729641375396</v>
      </c>
      <c r="G12" s="51">
        <f t="shared" si="5"/>
        <v>93.7</v>
      </c>
      <c r="H12" s="24">
        <f t="shared" si="6"/>
        <v>12.662162162162161</v>
      </c>
      <c r="I12" s="52">
        <f t="shared" si="0"/>
        <v>0.80857812760162406</v>
      </c>
      <c r="J12" s="52">
        <f t="shared" si="1"/>
        <v>0.37102166106056989</v>
      </c>
      <c r="K12" s="52">
        <f t="shared" si="2"/>
        <v>0.26952604253387474</v>
      </c>
      <c r="L12" s="52">
        <f t="shared" si="7"/>
        <v>0.69233962836156127</v>
      </c>
      <c r="M12" s="52">
        <f t="shared" si="8"/>
        <v>0.68597292165763657</v>
      </c>
    </row>
    <row r="13" spans="1:13" x14ac:dyDescent="0.2">
      <c r="A13" s="1">
        <v>11</v>
      </c>
      <c r="B13" s="1">
        <v>64</v>
      </c>
      <c r="C13" s="51">
        <v>1382</v>
      </c>
      <c r="D13" s="51">
        <v>855.87782759201002</v>
      </c>
      <c r="E13" s="51">
        <f t="shared" si="3"/>
        <v>691</v>
      </c>
      <c r="F13" s="51">
        <f t="shared" si="4"/>
        <v>256.76334827760297</v>
      </c>
      <c r="G13" s="51">
        <f t="shared" si="5"/>
        <v>69.100000000000009</v>
      </c>
      <c r="H13" s="24">
        <f t="shared" si="6"/>
        <v>10.796875</v>
      </c>
      <c r="I13" s="52">
        <f t="shared" si="0"/>
        <v>0.80735822067515228</v>
      </c>
      <c r="J13" s="52">
        <f t="shared" si="1"/>
        <v>0.37158226957684948</v>
      </c>
      <c r="K13" s="52">
        <f t="shared" si="2"/>
        <v>0.26911940689171748</v>
      </c>
      <c r="L13" s="52">
        <f t="shared" si="7"/>
        <v>0.93740014536566518</v>
      </c>
      <c r="M13" s="52">
        <f t="shared" si="8"/>
        <v>0.8032690848181393</v>
      </c>
    </row>
    <row r="14" spans="1:13" x14ac:dyDescent="0.2">
      <c r="A14" s="1">
        <v>12</v>
      </c>
      <c r="B14" s="1">
        <v>76</v>
      </c>
      <c r="C14" s="51">
        <v>1483</v>
      </c>
      <c r="D14" s="51">
        <v>901.177742265456</v>
      </c>
      <c r="E14" s="51">
        <f t="shared" si="3"/>
        <v>741.5</v>
      </c>
      <c r="F14" s="51">
        <f t="shared" si="4"/>
        <v>270.35332267963679</v>
      </c>
      <c r="G14" s="51">
        <f t="shared" si="5"/>
        <v>74.150000000000006</v>
      </c>
      <c r="H14" s="24">
        <f t="shared" si="6"/>
        <v>9.7565789473684212</v>
      </c>
      <c r="I14" s="52">
        <f t="shared" si="0"/>
        <v>0.82281215483191505</v>
      </c>
      <c r="J14" s="52">
        <f t="shared" si="1"/>
        <v>0.36460326726855941</v>
      </c>
      <c r="K14" s="52">
        <f t="shared" si="2"/>
        <v>0.27427071827730504</v>
      </c>
      <c r="L14" s="52">
        <f t="shared" si="7"/>
        <v>0.89027942255110637</v>
      </c>
      <c r="M14" s="52">
        <f t="shared" si="8"/>
        <v>0.90593281254343871</v>
      </c>
    </row>
    <row r="15" spans="1:13" x14ac:dyDescent="0.2">
      <c r="A15" s="1">
        <v>13</v>
      </c>
      <c r="B15" s="1">
        <v>84</v>
      </c>
      <c r="C15" s="51">
        <v>1404</v>
      </c>
      <c r="D15" s="51">
        <v>854.04340109140298</v>
      </c>
      <c r="E15" s="51">
        <f t="shared" si="3"/>
        <v>702</v>
      </c>
      <c r="F15" s="51">
        <f t="shared" si="4"/>
        <v>256.21302032742091</v>
      </c>
      <c r="G15" s="51">
        <f t="shared" si="5"/>
        <v>70.2</v>
      </c>
      <c r="H15" s="24">
        <f t="shared" si="6"/>
        <v>8.3571428571428577</v>
      </c>
      <c r="I15" s="52">
        <f t="shared" si="0"/>
        <v>0.82197227811010187</v>
      </c>
      <c r="J15" s="52">
        <f t="shared" si="1"/>
        <v>0.36497581243222349</v>
      </c>
      <c r="K15" s="52">
        <f t="shared" si="2"/>
        <v>0.27399075937003398</v>
      </c>
      <c r="L15" s="52">
        <f t="shared" si="7"/>
        <v>0.93941361642127452</v>
      </c>
      <c r="M15" s="52">
        <f t="shared" si="8"/>
        <v>1.0565552176970276</v>
      </c>
    </row>
    <row r="16" spans="1:13" x14ac:dyDescent="0.2">
      <c r="A16" s="1">
        <v>14</v>
      </c>
      <c r="B16" s="1">
        <v>66</v>
      </c>
      <c r="C16" s="51">
        <v>1257</v>
      </c>
      <c r="D16" s="51">
        <v>814.50873289060803</v>
      </c>
      <c r="E16" s="51">
        <f>C16/2</f>
        <v>628.5</v>
      </c>
      <c r="F16" s="51">
        <f t="shared" si="4"/>
        <v>244.3526198671824</v>
      </c>
      <c r="G16" s="51">
        <f t="shared" si="5"/>
        <v>62.85</v>
      </c>
      <c r="H16" s="24">
        <f t="shared" si="6"/>
        <v>9.5227272727272734</v>
      </c>
      <c r="I16" s="52">
        <f t="shared" si="0"/>
        <v>0.77163076910117079</v>
      </c>
      <c r="J16" s="52">
        <f t="shared" si="1"/>
        <v>0.38878698467332123</v>
      </c>
      <c r="K16" s="52">
        <f t="shared" si="2"/>
        <v>0.25721025636705697</v>
      </c>
      <c r="L16" s="52">
        <f t="shared" si="7"/>
        <v>0.98501092450257655</v>
      </c>
      <c r="M16" s="52">
        <f t="shared" si="8"/>
        <v>0.87044441868357147</v>
      </c>
    </row>
    <row r="17" spans="1:13" x14ac:dyDescent="0.2">
      <c r="A17" s="1">
        <v>15</v>
      </c>
      <c r="B17" s="1">
        <v>64</v>
      </c>
      <c r="C17" s="51">
        <v>1721</v>
      </c>
      <c r="D17" s="51">
        <v>989.64809403706101</v>
      </c>
      <c r="E17" s="51">
        <f>C17/2</f>
        <v>860.5</v>
      </c>
      <c r="F17" s="51">
        <f t="shared" si="4"/>
        <v>296.89442821111828</v>
      </c>
      <c r="G17" s="51">
        <f t="shared" si="5"/>
        <v>86.050000000000011</v>
      </c>
      <c r="H17" s="24">
        <f t="shared" si="6"/>
        <v>13.4453125</v>
      </c>
      <c r="I17" s="52">
        <f t="shared" si="0"/>
        <v>0.86950099250913671</v>
      </c>
      <c r="J17" s="52">
        <f t="shared" si="1"/>
        <v>0.34502548310414677</v>
      </c>
      <c r="K17" s="52">
        <f t="shared" si="2"/>
        <v>0.28983366416971229</v>
      </c>
      <c r="L17" s="52">
        <f t="shared" si="7"/>
        <v>0.81069220951781562</v>
      </c>
      <c r="M17" s="52">
        <f t="shared" si="8"/>
        <v>0.69469158120788044</v>
      </c>
    </row>
    <row r="18" spans="1:13" x14ac:dyDescent="0.2">
      <c r="A18" s="55" t="s">
        <v>142</v>
      </c>
      <c r="B18" s="56">
        <f>AVERAGE(B3:B17)</f>
        <v>74.433333333333337</v>
      </c>
      <c r="C18" s="56">
        <f>AVERAGE(C3:C17)</f>
        <v>1604.6</v>
      </c>
      <c r="D18" s="56">
        <f t="shared" ref="D18:M18" si="9">AVERAGE(D3:D17)</f>
        <v>1011.1761629489482</v>
      </c>
      <c r="E18" s="56">
        <f t="shared" si="9"/>
        <v>802.3</v>
      </c>
      <c r="F18" s="56">
        <f t="shared" ref="F18:G18" si="10">AVERAGE(F3:F17)</f>
        <v>303.35284888468436</v>
      </c>
      <c r="G18" s="56">
        <f t="shared" si="10"/>
        <v>80.23</v>
      </c>
      <c r="H18" s="59">
        <f t="shared" si="9"/>
        <v>10.742190613843299</v>
      </c>
      <c r="I18" s="57">
        <f t="shared" si="9"/>
        <v>0.79745694976934922</v>
      </c>
      <c r="J18" s="57">
        <f t="shared" ref="J18:K18" si="11">AVERAGE(J3:J17)</f>
        <v>0.37762046423776424</v>
      </c>
      <c r="K18" s="57">
        <f t="shared" si="11"/>
        <v>0.26581898325644976</v>
      </c>
      <c r="L18" s="57">
        <f t="shared" si="9"/>
        <v>0.84536284473465384</v>
      </c>
      <c r="M18" s="57">
        <f t="shared" si="9"/>
        <v>0.82571899145807859</v>
      </c>
    </row>
    <row r="19" spans="1:13" x14ac:dyDescent="0.2">
      <c r="A19" s="50" t="s">
        <v>194</v>
      </c>
      <c r="B19" s="53">
        <f>STDEVA(B3:B17)</f>
        <v>8.813274619788583</v>
      </c>
      <c r="C19" s="53">
        <f>STDEVA(C3:C17)</f>
        <v>367.87785239901899</v>
      </c>
      <c r="D19" s="53">
        <f t="shared" ref="D19:L19" si="12">STDEVA(D3:D17)</f>
        <v>241.35860177019603</v>
      </c>
      <c r="E19" s="53">
        <f t="shared" si="12"/>
        <v>183.9389261995095</v>
      </c>
      <c r="F19" s="53">
        <f t="shared" ref="F19:G19" si="13">STDEVA(F3:F17)</f>
        <v>72.40758053105921</v>
      </c>
      <c r="G19" s="53">
        <f t="shared" si="13"/>
        <v>18.393892619950975</v>
      </c>
      <c r="H19" s="60">
        <f t="shared" ref="H19" si="14">STDEVA(H3:H17)</f>
        <v>1.987093568407341</v>
      </c>
      <c r="I19" s="54">
        <f t="shared" si="12"/>
        <v>5.0803230135153109E-2</v>
      </c>
      <c r="J19" s="54">
        <f t="shared" ref="J19:K19" si="15">STDEVA(J3:J17)</f>
        <v>2.4051539804479796E-2</v>
      </c>
      <c r="K19" s="54">
        <f t="shared" si="15"/>
        <v>1.693441004505104E-2</v>
      </c>
      <c r="L19" s="54">
        <f t="shared" si="12"/>
        <v>0.24857907889651698</v>
      </c>
      <c r="M19" s="54">
        <f t="shared" ref="M19" si="16">STDEVA(M3:M17)</f>
        <v>0.1826208469972361</v>
      </c>
    </row>
    <row r="20" spans="1:13" x14ac:dyDescent="0.2">
      <c r="A20" s="50" t="s">
        <v>195</v>
      </c>
      <c r="B20" s="53">
        <f>MIN(B3:B17)</f>
        <v>62.5</v>
      </c>
      <c r="C20" s="53">
        <f>MIN(C3:C17)</f>
        <v>917</v>
      </c>
      <c r="D20" s="53">
        <f t="shared" ref="D20:L20" si="17">MIN(D3:D17)</f>
        <v>507.51007709354599</v>
      </c>
      <c r="E20" s="53">
        <f t="shared" si="17"/>
        <v>458.5</v>
      </c>
      <c r="F20" s="53">
        <f t="shared" ref="F20:G20" si="18">MIN(F3:F17)</f>
        <v>152.2530231280638</v>
      </c>
      <c r="G20" s="53">
        <f t="shared" si="18"/>
        <v>45.85</v>
      </c>
      <c r="H20" s="60">
        <f t="shared" ref="H20" si="19">MIN(H3:H17)</f>
        <v>7.3360000000000003</v>
      </c>
      <c r="I20" s="54">
        <f t="shared" si="17"/>
        <v>0.69866983293472706</v>
      </c>
      <c r="J20" s="54">
        <f t="shared" ref="J20:K20" si="20">MIN(J3:J17)</f>
        <v>0.33206766222042267</v>
      </c>
      <c r="K20" s="54">
        <f t="shared" si="20"/>
        <v>0.23288994431157573</v>
      </c>
      <c r="L20" s="54">
        <f t="shared" si="17"/>
        <v>0.5751375838335675</v>
      </c>
      <c r="M20" s="54">
        <f t="shared" ref="M20" si="21">MIN(M3:M17)</f>
        <v>0.60835194668242754</v>
      </c>
    </row>
    <row r="21" spans="1:13" x14ac:dyDescent="0.2">
      <c r="A21" s="50" t="s">
        <v>196</v>
      </c>
      <c r="B21" s="53">
        <f>MAX(B3:B17)</f>
        <v>91</v>
      </c>
      <c r="C21" s="53">
        <f>MAX(C3:C17)</f>
        <v>2230</v>
      </c>
      <c r="D21" s="53">
        <f t="shared" ref="D21:L21" si="22">MAX(D3:D17)</f>
        <v>1394.97056452525</v>
      </c>
      <c r="E21" s="53">
        <f t="shared" si="22"/>
        <v>1115</v>
      </c>
      <c r="F21" s="53">
        <f t="shared" ref="F21:G21" si="23">MAX(F3:F17)</f>
        <v>418.49116935757496</v>
      </c>
      <c r="G21" s="53">
        <f t="shared" si="23"/>
        <v>111.5</v>
      </c>
      <c r="H21" s="60">
        <f t="shared" ref="H21" si="24">MAX(H3:H17)</f>
        <v>14.113924050632912</v>
      </c>
      <c r="I21" s="54">
        <f t="shared" si="22"/>
        <v>0.90343033704035736</v>
      </c>
      <c r="J21" s="54">
        <f t="shared" ref="J21:K21" si="25">MAX(J3:J17)</f>
        <v>0.42938736704841723</v>
      </c>
      <c r="K21" s="54">
        <f t="shared" si="25"/>
        <v>0.30114344568011914</v>
      </c>
      <c r="L21" s="54">
        <f t="shared" si="22"/>
        <v>1.5808553095037703</v>
      </c>
      <c r="M21" s="54">
        <f t="shared" ref="M21" si="26">MAX(M3:M17)</f>
        <v>1.3229036105256562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26"/>
  <sheetViews>
    <sheetView workbookViewId="0">
      <selection activeCell="M10" sqref="M10"/>
    </sheetView>
  </sheetViews>
  <sheetFormatPr baseColWidth="10" defaultColWidth="8.83203125" defaultRowHeight="15" x14ac:dyDescent="0.2"/>
  <sheetData>
    <row r="2" spans="2:8" x14ac:dyDescent="0.2">
      <c r="C2" s="6" t="s">
        <v>213</v>
      </c>
      <c r="D2" t="s">
        <v>212</v>
      </c>
    </row>
    <row r="3" spans="2:8" x14ac:dyDescent="0.2">
      <c r="B3" t="s">
        <v>59</v>
      </c>
      <c r="C3" s="6">
        <v>19.561643835616437</v>
      </c>
      <c r="F3">
        <v>1</v>
      </c>
      <c r="G3" t="s">
        <v>8</v>
      </c>
      <c r="H3">
        <v>1</v>
      </c>
    </row>
    <row r="4" spans="2:8" x14ac:dyDescent="0.2">
      <c r="B4" t="s">
        <v>62</v>
      </c>
      <c r="C4" s="6">
        <v>25.133333333333333</v>
      </c>
      <c r="G4" t="s">
        <v>9</v>
      </c>
      <c r="H4" s="61">
        <v>1</v>
      </c>
    </row>
    <row r="5" spans="2:8" x14ac:dyDescent="0.2">
      <c r="B5" t="s">
        <v>64</v>
      </c>
      <c r="C5" s="6">
        <v>21.780219780219781</v>
      </c>
      <c r="G5" t="s">
        <v>52</v>
      </c>
    </row>
    <row r="6" spans="2:8" x14ac:dyDescent="0.2">
      <c r="B6" t="s">
        <v>66</v>
      </c>
      <c r="C6" s="6">
        <v>20.780821917808218</v>
      </c>
      <c r="F6">
        <v>4</v>
      </c>
      <c r="G6" t="s">
        <v>10</v>
      </c>
      <c r="H6">
        <v>1</v>
      </c>
    </row>
    <row r="7" spans="2:8" x14ac:dyDescent="0.2">
      <c r="B7" t="s">
        <v>67</v>
      </c>
      <c r="C7" s="6">
        <v>23.893333333333334</v>
      </c>
      <c r="G7" t="s">
        <v>11</v>
      </c>
      <c r="H7" s="61">
        <v>1</v>
      </c>
    </row>
    <row r="8" spans="2:8" x14ac:dyDescent="0.2">
      <c r="B8" t="s">
        <v>69</v>
      </c>
      <c r="C8" s="6"/>
      <c r="D8" s="6">
        <v>16.257142857142856</v>
      </c>
      <c r="F8">
        <v>6</v>
      </c>
      <c r="G8" t="s">
        <v>12</v>
      </c>
      <c r="H8">
        <v>1</v>
      </c>
    </row>
    <row r="9" spans="2:8" x14ac:dyDescent="0.2">
      <c r="B9" t="s">
        <v>70</v>
      </c>
      <c r="C9" s="6"/>
      <c r="D9" s="6">
        <v>22.877777777777776</v>
      </c>
      <c r="G9" t="s">
        <v>53</v>
      </c>
    </row>
    <row r="10" spans="2:8" x14ac:dyDescent="0.2">
      <c r="B10" t="s">
        <v>71</v>
      </c>
      <c r="C10" s="6">
        <v>14.672000000000001</v>
      </c>
      <c r="F10">
        <v>8</v>
      </c>
      <c r="G10" t="s">
        <v>13</v>
      </c>
      <c r="H10">
        <v>1</v>
      </c>
    </row>
    <row r="11" spans="2:8" x14ac:dyDescent="0.2">
      <c r="B11" t="s">
        <v>72</v>
      </c>
      <c r="C11" s="6"/>
      <c r="D11" s="6">
        <v>28.227848101265824</v>
      </c>
      <c r="F11">
        <v>9</v>
      </c>
      <c r="G11" t="s">
        <v>14</v>
      </c>
      <c r="H11">
        <v>1</v>
      </c>
    </row>
    <row r="12" spans="2:8" x14ac:dyDescent="0.2">
      <c r="B12" t="s">
        <v>73</v>
      </c>
      <c r="C12" s="6"/>
      <c r="D12" s="6">
        <v>25.324324324324323</v>
      </c>
      <c r="G12" t="s">
        <v>54</v>
      </c>
    </row>
    <row r="13" spans="2:8" x14ac:dyDescent="0.2">
      <c r="B13" t="s">
        <v>75</v>
      </c>
      <c r="C13" s="6"/>
      <c r="D13" s="6">
        <v>21.59375</v>
      </c>
      <c r="F13">
        <v>11</v>
      </c>
      <c r="G13" t="s">
        <v>15</v>
      </c>
      <c r="H13">
        <v>1</v>
      </c>
    </row>
    <row r="14" spans="2:8" x14ac:dyDescent="0.2">
      <c r="B14" t="s">
        <v>78</v>
      </c>
      <c r="C14" s="6">
        <v>19.513157894736842</v>
      </c>
      <c r="F14">
        <v>12</v>
      </c>
      <c r="G14" t="s">
        <v>16</v>
      </c>
      <c r="H14">
        <v>1</v>
      </c>
    </row>
    <row r="15" spans="2:8" x14ac:dyDescent="0.2">
      <c r="B15" t="s">
        <v>80</v>
      </c>
      <c r="C15" s="6"/>
      <c r="D15" s="6">
        <v>16.714285714285715</v>
      </c>
      <c r="F15">
        <v>13</v>
      </c>
      <c r="G15" t="s">
        <v>17</v>
      </c>
      <c r="H15">
        <v>1</v>
      </c>
    </row>
    <row r="16" spans="2:8" x14ac:dyDescent="0.2">
      <c r="B16" t="s">
        <v>81</v>
      </c>
      <c r="C16" s="6">
        <v>19.045454545454547</v>
      </c>
      <c r="F16">
        <v>14</v>
      </c>
      <c r="G16" t="s">
        <v>18</v>
      </c>
      <c r="H16">
        <v>1</v>
      </c>
    </row>
    <row r="17" spans="2:8" x14ac:dyDescent="0.2">
      <c r="B17" t="s">
        <v>82</v>
      </c>
      <c r="C17" s="6"/>
      <c r="D17" s="6">
        <v>26.890625</v>
      </c>
      <c r="F17">
        <v>15</v>
      </c>
      <c r="G17" t="s">
        <v>19</v>
      </c>
      <c r="H17">
        <v>1</v>
      </c>
    </row>
    <row r="18" spans="2:8" x14ac:dyDescent="0.2">
      <c r="C18">
        <f>AVERAGE(C3:C17)</f>
        <v>20.547495580062808</v>
      </c>
      <c r="D18">
        <f>AVERAGE(D3:D17)</f>
        <v>22.555107682113782</v>
      </c>
      <c r="G18" t="s">
        <v>55</v>
      </c>
    </row>
    <row r="19" spans="2:8" x14ac:dyDescent="0.2">
      <c r="C19" s="6"/>
      <c r="F19">
        <v>17</v>
      </c>
      <c r="G19" t="s">
        <v>20</v>
      </c>
      <c r="H19">
        <v>1</v>
      </c>
    </row>
    <row r="20" spans="2:8" x14ac:dyDescent="0.2">
      <c r="C20" s="6"/>
      <c r="G20" t="s">
        <v>56</v>
      </c>
    </row>
    <row r="21" spans="2:8" x14ac:dyDescent="0.2">
      <c r="C21" s="6"/>
      <c r="G21" t="s">
        <v>57</v>
      </c>
    </row>
    <row r="22" spans="2:8" x14ac:dyDescent="0.2">
      <c r="C22" s="6"/>
      <c r="F22">
        <v>20</v>
      </c>
      <c r="G22" t="s">
        <v>21</v>
      </c>
      <c r="H22">
        <v>1</v>
      </c>
    </row>
    <row r="23" spans="2:8" x14ac:dyDescent="0.2">
      <c r="C23" s="6"/>
      <c r="G23" t="s">
        <v>58</v>
      </c>
    </row>
    <row r="24" spans="2:8" x14ac:dyDescent="0.2">
      <c r="C24" s="6"/>
      <c r="F24">
        <v>22</v>
      </c>
      <c r="G24" t="s">
        <v>22</v>
      </c>
      <c r="H24">
        <v>1</v>
      </c>
    </row>
    <row r="25" spans="2:8" x14ac:dyDescent="0.2">
      <c r="C25" s="6"/>
      <c r="F25">
        <v>23</v>
      </c>
      <c r="G25" t="s">
        <v>23</v>
      </c>
      <c r="H25">
        <v>1</v>
      </c>
    </row>
    <row r="26" spans="2:8" x14ac:dyDescent="0.2">
      <c r="C26" s="6"/>
      <c r="F26">
        <v>24</v>
      </c>
      <c r="G26" t="s">
        <v>24</v>
      </c>
      <c r="H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R30"/>
  <sheetViews>
    <sheetView zoomScaleNormal="100" workbookViewId="0">
      <selection activeCell="A25" activeCellId="18" sqref="A2 A3 A4 A5 A6 A7 A9 A10 A12 A13 A14 A15 A16 A18 A19 A21 A23 A24 A25"/>
    </sheetView>
  </sheetViews>
  <sheetFormatPr baseColWidth="10" defaultColWidth="8.83203125" defaultRowHeight="15" x14ac:dyDescent="0.2"/>
  <cols>
    <col min="1" max="1" width="11.5" bestFit="1" customWidth="1"/>
    <col min="2" max="2" width="12.6640625" style="3" bestFit="1" customWidth="1"/>
    <col min="3" max="3" width="9.6640625" bestFit="1" customWidth="1"/>
    <col min="4" max="4" width="10.6640625" bestFit="1" customWidth="1"/>
    <col min="5" max="5" width="10.5" style="6" bestFit="1" customWidth="1"/>
    <col min="6" max="6" width="11.1640625" bestFit="1" customWidth="1"/>
    <col min="7" max="9" width="9.6640625" bestFit="1" customWidth="1"/>
    <col min="10" max="10" width="16" bestFit="1" customWidth="1"/>
    <col min="11" max="11" width="16" customWidth="1"/>
    <col min="12" max="12" width="16.6640625" bestFit="1" customWidth="1"/>
    <col min="13" max="13" width="23.1640625" bestFit="1" customWidth="1"/>
    <col min="14" max="14" width="15.1640625" bestFit="1" customWidth="1"/>
  </cols>
  <sheetData>
    <row r="1" spans="1:17" x14ac:dyDescent="0.2">
      <c r="A1" s="1" t="s">
        <v>1</v>
      </c>
      <c r="B1" s="2" t="s">
        <v>2</v>
      </c>
      <c r="C1" s="1" t="s">
        <v>3</v>
      </c>
      <c r="D1" s="1" t="s">
        <v>4</v>
      </c>
      <c r="E1" s="4" t="s">
        <v>6</v>
      </c>
      <c r="F1" s="1" t="s">
        <v>5</v>
      </c>
      <c r="G1" s="1" t="s">
        <v>35</v>
      </c>
      <c r="H1" s="1" t="s">
        <v>38</v>
      </c>
      <c r="I1" s="1" t="s">
        <v>48</v>
      </c>
      <c r="J1" s="1" t="s">
        <v>41</v>
      </c>
      <c r="K1" s="1" t="s">
        <v>49</v>
      </c>
      <c r="L1" s="1" t="s">
        <v>44</v>
      </c>
      <c r="M1" s="1" t="s">
        <v>45</v>
      </c>
      <c r="N1" s="1" t="s">
        <v>46</v>
      </c>
      <c r="O1" s="1" t="s">
        <v>157</v>
      </c>
      <c r="P1" s="1" t="s">
        <v>158</v>
      </c>
      <c r="Q1" s="1" t="s">
        <v>159</v>
      </c>
    </row>
    <row r="2" spans="1:17" x14ac:dyDescent="0.2">
      <c r="A2" s="1" t="s">
        <v>8</v>
      </c>
      <c r="B2" s="4" t="s">
        <v>47</v>
      </c>
      <c r="C2" s="1">
        <v>73</v>
      </c>
      <c r="D2" s="1">
        <v>1825</v>
      </c>
      <c r="E2" s="4" t="s">
        <v>7</v>
      </c>
      <c r="F2" s="1" t="s">
        <v>0</v>
      </c>
      <c r="G2" s="1" t="s">
        <v>36</v>
      </c>
      <c r="H2" s="1">
        <v>100</v>
      </c>
      <c r="I2" s="1" t="s">
        <v>39</v>
      </c>
      <c r="J2" s="1" t="s">
        <v>42</v>
      </c>
      <c r="K2" s="1" t="s">
        <v>50</v>
      </c>
      <c r="L2" s="1">
        <v>1428</v>
      </c>
      <c r="M2" s="1">
        <v>120</v>
      </c>
      <c r="N2" s="1">
        <f>Table2[[#This Row],[peakPower]]/Table2[[#This Row],[mass]]</f>
        <v>19.561643835616437</v>
      </c>
      <c r="O2" s="3">
        <v>0.9</v>
      </c>
      <c r="P2" s="1">
        <v>1.1000000000000001</v>
      </c>
      <c r="Q2">
        <v>1</v>
      </c>
    </row>
    <row r="3" spans="1:17" x14ac:dyDescent="0.2">
      <c r="A3" s="1" t="s">
        <v>9</v>
      </c>
      <c r="B3" s="4" t="s">
        <v>47</v>
      </c>
      <c r="C3" s="1">
        <v>66</v>
      </c>
      <c r="D3" s="1">
        <v>1743</v>
      </c>
      <c r="E3" s="4" t="s">
        <v>25</v>
      </c>
      <c r="F3" s="1" t="s">
        <v>0</v>
      </c>
      <c r="G3" s="1" t="s">
        <v>37</v>
      </c>
      <c r="H3" s="1">
        <v>60</v>
      </c>
      <c r="I3" s="1" t="s">
        <v>40</v>
      </c>
      <c r="J3" s="1" t="s">
        <v>42</v>
      </c>
      <c r="K3" s="1" t="s">
        <v>50</v>
      </c>
      <c r="L3" s="1">
        <v>1212</v>
      </c>
      <c r="M3" s="1">
        <v>123</v>
      </c>
      <c r="N3" s="1">
        <f>Table2[[#This Row],[peakPower]]/Table2[[#This Row],[mass]]</f>
        <v>18.363636363636363</v>
      </c>
      <c r="O3" s="3">
        <v>0</v>
      </c>
      <c r="P3" s="1">
        <v>0</v>
      </c>
      <c r="Q3">
        <v>0</v>
      </c>
    </row>
    <row r="4" spans="1:17" x14ac:dyDescent="0.2">
      <c r="A4" s="1" t="s">
        <v>52</v>
      </c>
      <c r="B4" s="4" t="s">
        <v>87</v>
      </c>
      <c r="C4" s="1">
        <v>59</v>
      </c>
      <c r="D4" s="1">
        <v>1640</v>
      </c>
      <c r="E4" s="4" t="s">
        <v>88</v>
      </c>
      <c r="F4" s="1" t="s">
        <v>89</v>
      </c>
      <c r="G4" s="1" t="s">
        <v>36</v>
      </c>
      <c r="H4" s="1">
        <v>200</v>
      </c>
      <c r="I4" s="1" t="s">
        <v>40</v>
      </c>
      <c r="J4" s="1" t="s">
        <v>43</v>
      </c>
      <c r="K4" s="1" t="s">
        <v>51</v>
      </c>
      <c r="L4" s="1">
        <v>923</v>
      </c>
      <c r="M4" s="1">
        <v>124</v>
      </c>
      <c r="N4" s="1">
        <f>Table2[[#This Row],[peakPower]]/Table2[[#This Row],[mass]]</f>
        <v>15.64406779661017</v>
      </c>
      <c r="O4" s="3">
        <v>0</v>
      </c>
      <c r="P4" s="1">
        <v>0</v>
      </c>
      <c r="Q4">
        <v>0</v>
      </c>
    </row>
    <row r="5" spans="1:17" x14ac:dyDescent="0.2">
      <c r="A5" s="1" t="s">
        <v>10</v>
      </c>
      <c r="B5" s="4" t="s">
        <v>47</v>
      </c>
      <c r="C5" s="1">
        <v>75</v>
      </c>
      <c r="D5" s="1">
        <v>1774</v>
      </c>
      <c r="E5" s="4" t="s">
        <v>26</v>
      </c>
      <c r="F5" s="1" t="s">
        <v>0</v>
      </c>
      <c r="G5" s="1" t="s">
        <v>37</v>
      </c>
      <c r="H5" s="1">
        <v>200</v>
      </c>
      <c r="I5" s="1" t="s">
        <v>40</v>
      </c>
      <c r="J5" s="1" t="s">
        <v>43</v>
      </c>
      <c r="K5" s="1" t="s">
        <v>50</v>
      </c>
      <c r="L5" s="1">
        <v>1885</v>
      </c>
      <c r="M5" s="1">
        <v>120</v>
      </c>
      <c r="N5" s="1">
        <f>Table2[[#This Row],[peakPower]]/Table2[[#This Row],[mass]]</f>
        <v>25.133333333333333</v>
      </c>
      <c r="O5" s="3">
        <v>0.9</v>
      </c>
      <c r="P5" s="1">
        <v>1.1000000000000001</v>
      </c>
      <c r="Q5">
        <v>1</v>
      </c>
    </row>
    <row r="6" spans="1:17" x14ac:dyDescent="0.2">
      <c r="A6" s="1" t="s">
        <v>11</v>
      </c>
      <c r="B6" s="4" t="s">
        <v>47</v>
      </c>
      <c r="C6" s="1">
        <v>75</v>
      </c>
      <c r="D6" s="1">
        <v>1764</v>
      </c>
      <c r="E6" s="4" t="s">
        <v>27</v>
      </c>
      <c r="F6" s="1" t="s">
        <v>0</v>
      </c>
      <c r="G6" s="1" t="s">
        <v>37</v>
      </c>
      <c r="H6" s="1">
        <v>200</v>
      </c>
      <c r="I6" s="1" t="s">
        <v>39</v>
      </c>
      <c r="J6" s="1" t="s">
        <v>43</v>
      </c>
      <c r="K6" s="1" t="s">
        <v>51</v>
      </c>
      <c r="L6" s="1">
        <v>1425</v>
      </c>
      <c r="M6" s="1">
        <v>119</v>
      </c>
      <c r="N6" s="1">
        <f>Table2[[#This Row],[peakPower]]/Table2[[#This Row],[mass]]</f>
        <v>19</v>
      </c>
      <c r="O6" s="3">
        <v>0</v>
      </c>
      <c r="P6" s="1">
        <v>0</v>
      </c>
      <c r="Q6">
        <v>0</v>
      </c>
    </row>
    <row r="7" spans="1:17" x14ac:dyDescent="0.2">
      <c r="A7" s="1" t="s">
        <v>12</v>
      </c>
      <c r="B7" s="4" t="s">
        <v>47</v>
      </c>
      <c r="C7" s="1">
        <v>91</v>
      </c>
      <c r="D7" s="1">
        <v>1880</v>
      </c>
      <c r="E7" s="4" t="s">
        <v>28</v>
      </c>
      <c r="F7" s="1" t="s">
        <v>0</v>
      </c>
      <c r="G7" s="1" t="s">
        <v>37</v>
      </c>
      <c r="H7" s="1">
        <v>60</v>
      </c>
      <c r="I7" s="1" t="s">
        <v>40</v>
      </c>
      <c r="J7" s="1" t="s">
        <v>42</v>
      </c>
      <c r="K7" s="1" t="s">
        <v>50</v>
      </c>
      <c r="L7" s="1">
        <v>1982</v>
      </c>
      <c r="M7" s="1">
        <v>118</v>
      </c>
      <c r="N7" s="1">
        <f>Table2[[#This Row],[peakPower]]/Table2[[#This Row],[mass]]</f>
        <v>21.780219780219781</v>
      </c>
      <c r="O7" s="3">
        <v>0.9</v>
      </c>
      <c r="P7" s="1">
        <v>1.1000000000000001</v>
      </c>
      <c r="Q7">
        <v>1</v>
      </c>
    </row>
    <row r="8" spans="1:17" x14ac:dyDescent="0.2">
      <c r="A8" s="1" t="s">
        <v>53</v>
      </c>
      <c r="B8" s="4"/>
      <c r="C8" s="1"/>
      <c r="D8" s="1"/>
      <c r="E8" s="4"/>
      <c r="F8" s="1"/>
      <c r="G8" s="1"/>
      <c r="H8" s="1"/>
      <c r="I8" s="1"/>
      <c r="J8" s="1"/>
      <c r="K8" s="1"/>
      <c r="L8" s="1"/>
      <c r="M8" s="1"/>
      <c r="N8" s="1"/>
      <c r="O8" s="3">
        <v>0</v>
      </c>
      <c r="P8" s="1">
        <v>0</v>
      </c>
      <c r="Q8">
        <v>0</v>
      </c>
    </row>
    <row r="9" spans="1:17" x14ac:dyDescent="0.2">
      <c r="A9" s="1" t="s">
        <v>13</v>
      </c>
      <c r="B9" s="4" t="s">
        <v>47</v>
      </c>
      <c r="C9" s="1">
        <v>73</v>
      </c>
      <c r="D9" s="1">
        <v>1750</v>
      </c>
      <c r="E9" s="4" t="s">
        <v>27</v>
      </c>
      <c r="F9" s="1" t="s">
        <v>0</v>
      </c>
      <c r="G9" s="1" t="s">
        <v>37</v>
      </c>
      <c r="H9" s="1">
        <v>200</v>
      </c>
      <c r="I9" s="1" t="s">
        <v>40</v>
      </c>
      <c r="J9" s="1" t="s">
        <v>43</v>
      </c>
      <c r="K9" s="1" t="s">
        <v>51</v>
      </c>
      <c r="L9" s="1">
        <v>1517</v>
      </c>
      <c r="M9" s="1">
        <v>123</v>
      </c>
      <c r="N9" s="1">
        <f>Table2[[#This Row],[peakPower]]/Table2[[#This Row],[mass]]</f>
        <v>20.780821917808218</v>
      </c>
      <c r="O9" s="3">
        <v>0.9</v>
      </c>
      <c r="P9" s="1">
        <v>1.1000000000000001</v>
      </c>
      <c r="Q9">
        <v>1</v>
      </c>
    </row>
    <row r="10" spans="1:17" x14ac:dyDescent="0.2">
      <c r="A10" s="1" t="s">
        <v>14</v>
      </c>
      <c r="B10" s="4" t="s">
        <v>47</v>
      </c>
      <c r="C10" s="1">
        <v>75</v>
      </c>
      <c r="D10" s="1">
        <v>1764</v>
      </c>
      <c r="E10" s="4" t="s">
        <v>29</v>
      </c>
      <c r="F10" s="1" t="s">
        <v>0</v>
      </c>
      <c r="G10" s="1" t="s">
        <v>36</v>
      </c>
      <c r="H10" s="1">
        <v>60</v>
      </c>
      <c r="I10" s="1" t="s">
        <v>40</v>
      </c>
      <c r="J10" s="1" t="s">
        <v>42</v>
      </c>
      <c r="K10" s="1" t="s">
        <v>50</v>
      </c>
      <c r="L10" s="1">
        <v>1792</v>
      </c>
      <c r="M10" s="1">
        <v>122</v>
      </c>
      <c r="N10" s="1">
        <f>Table2[[#This Row],[peakPower]]/Table2[[#This Row],[mass]]</f>
        <v>23.893333333333334</v>
      </c>
      <c r="O10" s="3">
        <v>0.9</v>
      </c>
      <c r="P10" s="1">
        <v>1.1000000000000001</v>
      </c>
      <c r="Q10">
        <v>1</v>
      </c>
    </row>
    <row r="11" spans="1:17" x14ac:dyDescent="0.2">
      <c r="A11" s="1" t="s">
        <v>54</v>
      </c>
      <c r="B11" s="4"/>
      <c r="C11" s="1"/>
      <c r="D11" s="1"/>
      <c r="E11" s="4"/>
      <c r="F11" s="1"/>
      <c r="G11" s="1"/>
      <c r="H11" s="1"/>
      <c r="I11" s="1"/>
      <c r="J11" s="1"/>
      <c r="K11" s="1"/>
      <c r="L11" s="1"/>
      <c r="M11" s="1"/>
      <c r="N11" s="1"/>
      <c r="O11" s="3">
        <v>0</v>
      </c>
      <c r="P11" s="1">
        <v>0</v>
      </c>
      <c r="Q11">
        <v>0</v>
      </c>
    </row>
    <row r="12" spans="1:17" x14ac:dyDescent="0.2">
      <c r="A12" s="1" t="s">
        <v>15</v>
      </c>
      <c r="B12" s="4" t="s">
        <v>47</v>
      </c>
      <c r="C12" s="1">
        <v>70</v>
      </c>
      <c r="D12" s="1">
        <v>1750</v>
      </c>
      <c r="E12" s="4" t="s">
        <v>28</v>
      </c>
      <c r="F12" s="1" t="s">
        <v>0</v>
      </c>
      <c r="G12" s="1" t="s">
        <v>36</v>
      </c>
      <c r="H12" s="1">
        <v>100</v>
      </c>
      <c r="I12" s="1" t="s">
        <v>39</v>
      </c>
      <c r="J12" s="1" t="s">
        <v>42</v>
      </c>
      <c r="K12" s="1" t="s">
        <v>50</v>
      </c>
      <c r="L12" s="1">
        <v>1138</v>
      </c>
      <c r="M12" s="1">
        <v>119</v>
      </c>
      <c r="N12" s="1">
        <f>Table2[[#This Row],[peakPower]]/Table2[[#This Row],[mass]]</f>
        <v>16.257142857142856</v>
      </c>
      <c r="O12" s="3">
        <v>0.9</v>
      </c>
      <c r="P12" s="1">
        <v>1.4</v>
      </c>
      <c r="Q12">
        <v>1</v>
      </c>
    </row>
    <row r="13" spans="1:17" x14ac:dyDescent="0.2">
      <c r="A13" s="1" t="s">
        <v>16</v>
      </c>
      <c r="B13" s="4" t="s">
        <v>47</v>
      </c>
      <c r="C13" s="1">
        <v>90</v>
      </c>
      <c r="D13" s="1">
        <v>1840</v>
      </c>
      <c r="E13" s="4" t="s">
        <v>30</v>
      </c>
      <c r="F13" s="1" t="s">
        <v>0</v>
      </c>
      <c r="G13" s="1" t="s">
        <v>36</v>
      </c>
      <c r="H13" s="1">
        <v>200</v>
      </c>
      <c r="I13" s="1" t="s">
        <v>40</v>
      </c>
      <c r="J13" s="1" t="s">
        <v>43</v>
      </c>
      <c r="K13" s="1" t="s">
        <v>51</v>
      </c>
      <c r="L13" s="1">
        <v>2059</v>
      </c>
      <c r="M13" s="1">
        <v>121</v>
      </c>
      <c r="N13" s="1">
        <f>Table2[[#This Row],[peakPower]]/Table2[[#This Row],[mass]]</f>
        <v>22.877777777777776</v>
      </c>
      <c r="O13" s="3">
        <v>0.9</v>
      </c>
      <c r="P13" s="1">
        <v>1.1000000000000001</v>
      </c>
      <c r="Q13">
        <v>1</v>
      </c>
    </row>
    <row r="14" spans="1:17" x14ac:dyDescent="0.2">
      <c r="A14" s="1" t="s">
        <v>17</v>
      </c>
      <c r="B14" s="4" t="s">
        <v>47</v>
      </c>
      <c r="C14" s="1">
        <v>62.5</v>
      </c>
      <c r="D14" s="1">
        <v>1790</v>
      </c>
      <c r="E14" s="4" t="s">
        <v>27</v>
      </c>
      <c r="F14" s="1" t="s">
        <v>0</v>
      </c>
      <c r="G14" s="1" t="s">
        <v>37</v>
      </c>
      <c r="H14" s="1">
        <v>100</v>
      </c>
      <c r="I14" s="1" t="s">
        <v>39</v>
      </c>
      <c r="J14" s="1" t="s">
        <v>42</v>
      </c>
      <c r="K14" s="1" t="s">
        <v>50</v>
      </c>
      <c r="L14" s="1">
        <v>917</v>
      </c>
      <c r="M14" s="1">
        <v>124</v>
      </c>
      <c r="N14" s="1">
        <f>Table2[[#This Row],[peakPower]]/Table2[[#This Row],[mass]]</f>
        <v>14.672000000000001</v>
      </c>
      <c r="O14" s="3">
        <v>0.9</v>
      </c>
      <c r="P14" s="1">
        <v>1.3</v>
      </c>
      <c r="Q14">
        <v>1</v>
      </c>
    </row>
    <row r="15" spans="1:17" x14ac:dyDescent="0.2">
      <c r="A15" s="1" t="s">
        <v>18</v>
      </c>
      <c r="B15" s="4" t="s">
        <v>47</v>
      </c>
      <c r="C15" s="1">
        <v>79</v>
      </c>
      <c r="D15" s="1">
        <v>1830</v>
      </c>
      <c r="E15" s="4" t="s">
        <v>31</v>
      </c>
      <c r="F15" s="1" t="s">
        <v>0</v>
      </c>
      <c r="G15" s="1" t="s">
        <v>36</v>
      </c>
      <c r="H15" s="1">
        <v>100</v>
      </c>
      <c r="I15" s="1" t="s">
        <v>39</v>
      </c>
      <c r="J15" s="1" t="s">
        <v>42</v>
      </c>
      <c r="K15" s="1" t="s">
        <v>50</v>
      </c>
      <c r="L15" s="1">
        <v>2230</v>
      </c>
      <c r="M15" s="1">
        <v>118</v>
      </c>
      <c r="N15" s="1">
        <f>Table2[[#This Row],[peakPower]]/Table2[[#This Row],[mass]]</f>
        <v>28.227848101265824</v>
      </c>
      <c r="O15" s="3">
        <v>0.7</v>
      </c>
      <c r="P15" s="1">
        <v>1.3</v>
      </c>
      <c r="Q15">
        <v>1</v>
      </c>
    </row>
    <row r="16" spans="1:17" x14ac:dyDescent="0.2">
      <c r="A16" s="1" t="s">
        <v>19</v>
      </c>
      <c r="B16" s="4" t="s">
        <v>47</v>
      </c>
      <c r="C16" s="1">
        <v>74</v>
      </c>
      <c r="D16" s="1">
        <v>1750</v>
      </c>
      <c r="E16" s="4" t="s">
        <v>32</v>
      </c>
      <c r="F16" s="1" t="s">
        <v>0</v>
      </c>
      <c r="G16" s="1" t="s">
        <v>36</v>
      </c>
      <c r="H16" s="1">
        <v>100</v>
      </c>
      <c r="I16" s="1" t="s">
        <v>39</v>
      </c>
      <c r="J16" s="1" t="s">
        <v>42</v>
      </c>
      <c r="K16" s="1" t="s">
        <v>50</v>
      </c>
      <c r="L16" s="1">
        <v>1874</v>
      </c>
      <c r="M16" s="1">
        <v>116</v>
      </c>
      <c r="N16" s="1">
        <f>Table2[[#This Row],[peakPower]]/Table2[[#This Row],[mass]]</f>
        <v>25.324324324324323</v>
      </c>
      <c r="O16" s="3">
        <v>0.9</v>
      </c>
      <c r="P16" s="1">
        <v>1.1000000000000001</v>
      </c>
      <c r="Q16">
        <v>1</v>
      </c>
    </row>
    <row r="17" spans="1:18" x14ac:dyDescent="0.2">
      <c r="A17" s="1" t="s">
        <v>55</v>
      </c>
      <c r="B17" s="4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3">
        <v>0</v>
      </c>
      <c r="P17" s="1">
        <v>0</v>
      </c>
      <c r="Q17">
        <v>0</v>
      </c>
    </row>
    <row r="18" spans="1:18" x14ac:dyDescent="0.2">
      <c r="A18" s="1" t="s">
        <v>20</v>
      </c>
      <c r="B18" s="4" t="s">
        <v>47</v>
      </c>
      <c r="C18" s="1">
        <v>64</v>
      </c>
      <c r="D18" s="1">
        <v>1720</v>
      </c>
      <c r="E18" s="4" t="s">
        <v>31</v>
      </c>
      <c r="F18" s="1" t="s">
        <v>0</v>
      </c>
      <c r="G18" s="1" t="s">
        <v>36</v>
      </c>
      <c r="H18" s="1">
        <v>100</v>
      </c>
      <c r="I18" s="1" t="s">
        <v>39</v>
      </c>
      <c r="J18" s="1" t="s">
        <v>42</v>
      </c>
      <c r="K18" s="1" t="s">
        <v>50</v>
      </c>
      <c r="L18" s="1">
        <v>1382</v>
      </c>
      <c r="M18" s="1">
        <v>118</v>
      </c>
      <c r="N18" s="1">
        <f>Table2[[#This Row],[peakPower]]/Table2[[#This Row],[mass]]</f>
        <v>21.59375</v>
      </c>
      <c r="O18" s="3">
        <v>0.8</v>
      </c>
      <c r="P18" s="1">
        <v>1.2</v>
      </c>
      <c r="Q18">
        <v>1</v>
      </c>
    </row>
    <row r="19" spans="1:18" x14ac:dyDescent="0.2">
      <c r="A19" s="1" t="s">
        <v>56</v>
      </c>
      <c r="B19" s="4" t="s">
        <v>90</v>
      </c>
      <c r="C19" s="1">
        <v>61</v>
      </c>
      <c r="D19" s="1">
        <v>1702</v>
      </c>
      <c r="E19" s="4" t="s">
        <v>91</v>
      </c>
      <c r="F19" s="1" t="s">
        <v>89</v>
      </c>
      <c r="G19" s="1" t="s">
        <v>37</v>
      </c>
      <c r="H19" s="1">
        <v>200</v>
      </c>
      <c r="I19" s="1" t="s">
        <v>40</v>
      </c>
      <c r="J19" s="1" t="s">
        <v>43</v>
      </c>
      <c r="K19" s="1" t="s">
        <v>51</v>
      </c>
      <c r="L19" s="1">
        <v>1009</v>
      </c>
      <c r="M19" s="1">
        <v>120</v>
      </c>
      <c r="N19" s="1">
        <f>Table2[[#This Row],[peakPower]]/Table2[[#This Row],[mass]]</f>
        <v>16.540983606557376</v>
      </c>
      <c r="O19" s="3">
        <v>0</v>
      </c>
      <c r="P19" s="1">
        <v>0</v>
      </c>
      <c r="Q19">
        <v>0</v>
      </c>
    </row>
    <row r="20" spans="1:18" x14ac:dyDescent="0.2">
      <c r="A20" s="1" t="s">
        <v>57</v>
      </c>
      <c r="B20" s="4"/>
      <c r="C20" s="1"/>
      <c r="D20" s="1"/>
      <c r="E20" s="4"/>
      <c r="F20" s="1"/>
      <c r="G20" s="1"/>
      <c r="H20" s="1"/>
      <c r="I20" s="1"/>
      <c r="J20" s="1"/>
      <c r="K20" s="1"/>
      <c r="L20" s="1"/>
      <c r="M20" s="1"/>
      <c r="N20" s="1"/>
      <c r="O20" s="3">
        <v>0</v>
      </c>
      <c r="P20" s="1">
        <v>0</v>
      </c>
      <c r="Q20">
        <v>0</v>
      </c>
    </row>
    <row r="21" spans="1:18" x14ac:dyDescent="0.2">
      <c r="A21" s="1" t="s">
        <v>21</v>
      </c>
      <c r="B21" s="4" t="s">
        <v>47</v>
      </c>
      <c r="C21" s="1">
        <v>76</v>
      </c>
      <c r="D21" s="1">
        <v>1722</v>
      </c>
      <c r="E21" s="4" t="s">
        <v>32</v>
      </c>
      <c r="F21" s="1" t="s">
        <v>0</v>
      </c>
      <c r="G21" s="1" t="s">
        <v>37</v>
      </c>
      <c r="H21" s="1">
        <v>60</v>
      </c>
      <c r="I21" s="1" t="s">
        <v>40</v>
      </c>
      <c r="J21" s="1" t="s">
        <v>42</v>
      </c>
      <c r="K21" s="1" t="s">
        <v>50</v>
      </c>
      <c r="L21" s="1">
        <v>1483</v>
      </c>
      <c r="M21" s="1">
        <v>121</v>
      </c>
      <c r="N21" s="1">
        <f>Table2[[#This Row],[peakPower]]/Table2[[#This Row],[mass]]</f>
        <v>19.513157894736842</v>
      </c>
      <c r="O21" s="3">
        <v>0.9</v>
      </c>
      <c r="P21" s="1">
        <v>1.1000000000000001</v>
      </c>
      <c r="Q21">
        <v>1</v>
      </c>
    </row>
    <row r="22" spans="1:18" x14ac:dyDescent="0.2">
      <c r="A22" s="1" t="s">
        <v>58</v>
      </c>
      <c r="B22" s="4"/>
      <c r="C22" s="1"/>
      <c r="D22" s="1"/>
      <c r="E22" s="4"/>
      <c r="F22" s="1"/>
      <c r="G22" s="1"/>
      <c r="H22" s="1"/>
      <c r="I22" s="1"/>
      <c r="J22" s="1"/>
      <c r="K22" s="1"/>
      <c r="L22" s="1"/>
      <c r="M22" s="1"/>
      <c r="N22" s="1"/>
      <c r="O22" s="3">
        <v>0</v>
      </c>
      <c r="P22" s="1">
        <v>0</v>
      </c>
      <c r="Q22">
        <v>0</v>
      </c>
    </row>
    <row r="23" spans="1:18" x14ac:dyDescent="0.2">
      <c r="A23" s="1" t="s">
        <v>22</v>
      </c>
      <c r="B23" s="4" t="s">
        <v>47</v>
      </c>
      <c r="C23" s="1">
        <v>84</v>
      </c>
      <c r="D23" s="1">
        <v>1870</v>
      </c>
      <c r="E23" s="4" t="s">
        <v>33</v>
      </c>
      <c r="F23" s="1" t="s">
        <v>0</v>
      </c>
      <c r="G23" s="1" t="s">
        <v>36</v>
      </c>
      <c r="H23" s="1">
        <v>100</v>
      </c>
      <c r="I23" s="1" t="s">
        <v>39</v>
      </c>
      <c r="J23" s="1" t="s">
        <v>42</v>
      </c>
      <c r="K23" s="1" t="s">
        <v>50</v>
      </c>
      <c r="L23" s="1">
        <v>1404</v>
      </c>
      <c r="M23" s="1">
        <v>119</v>
      </c>
      <c r="N23" s="1">
        <f>Table2[[#This Row],[peakPower]]/Table2[[#This Row],[mass]]</f>
        <v>16.714285714285715</v>
      </c>
      <c r="O23" s="3">
        <v>0.7</v>
      </c>
      <c r="P23" s="1">
        <v>1.3</v>
      </c>
      <c r="Q23">
        <v>1</v>
      </c>
    </row>
    <row r="24" spans="1:18" x14ac:dyDescent="0.2">
      <c r="A24" s="1" t="s">
        <v>23</v>
      </c>
      <c r="B24" s="4" t="s">
        <v>47</v>
      </c>
      <c r="C24" s="1">
        <v>66</v>
      </c>
      <c r="D24" s="1">
        <v>1812</v>
      </c>
      <c r="E24" s="4" t="s">
        <v>27</v>
      </c>
      <c r="F24" s="1" t="s">
        <v>0</v>
      </c>
      <c r="G24" s="1" t="s">
        <v>37</v>
      </c>
      <c r="H24" s="1">
        <v>200</v>
      </c>
      <c r="I24" s="1" t="s">
        <v>40</v>
      </c>
      <c r="J24" s="1" t="s">
        <v>43</v>
      </c>
      <c r="K24" s="1" t="s">
        <v>51</v>
      </c>
      <c r="L24" s="1">
        <v>1257</v>
      </c>
      <c r="M24" s="1">
        <v>118</v>
      </c>
      <c r="N24" s="1">
        <f>Table2[[#This Row],[peakPower]]/Table2[[#This Row],[mass]]</f>
        <v>19.045454545454547</v>
      </c>
      <c r="O24" s="3">
        <v>0.9</v>
      </c>
      <c r="P24" s="1">
        <v>1.1000000000000001</v>
      </c>
      <c r="Q24">
        <v>1</v>
      </c>
    </row>
    <row r="25" spans="1:18" x14ac:dyDescent="0.2">
      <c r="A25" s="1" t="s">
        <v>24</v>
      </c>
      <c r="B25" s="4" t="s">
        <v>47</v>
      </c>
      <c r="C25" s="1">
        <v>64</v>
      </c>
      <c r="D25" s="1">
        <v>1720</v>
      </c>
      <c r="E25" s="4" t="s">
        <v>34</v>
      </c>
      <c r="F25" s="1" t="s">
        <v>0</v>
      </c>
      <c r="G25" s="1" t="s">
        <v>36</v>
      </c>
      <c r="H25" s="1">
        <v>100</v>
      </c>
      <c r="I25" s="1" t="s">
        <v>39</v>
      </c>
      <c r="J25" s="1" t="s">
        <v>42</v>
      </c>
      <c r="K25" s="1" t="s">
        <v>50</v>
      </c>
      <c r="L25" s="1">
        <v>1721</v>
      </c>
      <c r="M25" s="1">
        <v>120</v>
      </c>
      <c r="N25" s="1">
        <f>Table2[[#This Row],[peakPower]]/Table2[[#This Row],[mass]]</f>
        <v>26.890625</v>
      </c>
      <c r="O25" s="3">
        <v>0.9</v>
      </c>
      <c r="P25" s="1">
        <v>1.1000000000000001</v>
      </c>
      <c r="Q25">
        <v>1</v>
      </c>
    </row>
    <row r="26" spans="1:18" x14ac:dyDescent="0.2">
      <c r="A26" s="1" t="s">
        <v>98</v>
      </c>
      <c r="B26" s="4">
        <f>SUBTOTAL(103,Table2[testDate])</f>
        <v>19</v>
      </c>
      <c r="C26" s="1">
        <f>SUBTOTAL(101,Table2[mass])</f>
        <v>72.5</v>
      </c>
      <c r="D26" s="11">
        <f>SUBTOTAL(101,Table2[height])</f>
        <v>1770.8421052631579</v>
      </c>
      <c r="E26" s="4"/>
      <c r="F26" s="1"/>
      <c r="G26" s="1"/>
      <c r="H26" s="1"/>
      <c r="I26" s="1"/>
      <c r="J26" s="1" t="e">
        <f>SUBTOTAL(101,Table2[sessionTiming])</f>
        <v>#DIV/0!</v>
      </c>
      <c r="K26" s="1"/>
      <c r="L26" s="1">
        <f>SUBTOTAL(101,Table2[peakPower])</f>
        <v>1507.2631578947369</v>
      </c>
      <c r="M26" s="1">
        <f>SUBTOTAL(101,Table2[cadence])</f>
        <v>120.15789473684211</v>
      </c>
      <c r="N26" s="1">
        <f>SUBTOTAL(107,Table2[relativePower])</f>
        <v>3.9541778311419251</v>
      </c>
      <c r="O26" s="1"/>
      <c r="P26" s="1"/>
      <c r="Q26" s="1"/>
      <c r="R26" s="10"/>
    </row>
    <row r="27" spans="1:18" x14ac:dyDescent="0.2">
      <c r="K27" s="27">
        <f>35/L27</f>
        <v>4.644179062783714E-2</v>
      </c>
      <c r="L27">
        <f>Table2[[#Totals],[peakPower]]/2</f>
        <v>753.63157894736844</v>
      </c>
      <c r="R27" s="10"/>
    </row>
    <row r="28" spans="1:18" x14ac:dyDescent="0.2">
      <c r="L28">
        <f>Table2[[#Totals],[peakPower]]/Table2[[#Totals],[mass]]</f>
        <v>20.789836660617059</v>
      </c>
    </row>
    <row r="29" spans="1:18" x14ac:dyDescent="0.2">
      <c r="L29">
        <f>L28/2</f>
        <v>10.39491833030853</v>
      </c>
    </row>
    <row r="30" spans="1:18" x14ac:dyDescent="0.2">
      <c r="K30">
        <v>10.4</v>
      </c>
      <c r="L30">
        <v>2.7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5"/>
  <sheetViews>
    <sheetView workbookViewId="0">
      <selection activeCell="A20" sqref="A20"/>
    </sheetView>
  </sheetViews>
  <sheetFormatPr baseColWidth="10" defaultColWidth="8.83203125" defaultRowHeight="15" x14ac:dyDescent="0.2"/>
  <cols>
    <col min="1" max="1" width="22" bestFit="1" customWidth="1"/>
    <col min="2" max="16" width="9.1640625" bestFit="1" customWidth="1"/>
  </cols>
  <sheetData>
    <row r="1" spans="1:17" x14ac:dyDescent="0.2">
      <c r="A1" t="s">
        <v>178</v>
      </c>
      <c r="B1" s="44">
        <v>593</v>
      </c>
      <c r="C1" s="40">
        <v>610.84984342278403</v>
      </c>
      <c r="D1" s="40">
        <v>618.99485123219097</v>
      </c>
      <c r="E1" s="40">
        <v>605.12943435294801</v>
      </c>
      <c r="F1" s="40">
        <v>649.60287483796196</v>
      </c>
      <c r="G1" s="45">
        <v>529</v>
      </c>
      <c r="H1" s="40">
        <v>654.95400154605898</v>
      </c>
      <c r="I1" s="45">
        <v>438</v>
      </c>
      <c r="J1" s="45">
        <v>637</v>
      </c>
      <c r="K1" s="45">
        <v>582</v>
      </c>
      <c r="L1" s="45">
        <v>463</v>
      </c>
      <c r="M1" s="40">
        <v>495.269317354696</v>
      </c>
      <c r="N1" s="45">
        <v>524</v>
      </c>
      <c r="O1" s="40">
        <v>543.06980799316295</v>
      </c>
      <c r="P1">
        <v>603</v>
      </c>
    </row>
    <row r="2" spans="1:17" x14ac:dyDescent="0.2">
      <c r="A2" t="s">
        <v>177</v>
      </c>
      <c r="B2" s="40">
        <v>592.64511593085797</v>
      </c>
      <c r="C2" s="40">
        <v>656.86787446332005</v>
      </c>
      <c r="D2" s="40">
        <v>705.61864123842497</v>
      </c>
      <c r="E2" s="40">
        <v>614.37492480407798</v>
      </c>
      <c r="F2" s="40">
        <v>680.91265008157302</v>
      </c>
      <c r="G2" s="40">
        <v>528.67630848480201</v>
      </c>
      <c r="H2" s="40">
        <v>721.47873197449803</v>
      </c>
      <c r="I2" s="40">
        <v>438.04491454499998</v>
      </c>
      <c r="J2" s="40">
        <v>637.35119684070696</v>
      </c>
      <c r="K2" s="40">
        <v>581.96115052890696</v>
      </c>
      <c r="L2" s="40">
        <v>463.087234926961</v>
      </c>
      <c r="M2" s="40">
        <v>508.41038411852799</v>
      </c>
      <c r="N2" s="40">
        <v>524.32614688453305</v>
      </c>
      <c r="O2" s="40">
        <v>561.42041142170297</v>
      </c>
      <c r="P2" s="40">
        <v>603.00273826289401</v>
      </c>
    </row>
    <row r="3" spans="1:17" x14ac:dyDescent="0.2">
      <c r="A3" t="s">
        <v>179</v>
      </c>
      <c r="B3" s="41">
        <f>SUM(B1:B2)</f>
        <v>1185.6451159308581</v>
      </c>
      <c r="C3" s="41">
        <f t="shared" ref="C3:P3" si="0">SUM(C1:C2)</f>
        <v>1267.7177178861041</v>
      </c>
      <c r="D3" s="41">
        <f t="shared" si="0"/>
        <v>1324.6134924706159</v>
      </c>
      <c r="E3" s="41">
        <f t="shared" si="0"/>
        <v>1219.5043591570261</v>
      </c>
      <c r="F3" s="41">
        <f t="shared" si="0"/>
        <v>1330.515524919535</v>
      </c>
      <c r="G3" s="41">
        <f t="shared" si="0"/>
        <v>1057.6763084848021</v>
      </c>
      <c r="H3" s="41">
        <f t="shared" si="0"/>
        <v>1376.4327335205571</v>
      </c>
      <c r="I3" s="41">
        <f t="shared" si="0"/>
        <v>876.04491454499998</v>
      </c>
      <c r="J3" s="41">
        <f t="shared" si="0"/>
        <v>1274.351196840707</v>
      </c>
      <c r="K3" s="41">
        <f t="shared" si="0"/>
        <v>1163.961150528907</v>
      </c>
      <c r="L3" s="41">
        <f t="shared" si="0"/>
        <v>926.08723492696095</v>
      </c>
      <c r="M3" s="41">
        <f t="shared" si="0"/>
        <v>1003.679701473224</v>
      </c>
      <c r="N3" s="41">
        <f t="shared" si="0"/>
        <v>1048.326146884533</v>
      </c>
      <c r="O3" s="41">
        <f t="shared" si="0"/>
        <v>1104.4902194148658</v>
      </c>
      <c r="P3" s="41">
        <f t="shared" si="0"/>
        <v>1206.0027382628941</v>
      </c>
      <c r="Q3">
        <f>AVERAGE(B3:P3)</f>
        <v>1157.669903683106</v>
      </c>
    </row>
    <row r="4" spans="1:17" x14ac:dyDescent="0.2">
      <c r="A4" t="s">
        <v>174</v>
      </c>
      <c r="B4">
        <v>1428</v>
      </c>
      <c r="C4">
        <v>1885</v>
      </c>
      <c r="D4">
        <v>1982</v>
      </c>
      <c r="E4">
        <v>1517</v>
      </c>
      <c r="F4">
        <v>1792</v>
      </c>
      <c r="G4">
        <v>1138</v>
      </c>
      <c r="H4">
        <v>2059</v>
      </c>
      <c r="I4">
        <v>917</v>
      </c>
      <c r="J4">
        <v>2230</v>
      </c>
      <c r="K4">
        <v>1874</v>
      </c>
      <c r="L4">
        <v>1382</v>
      </c>
      <c r="M4">
        <v>1483</v>
      </c>
      <c r="N4">
        <v>1404</v>
      </c>
      <c r="O4">
        <v>1257</v>
      </c>
      <c r="P4">
        <v>1721</v>
      </c>
      <c r="Q4">
        <f>AVERAGE(B4:P4)</f>
        <v>1604.6</v>
      </c>
    </row>
    <row r="5" spans="1:17" x14ac:dyDescent="0.2">
      <c r="A5" t="s">
        <v>175</v>
      </c>
      <c r="B5" s="41"/>
      <c r="C5" s="41">
        <f t="shared" ref="C5:O5" si="1">C4-C3</f>
        <v>617.28228211389592</v>
      </c>
      <c r="D5" s="41">
        <f t="shared" si="1"/>
        <v>657.38650752938406</v>
      </c>
      <c r="E5" s="41">
        <f t="shared" si="1"/>
        <v>297.4956408429739</v>
      </c>
      <c r="F5" s="41">
        <f t="shared" si="1"/>
        <v>461.48447508046502</v>
      </c>
      <c r="G5" s="41"/>
      <c r="H5" s="41">
        <f t="shared" si="1"/>
        <v>682.56726647944288</v>
      </c>
      <c r="I5" s="41"/>
      <c r="J5" s="41"/>
      <c r="K5" s="41"/>
      <c r="L5" s="41"/>
      <c r="M5" s="41">
        <f t="shared" si="1"/>
        <v>479.32029852677601</v>
      </c>
      <c r="N5" s="41"/>
      <c r="O5" s="41">
        <f t="shared" si="1"/>
        <v>152.50978058513419</v>
      </c>
      <c r="P5" s="41"/>
    </row>
    <row r="6" spans="1:17" x14ac:dyDescent="0.2">
      <c r="A6" t="s">
        <v>182</v>
      </c>
      <c r="B6" s="41">
        <f>B4-B3</f>
        <v>242.35488406914192</v>
      </c>
      <c r="C6" s="41"/>
      <c r="D6" s="41"/>
      <c r="E6" s="41"/>
      <c r="F6" s="41"/>
      <c r="G6" s="41">
        <f t="shared" ref="G6:P6" si="2">G4-G3</f>
        <v>80.323691515197879</v>
      </c>
      <c r="H6" s="41"/>
      <c r="I6" s="41">
        <f t="shared" si="2"/>
        <v>40.955085455000017</v>
      </c>
      <c r="J6" s="41">
        <f t="shared" si="2"/>
        <v>955.64880315929304</v>
      </c>
      <c r="K6" s="41">
        <f t="shared" si="2"/>
        <v>710.03884947109304</v>
      </c>
      <c r="L6" s="41">
        <f t="shared" si="2"/>
        <v>455.91276507303905</v>
      </c>
      <c r="M6" s="41"/>
      <c r="N6" s="41">
        <f t="shared" si="2"/>
        <v>355.67385311546695</v>
      </c>
      <c r="O6" s="41"/>
      <c r="P6" s="41">
        <f t="shared" si="2"/>
        <v>514.99726173710587</v>
      </c>
    </row>
    <row r="7" spans="1:17" x14ac:dyDescent="0.2">
      <c r="A7" t="s">
        <v>176</v>
      </c>
      <c r="B7" s="42"/>
      <c r="C7" s="42">
        <f t="shared" ref="C7:O7" si="3">1-(C3/C4)</f>
        <v>0.32747070669172196</v>
      </c>
      <c r="D7" s="42">
        <f t="shared" si="3"/>
        <v>0.3316783589956529</v>
      </c>
      <c r="E7" s="42">
        <f t="shared" si="3"/>
        <v>0.19610787135331176</v>
      </c>
      <c r="F7" s="42">
        <f t="shared" si="3"/>
        <v>0.25752481868329524</v>
      </c>
      <c r="G7" s="42"/>
      <c r="H7" s="42">
        <f t="shared" si="3"/>
        <v>0.33150425763936031</v>
      </c>
      <c r="I7" s="42"/>
      <c r="J7" s="42"/>
      <c r="K7" s="42"/>
      <c r="L7" s="42"/>
      <c r="M7" s="42">
        <f t="shared" si="3"/>
        <v>0.32320991134644372</v>
      </c>
      <c r="N7" s="42"/>
      <c r="O7" s="42">
        <f t="shared" si="3"/>
        <v>0.12132838550925551</v>
      </c>
      <c r="P7" s="41"/>
      <c r="Q7" s="15">
        <f>AVERAGE(B7:P7)</f>
        <v>0.26983204431700591</v>
      </c>
    </row>
    <row r="8" spans="1:17" x14ac:dyDescent="0.2">
      <c r="A8" t="s">
        <v>183</v>
      </c>
      <c r="B8" s="42">
        <f>1-(B3/B4)</f>
        <v>0.1697163053705476</v>
      </c>
      <c r="C8" s="42"/>
      <c r="D8" s="42"/>
      <c r="E8" s="42"/>
      <c r="F8" s="42"/>
      <c r="G8" s="42">
        <f t="shared" ref="G8:P8" si="4">1-(G3/G4)</f>
        <v>7.0583208712827639E-2</v>
      </c>
      <c r="H8" s="42"/>
      <c r="I8" s="42">
        <f t="shared" si="4"/>
        <v>4.466203430207194E-2</v>
      </c>
      <c r="J8" s="42">
        <f t="shared" si="4"/>
        <v>0.42854206419699237</v>
      </c>
      <c r="K8" s="42">
        <f t="shared" si="4"/>
        <v>0.37888946076365693</v>
      </c>
      <c r="L8" s="42">
        <f t="shared" si="4"/>
        <v>0.32989346242622219</v>
      </c>
      <c r="M8" s="42"/>
      <c r="N8" s="42">
        <f t="shared" si="4"/>
        <v>0.25332895521044652</v>
      </c>
      <c r="O8" s="42"/>
      <c r="P8" s="42">
        <f t="shared" si="4"/>
        <v>0.29924303412963738</v>
      </c>
      <c r="Q8" s="15">
        <f>AVERAGE(B8:P8)</f>
        <v>0.24685731563905033</v>
      </c>
    </row>
    <row r="9" spans="1:17" x14ac:dyDescent="0.2">
      <c r="P9" s="40"/>
    </row>
    <row r="10" spans="1:17" x14ac:dyDescent="0.2">
      <c r="A10" t="s">
        <v>180</v>
      </c>
      <c r="B10">
        <v>120</v>
      </c>
      <c r="C10">
        <v>120</v>
      </c>
      <c r="D10">
        <v>118</v>
      </c>
      <c r="E10">
        <v>123</v>
      </c>
      <c r="F10">
        <v>122</v>
      </c>
      <c r="G10">
        <v>119</v>
      </c>
      <c r="H10">
        <v>121</v>
      </c>
      <c r="I10">
        <v>124</v>
      </c>
      <c r="J10">
        <v>118</v>
      </c>
      <c r="K10">
        <v>116</v>
      </c>
      <c r="L10">
        <v>118</v>
      </c>
      <c r="M10">
        <v>121</v>
      </c>
      <c r="N10">
        <v>119</v>
      </c>
      <c r="O10">
        <v>118</v>
      </c>
      <c r="P10" s="40">
        <v>120</v>
      </c>
    </row>
    <row r="11" spans="1:17" x14ac:dyDescent="0.2">
      <c r="P11" s="40"/>
    </row>
    <row r="12" spans="1:17" x14ac:dyDescent="0.2">
      <c r="A12" t="s">
        <v>181</v>
      </c>
      <c r="B12" s="42">
        <f>B1/B2</f>
        <v>1.0005988137919346</v>
      </c>
      <c r="C12" s="42">
        <f t="shared" ref="C12:P12" si="5">C1/C2</f>
        <v>0.92994324607801215</v>
      </c>
      <c r="D12" s="42">
        <f t="shared" si="5"/>
        <v>0.87723710097255736</v>
      </c>
      <c r="E12" s="42">
        <f t="shared" si="5"/>
        <v>0.98495138704744778</v>
      </c>
      <c r="F12" s="42">
        <f t="shared" si="5"/>
        <v>0.95401792691050735</v>
      </c>
      <c r="G12" s="42">
        <f t="shared" si="5"/>
        <v>1.0006122678659948</v>
      </c>
      <c r="H12" s="42">
        <f t="shared" si="5"/>
        <v>0.90779391341671523</v>
      </c>
      <c r="I12" s="42">
        <f t="shared" si="5"/>
        <v>0.9998974658910339</v>
      </c>
      <c r="J12" s="42">
        <f t="shared" si="5"/>
        <v>0.99944897437637548</v>
      </c>
      <c r="K12" s="42">
        <f t="shared" si="5"/>
        <v>1.0000667561246275</v>
      </c>
      <c r="L12" s="42">
        <f t="shared" si="5"/>
        <v>0.99981162312328742</v>
      </c>
      <c r="M12" s="42">
        <f t="shared" si="5"/>
        <v>0.97415263894222837</v>
      </c>
      <c r="N12" s="42">
        <f t="shared" si="5"/>
        <v>0.99937796944426482</v>
      </c>
      <c r="O12" s="42">
        <f t="shared" si="5"/>
        <v>0.96731397174878231</v>
      </c>
      <c r="P12" s="39">
        <f t="shared" si="5"/>
        <v>0.99999545895446196</v>
      </c>
    </row>
    <row r="13" spans="1:17" x14ac:dyDescent="0.2"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39"/>
    </row>
    <row r="14" spans="1:17" x14ac:dyDescent="0.2">
      <c r="A14" t="s">
        <v>184</v>
      </c>
      <c r="B14" s="42">
        <f>B3/B4</f>
        <v>0.8302836946294524</v>
      </c>
      <c r="C14" s="42">
        <f t="shared" ref="C14:P14" si="6">C3/C4</f>
        <v>0.67252929330827804</v>
      </c>
      <c r="D14" s="42">
        <f t="shared" si="6"/>
        <v>0.6683216410043471</v>
      </c>
      <c r="E14" s="42">
        <f t="shared" si="6"/>
        <v>0.80389212864668824</v>
      </c>
      <c r="F14" s="42">
        <f t="shared" si="6"/>
        <v>0.74247518131670476</v>
      </c>
      <c r="G14" s="42">
        <f t="shared" si="6"/>
        <v>0.92941679128717236</v>
      </c>
      <c r="H14" s="42">
        <f t="shared" si="6"/>
        <v>0.66849574236063969</v>
      </c>
      <c r="I14" s="42">
        <f t="shared" si="6"/>
        <v>0.95533796569792806</v>
      </c>
      <c r="J14" s="42">
        <f t="shared" si="6"/>
        <v>0.57145793580300763</v>
      </c>
      <c r="K14" s="42">
        <f t="shared" si="6"/>
        <v>0.62111053923634307</v>
      </c>
      <c r="L14" s="42">
        <f t="shared" si="6"/>
        <v>0.67010653757377781</v>
      </c>
      <c r="M14" s="42">
        <f t="shared" si="6"/>
        <v>0.67679008865355628</v>
      </c>
      <c r="N14" s="42">
        <f t="shared" si="6"/>
        <v>0.74667104478955348</v>
      </c>
      <c r="O14" s="42">
        <f t="shared" si="6"/>
        <v>0.87867161449074449</v>
      </c>
      <c r="P14" s="39">
        <f t="shared" si="6"/>
        <v>0.70075696587036262</v>
      </c>
      <c r="Q14" s="15">
        <f>AVERAGE(B14:P14)</f>
        <v>0.74242114431123707</v>
      </c>
    </row>
    <row r="15" spans="1:17" x14ac:dyDescent="0.2">
      <c r="A15" t="s">
        <v>185</v>
      </c>
      <c r="B15" s="42">
        <f>B4/B3</f>
        <v>1.2044076096740528</v>
      </c>
      <c r="C15" s="42">
        <f t="shared" ref="C15:P15" si="7">C4/C3</f>
        <v>1.4869240789212939</v>
      </c>
      <c r="D15" s="42">
        <f t="shared" si="7"/>
        <v>1.4962855287720596</v>
      </c>
      <c r="E15" s="42">
        <f t="shared" si="7"/>
        <v>1.2439479929769302</v>
      </c>
      <c r="F15" s="42">
        <f t="shared" si="7"/>
        <v>1.3468463662672212</v>
      </c>
      <c r="G15" s="42">
        <f t="shared" si="7"/>
        <v>1.0759435480125932</v>
      </c>
      <c r="H15" s="42">
        <f t="shared" si="7"/>
        <v>1.4958958399177367</v>
      </c>
      <c r="I15" s="42">
        <f t="shared" si="7"/>
        <v>1.0467499836766603</v>
      </c>
      <c r="J15" s="42">
        <f t="shared" si="7"/>
        <v>1.7499100762242612</v>
      </c>
      <c r="K15" s="42">
        <f t="shared" si="7"/>
        <v>1.6100193714785493</v>
      </c>
      <c r="L15" s="42">
        <f t="shared" si="7"/>
        <v>1.4923000208603416</v>
      </c>
      <c r="M15" s="42">
        <f t="shared" si="7"/>
        <v>1.4775630092181986</v>
      </c>
      <c r="N15" s="42">
        <f t="shared" si="7"/>
        <v>1.3392778613530492</v>
      </c>
      <c r="O15" s="42">
        <f t="shared" si="7"/>
        <v>1.1380816035346428</v>
      </c>
      <c r="P15" s="39">
        <f t="shared" si="7"/>
        <v>1.4270282690061709</v>
      </c>
      <c r="Q15" s="15">
        <f>AVERAGE(B15:P15)</f>
        <v>1.3754120773262508</v>
      </c>
    </row>
    <row r="16" spans="1:17" x14ac:dyDescent="0.2"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0"/>
    </row>
    <row r="17" spans="1:17" x14ac:dyDescent="0.2">
      <c r="A17" t="s">
        <v>187</v>
      </c>
      <c r="B17" s="43">
        <f>B4/2</f>
        <v>714</v>
      </c>
      <c r="C17" s="43">
        <f t="shared" ref="C17:P17" si="8">C4/2</f>
        <v>942.5</v>
      </c>
      <c r="D17" s="43">
        <f t="shared" si="8"/>
        <v>991</v>
      </c>
      <c r="E17" s="43">
        <f t="shared" si="8"/>
        <v>758.5</v>
      </c>
      <c r="F17" s="43">
        <f t="shared" si="8"/>
        <v>896</v>
      </c>
      <c r="G17" s="43">
        <f t="shared" si="8"/>
        <v>569</v>
      </c>
      <c r="H17" s="43">
        <f t="shared" si="8"/>
        <v>1029.5</v>
      </c>
      <c r="I17" s="43">
        <f t="shared" si="8"/>
        <v>458.5</v>
      </c>
      <c r="J17" s="43">
        <f t="shared" si="8"/>
        <v>1115</v>
      </c>
      <c r="K17" s="43">
        <f t="shared" si="8"/>
        <v>937</v>
      </c>
      <c r="L17" s="43">
        <f t="shared" si="8"/>
        <v>691</v>
      </c>
      <c r="M17" s="43">
        <f t="shared" si="8"/>
        <v>741.5</v>
      </c>
      <c r="N17" s="43">
        <f t="shared" si="8"/>
        <v>702</v>
      </c>
      <c r="O17" s="43">
        <f t="shared" si="8"/>
        <v>628.5</v>
      </c>
      <c r="P17" s="43">
        <f t="shared" si="8"/>
        <v>860.5</v>
      </c>
      <c r="Q17" s="46">
        <f>AVERAGE(B17:P17)</f>
        <v>802.3</v>
      </c>
    </row>
    <row r="18" spans="1:17" x14ac:dyDescent="0.2"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</row>
    <row r="19" spans="1:17" x14ac:dyDescent="0.2">
      <c r="A19" t="s">
        <v>186</v>
      </c>
      <c r="B19" s="42">
        <f>B17/B3</f>
        <v>0.6022038048370264</v>
      </c>
      <c r="C19" s="42">
        <f t="shared" ref="C19:O19" si="9">C17/C3</f>
        <v>0.74346203946064693</v>
      </c>
      <c r="D19" s="42">
        <f t="shared" si="9"/>
        <v>0.74814276438602978</v>
      </c>
      <c r="E19" s="42">
        <f t="shared" si="9"/>
        <v>0.62197399648846508</v>
      </c>
      <c r="F19" s="42">
        <f t="shared" si="9"/>
        <v>0.6734231831336106</v>
      </c>
      <c r="G19" s="42">
        <f t="shared" si="9"/>
        <v>0.53797177400629659</v>
      </c>
      <c r="H19" s="42">
        <f t="shared" si="9"/>
        <v>0.74794791995886833</v>
      </c>
      <c r="I19" s="42">
        <f t="shared" si="9"/>
        <v>0.52337499183833014</v>
      </c>
      <c r="J19" s="42">
        <f t="shared" si="9"/>
        <v>0.8749550381121306</v>
      </c>
      <c r="K19" s="42">
        <f t="shared" si="9"/>
        <v>0.80500968573927467</v>
      </c>
      <c r="L19" s="42">
        <f t="shared" si="9"/>
        <v>0.74615001043017082</v>
      </c>
      <c r="M19" s="42">
        <f t="shared" si="9"/>
        <v>0.7387815046090993</v>
      </c>
      <c r="N19" s="42">
        <f t="shared" si="9"/>
        <v>0.66963893067652458</v>
      </c>
      <c r="O19" s="42">
        <f t="shared" si="9"/>
        <v>0.56904080176732141</v>
      </c>
      <c r="Q19" s="47">
        <f>Q17/Q3</f>
        <v>0.69303002302080841</v>
      </c>
    </row>
    <row r="21" spans="1:17" x14ac:dyDescent="0.2">
      <c r="B21">
        <v>1428</v>
      </c>
    </row>
    <row r="22" spans="1:17" x14ac:dyDescent="0.2">
      <c r="B22">
        <v>1885</v>
      </c>
    </row>
    <row r="23" spans="1:17" x14ac:dyDescent="0.2">
      <c r="B23">
        <v>1982</v>
      </c>
    </row>
    <row r="24" spans="1:17" x14ac:dyDescent="0.2">
      <c r="B24">
        <v>1517</v>
      </c>
    </row>
    <row r="25" spans="1:17" x14ac:dyDescent="0.2">
      <c r="B25">
        <v>1792</v>
      </c>
    </row>
    <row r="26" spans="1:17" x14ac:dyDescent="0.2">
      <c r="B26">
        <v>1138</v>
      </c>
    </row>
    <row r="27" spans="1:17" x14ac:dyDescent="0.2">
      <c r="B27">
        <v>2059</v>
      </c>
    </row>
    <row r="28" spans="1:17" x14ac:dyDescent="0.2">
      <c r="B28">
        <v>917</v>
      </c>
    </row>
    <row r="29" spans="1:17" x14ac:dyDescent="0.2">
      <c r="B29">
        <v>2230</v>
      </c>
    </row>
    <row r="30" spans="1:17" x14ac:dyDescent="0.2">
      <c r="B30">
        <v>1874</v>
      </c>
    </row>
    <row r="31" spans="1:17" x14ac:dyDescent="0.2">
      <c r="B31">
        <v>1382</v>
      </c>
    </row>
    <row r="32" spans="1:17" x14ac:dyDescent="0.2">
      <c r="B32">
        <v>1483</v>
      </c>
    </row>
    <row r="33" spans="2:2" x14ac:dyDescent="0.2">
      <c r="B33">
        <v>1404</v>
      </c>
    </row>
    <row r="34" spans="2:2" x14ac:dyDescent="0.2">
      <c r="B34">
        <v>1257</v>
      </c>
    </row>
    <row r="35" spans="2:2" x14ac:dyDescent="0.2">
      <c r="B35">
        <v>1721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5"/>
  <sheetViews>
    <sheetView topLeftCell="B1" workbookViewId="0">
      <selection activeCell="Q24" sqref="C21:Q24"/>
    </sheetView>
  </sheetViews>
  <sheetFormatPr baseColWidth="10" defaultColWidth="8.83203125" defaultRowHeight="15" x14ac:dyDescent="0.2"/>
  <cols>
    <col min="1" max="1" width="22" bestFit="1" customWidth="1"/>
    <col min="2" max="16" width="9.1640625" bestFit="1" customWidth="1"/>
  </cols>
  <sheetData>
    <row r="1" spans="1:17" x14ac:dyDescent="0.2">
      <c r="A1" t="s">
        <v>178</v>
      </c>
      <c r="B1" s="44"/>
      <c r="C1" s="40">
        <v>655.62214606182704</v>
      </c>
      <c r="D1" s="40" t="s">
        <v>188</v>
      </c>
      <c r="E1" s="40">
        <v>710.77821301122106</v>
      </c>
      <c r="F1" s="40" t="s">
        <v>188</v>
      </c>
      <c r="G1" s="45"/>
      <c r="H1" s="40">
        <v>652.58790020722302</v>
      </c>
      <c r="I1" s="45"/>
      <c r="J1" s="45"/>
      <c r="K1" s="45"/>
      <c r="L1" s="45"/>
      <c r="M1" s="40" t="s">
        <v>188</v>
      </c>
      <c r="N1" s="45"/>
      <c r="O1" s="40">
        <v>613.85853839280401</v>
      </c>
      <c r="Q1" s="44"/>
    </row>
    <row r="2" spans="1:17" x14ac:dyDescent="0.2">
      <c r="A2" t="s">
        <v>177</v>
      </c>
      <c r="B2" s="40">
        <v>632.20030030170301</v>
      </c>
      <c r="C2" s="40">
        <v>744.92181252427497</v>
      </c>
      <c r="D2" s="40" t="s">
        <v>188</v>
      </c>
      <c r="E2" s="40">
        <v>658.54137789667698</v>
      </c>
      <c r="F2" s="40" t="s">
        <v>188</v>
      </c>
      <c r="G2" s="40">
        <v>518.78986023487505</v>
      </c>
      <c r="H2" s="40">
        <v>714.19707681294199</v>
      </c>
      <c r="I2" s="40">
        <v>468.04786966647498</v>
      </c>
      <c r="J2" s="40">
        <v>686.557748385325</v>
      </c>
      <c r="K2" s="40">
        <v>647.16584188080401</v>
      </c>
      <c r="L2" s="40">
        <v>564.24392084295005</v>
      </c>
      <c r="M2" s="40" t="s">
        <v>188</v>
      </c>
      <c r="N2" s="40">
        <v>539.58583885087796</v>
      </c>
      <c r="O2" s="40">
        <v>643.75413672213097</v>
      </c>
      <c r="P2" s="40">
        <v>658.02403676864606</v>
      </c>
    </row>
    <row r="3" spans="1:17" x14ac:dyDescent="0.2">
      <c r="A3" t="s">
        <v>179</v>
      </c>
      <c r="B3" s="41">
        <f>SUM(B1:B2)</f>
        <v>632.20030030170301</v>
      </c>
      <c r="C3" s="41">
        <f t="shared" ref="C3:P3" si="0">SUM(C1:C2)</f>
        <v>1400.543958586102</v>
      </c>
      <c r="D3" s="41">
        <f t="shared" si="0"/>
        <v>0</v>
      </c>
      <c r="E3" s="41">
        <f t="shared" si="0"/>
        <v>1369.3195909078981</v>
      </c>
      <c r="F3" s="41">
        <f t="shared" si="0"/>
        <v>0</v>
      </c>
      <c r="G3" s="41">
        <f t="shared" si="0"/>
        <v>518.78986023487505</v>
      </c>
      <c r="H3" s="41">
        <f t="shared" si="0"/>
        <v>1366.7849770201651</v>
      </c>
      <c r="I3" s="41">
        <f t="shared" si="0"/>
        <v>468.04786966647498</v>
      </c>
      <c r="J3" s="41">
        <f t="shared" si="0"/>
        <v>686.557748385325</v>
      </c>
      <c r="K3" s="41">
        <f t="shared" si="0"/>
        <v>647.16584188080401</v>
      </c>
      <c r="L3" s="41">
        <f t="shared" si="0"/>
        <v>564.24392084295005</v>
      </c>
      <c r="M3" s="41">
        <f t="shared" si="0"/>
        <v>0</v>
      </c>
      <c r="N3" s="41">
        <f t="shared" si="0"/>
        <v>539.58583885087796</v>
      </c>
      <c r="O3" s="41">
        <f t="shared" si="0"/>
        <v>1257.612675114935</v>
      </c>
      <c r="P3" s="41">
        <f t="shared" si="0"/>
        <v>658.02403676864606</v>
      </c>
      <c r="Q3">
        <f>AVERAGE(B3:P3)</f>
        <v>673.92510790405038</v>
      </c>
    </row>
    <row r="4" spans="1:17" x14ac:dyDescent="0.2">
      <c r="A4" t="s">
        <v>174</v>
      </c>
      <c r="B4">
        <v>1428</v>
      </c>
      <c r="C4">
        <v>1885</v>
      </c>
      <c r="D4">
        <v>1982</v>
      </c>
      <c r="E4">
        <v>1517</v>
      </c>
      <c r="F4">
        <v>1792</v>
      </c>
      <c r="G4">
        <v>1138</v>
      </c>
      <c r="H4">
        <v>2059</v>
      </c>
      <c r="I4">
        <v>917</v>
      </c>
      <c r="J4">
        <v>2230</v>
      </c>
      <c r="K4">
        <v>1874</v>
      </c>
      <c r="L4">
        <v>1382</v>
      </c>
      <c r="M4">
        <v>1483</v>
      </c>
      <c r="N4">
        <v>1404</v>
      </c>
      <c r="O4">
        <v>1257</v>
      </c>
      <c r="P4">
        <v>1721</v>
      </c>
      <c r="Q4">
        <f>AVERAGE(B4:P4)</f>
        <v>1604.6</v>
      </c>
    </row>
    <row r="5" spans="1:17" x14ac:dyDescent="0.2">
      <c r="A5" t="s">
        <v>175</v>
      </c>
      <c r="B5" s="41"/>
      <c r="C5" s="41">
        <f t="shared" ref="C5:O5" si="1">C4-C3</f>
        <v>484.45604141389799</v>
      </c>
      <c r="D5" s="41">
        <f t="shared" si="1"/>
        <v>1982</v>
      </c>
      <c r="E5" s="41">
        <f t="shared" si="1"/>
        <v>147.68040909210185</v>
      </c>
      <c r="F5" s="41">
        <f t="shared" si="1"/>
        <v>1792</v>
      </c>
      <c r="G5" s="41"/>
      <c r="H5" s="41">
        <f t="shared" si="1"/>
        <v>692.21502297983488</v>
      </c>
      <c r="I5" s="41"/>
      <c r="J5" s="41"/>
      <c r="K5" s="41"/>
      <c r="L5" s="41"/>
      <c r="M5" s="41">
        <f t="shared" si="1"/>
        <v>1483</v>
      </c>
      <c r="N5" s="41"/>
      <c r="O5" s="41">
        <f t="shared" si="1"/>
        <v>-0.61267511493497295</v>
      </c>
      <c r="P5" s="41"/>
    </row>
    <row r="6" spans="1:17" x14ac:dyDescent="0.2">
      <c r="A6" t="s">
        <v>182</v>
      </c>
      <c r="B6" s="41">
        <f>B4-B3</f>
        <v>795.79969969829699</v>
      </c>
      <c r="C6" s="41"/>
      <c r="D6" s="41"/>
      <c r="E6" s="41"/>
      <c r="F6" s="41"/>
      <c r="G6" s="41">
        <f t="shared" ref="G6:P6" si="2">G4-G3</f>
        <v>619.21013976512495</v>
      </c>
      <c r="H6" s="41"/>
      <c r="I6" s="41">
        <f t="shared" si="2"/>
        <v>448.95213033352502</v>
      </c>
      <c r="J6" s="41">
        <f t="shared" si="2"/>
        <v>1543.4422516146751</v>
      </c>
      <c r="K6" s="41">
        <f t="shared" si="2"/>
        <v>1226.834158119196</v>
      </c>
      <c r="L6" s="41">
        <f t="shared" si="2"/>
        <v>817.75607915704995</v>
      </c>
      <c r="M6" s="41"/>
      <c r="N6" s="41">
        <f t="shared" si="2"/>
        <v>864.41416114912204</v>
      </c>
      <c r="O6" s="41"/>
      <c r="P6" s="41">
        <f t="shared" si="2"/>
        <v>1062.9759632313539</v>
      </c>
    </row>
    <row r="7" spans="1:17" x14ac:dyDescent="0.2">
      <c r="A7" t="s">
        <v>176</v>
      </c>
      <c r="B7" s="42"/>
      <c r="C7" s="42">
        <f t="shared" ref="C7:O7" si="3">1-(C3/C4)</f>
        <v>0.25700585751400429</v>
      </c>
      <c r="D7" s="42">
        <f t="shared" si="3"/>
        <v>1</v>
      </c>
      <c r="E7" s="42">
        <f t="shared" si="3"/>
        <v>9.7350302631576735E-2</v>
      </c>
      <c r="F7" s="42">
        <f t="shared" si="3"/>
        <v>1</v>
      </c>
      <c r="G7" s="42"/>
      <c r="H7" s="42">
        <f t="shared" si="3"/>
        <v>0.3361899091694196</v>
      </c>
      <c r="I7" s="42"/>
      <c r="J7" s="42"/>
      <c r="K7" s="42"/>
      <c r="L7" s="42"/>
      <c r="M7" s="42">
        <f t="shared" si="3"/>
        <v>1</v>
      </c>
      <c r="N7" s="42"/>
      <c r="O7" s="42">
        <f t="shared" si="3"/>
        <v>-4.8741059262935593E-4</v>
      </c>
      <c r="P7" s="41"/>
      <c r="Q7" s="15">
        <f>AVERAGE(B7:P7)</f>
        <v>0.52715123696033872</v>
      </c>
    </row>
    <row r="8" spans="1:17" x14ac:dyDescent="0.2">
      <c r="A8" t="s">
        <v>183</v>
      </c>
      <c r="B8" s="42">
        <f>1-(B3/B4)</f>
        <v>0.55728270286995585</v>
      </c>
      <c r="C8" s="42"/>
      <c r="D8" s="42"/>
      <c r="E8" s="42"/>
      <c r="F8" s="42"/>
      <c r="G8" s="42">
        <f t="shared" ref="G8:P8" si="4">1-(G3/G4)</f>
        <v>0.54412138819431011</v>
      </c>
      <c r="H8" s="42"/>
      <c r="I8" s="42">
        <f t="shared" si="4"/>
        <v>0.48958792838988552</v>
      </c>
      <c r="J8" s="42">
        <f t="shared" si="4"/>
        <v>0.69212657023079593</v>
      </c>
      <c r="K8" s="42">
        <f t="shared" si="4"/>
        <v>0.6546607033720363</v>
      </c>
      <c r="L8" s="42">
        <f t="shared" si="4"/>
        <v>0.59171930474460921</v>
      </c>
      <c r="M8" s="42"/>
      <c r="N8" s="42">
        <f t="shared" si="4"/>
        <v>0.61567960195806415</v>
      </c>
      <c r="O8" s="42"/>
      <c r="P8" s="42">
        <f t="shared" si="4"/>
        <v>0.6176501820054352</v>
      </c>
      <c r="Q8" s="15">
        <f>AVERAGE(B8:P8)</f>
        <v>0.59535354772063653</v>
      </c>
    </row>
    <row r="9" spans="1:17" x14ac:dyDescent="0.2">
      <c r="P9" s="40"/>
    </row>
    <row r="10" spans="1:17" x14ac:dyDescent="0.2">
      <c r="A10" t="s">
        <v>180</v>
      </c>
      <c r="P10" s="40"/>
    </row>
    <row r="11" spans="1:17" x14ac:dyDescent="0.2">
      <c r="P11" s="40"/>
    </row>
    <row r="12" spans="1:17" x14ac:dyDescent="0.2">
      <c r="A12" t="s">
        <v>181</v>
      </c>
      <c r="B12" s="42">
        <f>B1/B2</f>
        <v>0</v>
      </c>
      <c r="C12" s="42">
        <f t="shared" ref="C12:P12" si="5">C1/C2</f>
        <v>0.88012209474730896</v>
      </c>
      <c r="D12" s="42" t="e">
        <f t="shared" si="5"/>
        <v>#VALUE!</v>
      </c>
      <c r="E12" s="42">
        <f t="shared" si="5"/>
        <v>1.0793220242004897</v>
      </c>
      <c r="F12" s="42" t="e">
        <f t="shared" si="5"/>
        <v>#VALUE!</v>
      </c>
      <c r="G12" s="42">
        <f t="shared" si="5"/>
        <v>0</v>
      </c>
      <c r="H12" s="42">
        <f t="shared" si="5"/>
        <v>0.91373644809546695</v>
      </c>
      <c r="I12" s="42">
        <f t="shared" si="5"/>
        <v>0</v>
      </c>
      <c r="J12" s="42">
        <f t="shared" si="5"/>
        <v>0</v>
      </c>
      <c r="K12" s="42">
        <f t="shared" si="5"/>
        <v>0</v>
      </c>
      <c r="L12" s="42">
        <f t="shared" si="5"/>
        <v>0</v>
      </c>
      <c r="M12" s="42" t="e">
        <f t="shared" si="5"/>
        <v>#VALUE!</v>
      </c>
      <c r="N12" s="42">
        <f t="shared" si="5"/>
        <v>0</v>
      </c>
      <c r="O12" s="42">
        <f t="shared" si="5"/>
        <v>0.95356053402382868</v>
      </c>
      <c r="P12" s="39">
        <f t="shared" si="5"/>
        <v>0</v>
      </c>
    </row>
    <row r="13" spans="1:17" x14ac:dyDescent="0.2"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39"/>
    </row>
    <row r="14" spans="1:17" x14ac:dyDescent="0.2">
      <c r="A14" t="s">
        <v>184</v>
      </c>
      <c r="B14" s="42">
        <f>B3/B4</f>
        <v>0.44271729713004415</v>
      </c>
      <c r="C14" s="42">
        <f t="shared" ref="C14:P14" si="6">C3/C4</f>
        <v>0.74299414248599571</v>
      </c>
      <c r="D14" s="42">
        <f t="shared" si="6"/>
        <v>0</v>
      </c>
      <c r="E14" s="42">
        <f t="shared" si="6"/>
        <v>0.90264969736842326</v>
      </c>
      <c r="F14" s="42">
        <f t="shared" si="6"/>
        <v>0</v>
      </c>
      <c r="G14" s="42">
        <f t="shared" si="6"/>
        <v>0.45587861180568984</v>
      </c>
      <c r="H14" s="42">
        <f t="shared" si="6"/>
        <v>0.6638100908305804</v>
      </c>
      <c r="I14" s="42">
        <f t="shared" si="6"/>
        <v>0.51041207161011448</v>
      </c>
      <c r="J14" s="42">
        <f t="shared" si="6"/>
        <v>0.30787342976920401</v>
      </c>
      <c r="K14" s="42">
        <f t="shared" si="6"/>
        <v>0.3453392966279637</v>
      </c>
      <c r="L14" s="42">
        <f t="shared" si="6"/>
        <v>0.40828069525539079</v>
      </c>
      <c r="M14" s="42">
        <f t="shared" si="6"/>
        <v>0</v>
      </c>
      <c r="N14" s="42">
        <f t="shared" si="6"/>
        <v>0.38432039804193585</v>
      </c>
      <c r="O14" s="42">
        <f t="shared" si="6"/>
        <v>1.0004874105926294</v>
      </c>
      <c r="P14" s="39">
        <f t="shared" si="6"/>
        <v>0.3823498179945648</v>
      </c>
      <c r="Q14" s="15">
        <f>AVERAGE(B14:P14)</f>
        <v>0.43647419730083575</v>
      </c>
    </row>
    <row r="15" spans="1:17" x14ac:dyDescent="0.2">
      <c r="A15" t="s">
        <v>185</v>
      </c>
      <c r="B15" s="42">
        <f>B4/B3</f>
        <v>2.2587777945036089</v>
      </c>
      <c r="C15" s="42">
        <f t="shared" ref="C15:P15" si="7">C4/C3</f>
        <v>1.3459056307686146</v>
      </c>
      <c r="D15" s="42" t="e">
        <f t="shared" si="7"/>
        <v>#DIV/0!</v>
      </c>
      <c r="E15" s="42">
        <f t="shared" si="7"/>
        <v>1.107849482379921</v>
      </c>
      <c r="F15" s="42" t="e">
        <f t="shared" si="7"/>
        <v>#DIV/0!</v>
      </c>
      <c r="G15" s="42">
        <f t="shared" si="7"/>
        <v>2.1935663882959973</v>
      </c>
      <c r="H15" s="42">
        <f t="shared" si="7"/>
        <v>1.5064549542306114</v>
      </c>
      <c r="I15" s="42">
        <f t="shared" si="7"/>
        <v>1.9592013112963054</v>
      </c>
      <c r="J15" s="42">
        <f t="shared" si="7"/>
        <v>3.2480880235415106</v>
      </c>
      <c r="K15" s="42">
        <f t="shared" si="7"/>
        <v>2.8957028920960202</v>
      </c>
      <c r="L15" s="42">
        <f t="shared" si="7"/>
        <v>2.4492953294656084</v>
      </c>
      <c r="M15" s="42" t="e">
        <f t="shared" si="7"/>
        <v>#DIV/0!</v>
      </c>
      <c r="N15" s="42">
        <f t="shared" si="7"/>
        <v>2.6019956398225914</v>
      </c>
      <c r="O15" s="42">
        <f t="shared" si="7"/>
        <v>0.99951282686071929</v>
      </c>
      <c r="P15" s="39">
        <f t="shared" si="7"/>
        <v>2.6154059788625692</v>
      </c>
      <c r="Q15" s="15" t="e">
        <f>AVERAGE(B15:P15)</f>
        <v>#DIV/0!</v>
      </c>
    </row>
    <row r="16" spans="1:17" x14ac:dyDescent="0.2"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0"/>
    </row>
    <row r="17" spans="1:17" x14ac:dyDescent="0.2">
      <c r="A17" t="s">
        <v>187</v>
      </c>
      <c r="B17" s="43">
        <f>B4/2</f>
        <v>714</v>
      </c>
      <c r="C17" s="43">
        <f t="shared" ref="C17:P17" si="8">C4/2</f>
        <v>942.5</v>
      </c>
      <c r="D17" s="43">
        <f t="shared" si="8"/>
        <v>991</v>
      </c>
      <c r="E17" s="43">
        <f t="shared" si="8"/>
        <v>758.5</v>
      </c>
      <c r="F17" s="43">
        <f t="shared" si="8"/>
        <v>896</v>
      </c>
      <c r="G17" s="43">
        <f t="shared" si="8"/>
        <v>569</v>
      </c>
      <c r="H17" s="43">
        <f t="shared" si="8"/>
        <v>1029.5</v>
      </c>
      <c r="I17" s="43">
        <f t="shared" si="8"/>
        <v>458.5</v>
      </c>
      <c r="J17" s="43">
        <f t="shared" si="8"/>
        <v>1115</v>
      </c>
      <c r="K17" s="43">
        <f t="shared" si="8"/>
        <v>937</v>
      </c>
      <c r="L17" s="43">
        <f t="shared" si="8"/>
        <v>691</v>
      </c>
      <c r="M17" s="43">
        <f t="shared" si="8"/>
        <v>741.5</v>
      </c>
      <c r="N17" s="43">
        <f t="shared" si="8"/>
        <v>702</v>
      </c>
      <c r="O17" s="43">
        <f t="shared" si="8"/>
        <v>628.5</v>
      </c>
      <c r="P17" s="43">
        <f t="shared" si="8"/>
        <v>860.5</v>
      </c>
      <c r="Q17" s="46">
        <f>AVERAGE(B17:P17)</f>
        <v>802.3</v>
      </c>
    </row>
    <row r="18" spans="1:17" x14ac:dyDescent="0.2"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</row>
    <row r="19" spans="1:17" x14ac:dyDescent="0.2">
      <c r="A19" t="s">
        <v>186</v>
      </c>
      <c r="B19" s="42">
        <f>B17/B3</f>
        <v>1.1293888972518045</v>
      </c>
      <c r="C19" s="42">
        <f t="shared" ref="C19:O19" si="9">C17/C3</f>
        <v>0.67295281538430729</v>
      </c>
      <c r="D19" s="42" t="e">
        <f t="shared" si="9"/>
        <v>#DIV/0!</v>
      </c>
      <c r="E19" s="42">
        <f t="shared" si="9"/>
        <v>0.55392474118996049</v>
      </c>
      <c r="F19" s="42" t="e">
        <f t="shared" si="9"/>
        <v>#DIV/0!</v>
      </c>
      <c r="G19" s="42">
        <f t="shared" si="9"/>
        <v>1.0967831941479986</v>
      </c>
      <c r="H19" s="42">
        <f t="shared" si="9"/>
        <v>0.75322747711530569</v>
      </c>
      <c r="I19" s="42">
        <f t="shared" si="9"/>
        <v>0.97960065564815269</v>
      </c>
      <c r="J19" s="42">
        <f t="shared" si="9"/>
        <v>1.6240440117707553</v>
      </c>
      <c r="K19" s="42">
        <f t="shared" si="9"/>
        <v>1.4478514460480101</v>
      </c>
      <c r="L19" s="42">
        <f t="shared" si="9"/>
        <v>1.2246476647328042</v>
      </c>
      <c r="M19" s="42" t="e">
        <f t="shared" si="9"/>
        <v>#DIV/0!</v>
      </c>
      <c r="N19" s="42">
        <f t="shared" si="9"/>
        <v>1.3009978199112957</v>
      </c>
      <c r="O19" s="42">
        <f t="shared" si="9"/>
        <v>0.49975641343035965</v>
      </c>
      <c r="Q19" s="47">
        <f>Q17/Q3</f>
        <v>1.1904883652357212</v>
      </c>
    </row>
    <row r="21" spans="1:17" x14ac:dyDescent="0.2">
      <c r="B21">
        <v>1428</v>
      </c>
      <c r="C21" s="12">
        <f>C2/C3</f>
        <v>0.53188035117176868</v>
      </c>
      <c r="D21" s="12"/>
      <c r="E21" s="12"/>
      <c r="F21" s="12"/>
      <c r="G21" s="12"/>
      <c r="H21" s="12">
        <f>H2/H3</f>
        <v>0.52253799157934766</v>
      </c>
      <c r="I21" s="12"/>
      <c r="J21" s="12"/>
      <c r="K21" s="12"/>
      <c r="L21" s="12"/>
      <c r="M21" s="12"/>
      <c r="N21" s="12"/>
      <c r="O21" s="12">
        <f>O2/O3</f>
        <v>0.51188585282292687</v>
      </c>
      <c r="P21" s="12"/>
      <c r="Q21" s="12">
        <f>AVERAGE(C21:O21)</f>
        <v>0.52210139852468107</v>
      </c>
    </row>
    <row r="22" spans="1:17" x14ac:dyDescent="0.2">
      <c r="B22">
        <v>1885</v>
      </c>
      <c r="C22" s="12">
        <f>C1/C3</f>
        <v>0.46811964882823132</v>
      </c>
      <c r="D22" s="12"/>
      <c r="E22" s="12"/>
      <c r="F22" s="12"/>
      <c r="G22" s="12"/>
      <c r="H22" s="12">
        <f>H1/H3</f>
        <v>0.47746200842065223</v>
      </c>
      <c r="I22" s="12"/>
      <c r="J22" s="12"/>
      <c r="K22" s="12"/>
      <c r="L22" s="12"/>
      <c r="M22" s="12"/>
      <c r="N22" s="12"/>
      <c r="O22" s="12">
        <f>O1/O3</f>
        <v>0.48811414717707313</v>
      </c>
      <c r="P22" s="12"/>
      <c r="Q22" s="12">
        <f>AVERAGE(C22:O22)</f>
        <v>0.47789860147531887</v>
      </c>
    </row>
    <row r="23" spans="1:17" x14ac:dyDescent="0.2">
      <c r="B23">
        <v>1982</v>
      </c>
      <c r="C23" s="12">
        <f>C21+C22</f>
        <v>1</v>
      </c>
      <c r="D23" s="12"/>
      <c r="E23" s="12"/>
      <c r="F23" s="12"/>
      <c r="G23" s="12"/>
      <c r="H23" s="12">
        <f>H21+H22</f>
        <v>0.99999999999999989</v>
      </c>
      <c r="I23" s="12"/>
      <c r="J23" s="12"/>
      <c r="K23" s="12"/>
      <c r="L23" s="12"/>
      <c r="M23" s="12"/>
      <c r="N23" s="12"/>
      <c r="O23" s="12">
        <f>O21+O22</f>
        <v>1</v>
      </c>
      <c r="P23" s="12"/>
      <c r="Q23" s="12"/>
    </row>
    <row r="24" spans="1:17" x14ac:dyDescent="0.2">
      <c r="B24">
        <v>1517</v>
      </c>
      <c r="C24" s="12">
        <f>C1/C2</f>
        <v>0.88012209474730896</v>
      </c>
      <c r="D24" s="12"/>
      <c r="E24" s="12"/>
      <c r="F24" s="12"/>
      <c r="G24" s="12"/>
      <c r="H24" s="12">
        <f>H1/H2</f>
        <v>0.91373644809546695</v>
      </c>
      <c r="I24" s="12"/>
      <c r="J24" s="12"/>
      <c r="K24" s="12"/>
      <c r="L24" s="12"/>
      <c r="M24" s="12"/>
      <c r="N24" s="12"/>
      <c r="O24" s="12">
        <f>O1/O2</f>
        <v>0.95356053402382868</v>
      </c>
      <c r="P24" s="12"/>
      <c r="Q24" s="12">
        <f>AVERAGE(C24:O24)</f>
        <v>0.91580635895553486</v>
      </c>
    </row>
    <row r="25" spans="1:17" x14ac:dyDescent="0.2">
      <c r="B25">
        <v>1792</v>
      </c>
    </row>
    <row r="26" spans="1:17" x14ac:dyDescent="0.2">
      <c r="B26">
        <v>1138</v>
      </c>
    </row>
    <row r="27" spans="1:17" x14ac:dyDescent="0.2">
      <c r="B27">
        <v>2059</v>
      </c>
    </row>
    <row r="28" spans="1:17" x14ac:dyDescent="0.2">
      <c r="B28">
        <v>917</v>
      </c>
    </row>
    <row r="29" spans="1:17" x14ac:dyDescent="0.2">
      <c r="B29">
        <v>2230</v>
      </c>
    </row>
    <row r="30" spans="1:17" x14ac:dyDescent="0.2">
      <c r="B30">
        <v>1874</v>
      </c>
    </row>
    <row r="31" spans="1:17" x14ac:dyDescent="0.2">
      <c r="B31">
        <v>1382</v>
      </c>
    </row>
    <row r="32" spans="1:17" x14ac:dyDescent="0.2">
      <c r="B32">
        <v>1483</v>
      </c>
    </row>
    <row r="33" spans="2:2" x14ac:dyDescent="0.2">
      <c r="B33">
        <v>1404</v>
      </c>
    </row>
    <row r="34" spans="2:2" x14ac:dyDescent="0.2">
      <c r="B34">
        <v>1257</v>
      </c>
    </row>
    <row r="35" spans="2:2" x14ac:dyDescent="0.2">
      <c r="B35">
        <v>1721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3"/>
  <sheetViews>
    <sheetView workbookViewId="0">
      <selection activeCell="H11" sqref="H11:H12"/>
    </sheetView>
  </sheetViews>
  <sheetFormatPr baseColWidth="10" defaultColWidth="8.83203125" defaultRowHeight="15" x14ac:dyDescent="0.2"/>
  <cols>
    <col min="1" max="1" width="16" bestFit="1" customWidth="1"/>
  </cols>
  <sheetData>
    <row r="1" spans="1:18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8" x14ac:dyDescent="0.2">
      <c r="A2" t="s">
        <v>189</v>
      </c>
      <c r="B2">
        <v>1760.4455151198299</v>
      </c>
      <c r="C2">
        <v>2028.8597372280899</v>
      </c>
      <c r="D2">
        <v>2252.41399304986</v>
      </c>
      <c r="E2">
        <v>2038.10199950234</v>
      </c>
      <c r="F2">
        <v>2048.3964144599699</v>
      </c>
      <c r="G2">
        <v>1477.48281232464</v>
      </c>
      <c r="H2">
        <v>2205.8725068866702</v>
      </c>
      <c r="I2">
        <v>1582.9801799469301</v>
      </c>
      <c r="J2">
        <v>2037.7315891836399</v>
      </c>
      <c r="K2">
        <v>1882.25140496278</v>
      </c>
      <c r="L2">
        <v>1495.5088292585301</v>
      </c>
      <c r="M2">
        <v>1673.31161017812</v>
      </c>
      <c r="N2">
        <v>1723.92890115917</v>
      </c>
      <c r="O2">
        <v>1732.8459592229101</v>
      </c>
      <c r="P2">
        <v>2097.23465750068</v>
      </c>
      <c r="Q2">
        <f>AVERAGE(B2:P2)</f>
        <v>1869.1577406656108</v>
      </c>
    </row>
    <row r="3" spans="1:18" x14ac:dyDescent="0.2">
      <c r="A3" t="s">
        <v>191</v>
      </c>
      <c r="C3">
        <v>2033.01859171927</v>
      </c>
      <c r="D3">
        <v>1969.4354471725301</v>
      </c>
      <c r="E3">
        <v>1880.11334337276</v>
      </c>
      <c r="F3">
        <v>2023.84709514933</v>
      </c>
      <c r="H3">
        <v>2008.3264951057899</v>
      </c>
      <c r="M3">
        <v>1668.4128079043601</v>
      </c>
      <c r="O3">
        <v>1708.3577827491699</v>
      </c>
    </row>
    <row r="4" spans="1:18" x14ac:dyDescent="0.2">
      <c r="A4" t="s">
        <v>193</v>
      </c>
    </row>
    <row r="5" spans="1:18" x14ac:dyDescent="0.2">
      <c r="A5" t="s">
        <v>190</v>
      </c>
      <c r="B5">
        <v>1428</v>
      </c>
      <c r="C5">
        <v>1885</v>
      </c>
      <c r="D5">
        <v>1982</v>
      </c>
      <c r="E5">
        <v>1517</v>
      </c>
      <c r="F5">
        <v>1792</v>
      </c>
      <c r="G5">
        <v>1138</v>
      </c>
      <c r="H5">
        <v>2059</v>
      </c>
      <c r="I5">
        <v>917</v>
      </c>
      <c r="J5">
        <v>2230</v>
      </c>
      <c r="K5">
        <v>1874</v>
      </c>
      <c r="L5">
        <v>1382</v>
      </c>
      <c r="M5">
        <v>1483</v>
      </c>
      <c r="N5">
        <v>1404</v>
      </c>
      <c r="O5">
        <v>1257</v>
      </c>
      <c r="P5">
        <v>1721</v>
      </c>
      <c r="Q5">
        <f>AVERAGE(B5:P5)</f>
        <v>1604.6</v>
      </c>
      <c r="R5">
        <f>STDEVA(B5:P5)</f>
        <v>367.87785239901899</v>
      </c>
    </row>
    <row r="7" spans="1:18" x14ac:dyDescent="0.2">
      <c r="A7" t="s">
        <v>192</v>
      </c>
      <c r="B7" s="49">
        <f>B5/B2</f>
        <v>0.81115830494918728</v>
      </c>
      <c r="C7" s="49">
        <f t="shared" ref="C7:P7" si="0">C5/C2</f>
        <v>0.9290933056690075</v>
      </c>
      <c r="D7" s="49">
        <f t="shared" si="0"/>
        <v>0.87994480859901403</v>
      </c>
      <c r="E7" s="49">
        <f t="shared" si="0"/>
        <v>0.74431996061552275</v>
      </c>
      <c r="F7" s="49">
        <f t="shared" si="0"/>
        <v>0.874830666247009</v>
      </c>
      <c r="G7" s="49">
        <f t="shared" si="0"/>
        <v>0.77022892618933081</v>
      </c>
      <c r="H7" s="49">
        <f t="shared" si="0"/>
        <v>0.93341749968407584</v>
      </c>
      <c r="I7" s="49">
        <f t="shared" si="0"/>
        <v>0.57928710139045625</v>
      </c>
      <c r="J7" s="49">
        <f t="shared" si="0"/>
        <v>1.0943541395917542</v>
      </c>
      <c r="K7" s="49">
        <f t="shared" si="0"/>
        <v>0.99561620464672029</v>
      </c>
      <c r="L7" s="49">
        <f t="shared" si="0"/>
        <v>0.92410019450382819</v>
      </c>
      <c r="M7" s="49">
        <f t="shared" si="0"/>
        <v>0.8862664855604141</v>
      </c>
      <c r="N7" s="49">
        <f t="shared" si="0"/>
        <v>0.81441873795140285</v>
      </c>
      <c r="O7" s="49">
        <f t="shared" si="0"/>
        <v>0.72539627270949003</v>
      </c>
      <c r="P7" s="49">
        <f t="shared" si="0"/>
        <v>0.82060440582788818</v>
      </c>
      <c r="Q7" s="48">
        <f>AVERAGE(B7:P7)</f>
        <v>0.85220246760900664</v>
      </c>
    </row>
    <row r="8" spans="1:18" x14ac:dyDescent="0.2">
      <c r="B8" s="12">
        <f>1-B7</f>
        <v>0.18884169505081272</v>
      </c>
      <c r="C8" s="12">
        <f t="shared" ref="C8:P8" si="1">1-C7</f>
        <v>7.0906694330992504E-2</v>
      </c>
      <c r="D8" s="12">
        <f t="shared" si="1"/>
        <v>0.12005519140098597</v>
      </c>
      <c r="E8" s="12">
        <f t="shared" si="1"/>
        <v>0.25568003938447725</v>
      </c>
      <c r="F8" s="12">
        <f t="shared" si="1"/>
        <v>0.125169333752991</v>
      </c>
      <c r="G8" s="12">
        <f t="shared" si="1"/>
        <v>0.22977107381066919</v>
      </c>
      <c r="H8" s="12">
        <f t="shared" si="1"/>
        <v>6.6582500315924165E-2</v>
      </c>
      <c r="I8" s="12">
        <f t="shared" si="1"/>
        <v>0.42071289860954375</v>
      </c>
      <c r="J8" s="12">
        <f t="shared" si="1"/>
        <v>-9.4354139591754205E-2</v>
      </c>
      <c r="K8" s="12">
        <f t="shared" si="1"/>
        <v>4.3837953532797069E-3</v>
      </c>
      <c r="L8" s="12">
        <f t="shared" si="1"/>
        <v>7.5899805496171813E-2</v>
      </c>
      <c r="M8" s="12">
        <f t="shared" si="1"/>
        <v>0.1137335144395859</v>
      </c>
      <c r="N8" s="12">
        <f t="shared" si="1"/>
        <v>0.18558126204859715</v>
      </c>
      <c r="O8" s="12">
        <f t="shared" si="1"/>
        <v>0.27460372729050997</v>
      </c>
      <c r="P8" s="12">
        <f t="shared" si="1"/>
        <v>0.17939559417211182</v>
      </c>
      <c r="Q8" s="48">
        <f t="shared" ref="Q8:Q9" si="2">AVERAGE(B8:P8)</f>
        <v>0.14779753239099325</v>
      </c>
    </row>
    <row r="9" spans="1:18" x14ac:dyDescent="0.2">
      <c r="B9" s="39">
        <f>B8/3</f>
        <v>6.2947231683604235E-2</v>
      </c>
      <c r="C9" s="39">
        <f t="shared" ref="C9:P9" si="3">C8/3</f>
        <v>2.3635564776997502E-2</v>
      </c>
      <c r="D9" s="39">
        <f t="shared" si="3"/>
        <v>4.0018397133661988E-2</v>
      </c>
      <c r="E9" s="39">
        <f t="shared" si="3"/>
        <v>8.5226679794825747E-2</v>
      </c>
      <c r="F9" s="39">
        <f t="shared" si="3"/>
        <v>4.1723111250997001E-2</v>
      </c>
      <c r="G9" s="39">
        <f t="shared" si="3"/>
        <v>7.659035793688973E-2</v>
      </c>
      <c r="H9" s="39">
        <f t="shared" si="3"/>
        <v>2.2194166771974722E-2</v>
      </c>
      <c r="I9" s="39">
        <f t="shared" si="3"/>
        <v>0.14023763286984792</v>
      </c>
      <c r="J9" s="39">
        <f t="shared" si="3"/>
        <v>-3.1451379863918071E-2</v>
      </c>
      <c r="K9" s="39">
        <f t="shared" si="3"/>
        <v>1.4612651177599023E-3</v>
      </c>
      <c r="L9" s="39">
        <f t="shared" si="3"/>
        <v>2.5299935165390603E-2</v>
      </c>
      <c r="M9" s="39">
        <f t="shared" si="3"/>
        <v>3.791117147986197E-2</v>
      </c>
      <c r="N9" s="39">
        <f t="shared" si="3"/>
        <v>6.1860420682865715E-2</v>
      </c>
      <c r="O9" s="39">
        <f t="shared" si="3"/>
        <v>9.1534575763503323E-2</v>
      </c>
      <c r="P9" s="39">
        <f t="shared" si="3"/>
        <v>5.9798531390703936E-2</v>
      </c>
      <c r="Q9" s="27">
        <f t="shared" si="2"/>
        <v>4.9265844130331075E-2</v>
      </c>
      <c r="R9" s="27">
        <f>STDEVA(B9:P9)</f>
        <v>4.105318887825847E-2</v>
      </c>
    </row>
    <row r="11" spans="1:18" x14ac:dyDescent="0.2">
      <c r="A11" t="s">
        <v>205</v>
      </c>
      <c r="C11">
        <v>2033.01859171927</v>
      </c>
      <c r="D11">
        <v>1969.4354471725301</v>
      </c>
      <c r="E11">
        <v>1880.11334337276</v>
      </c>
      <c r="F11">
        <v>2023.84709514933</v>
      </c>
      <c r="H11">
        <v>2008.3264951057899</v>
      </c>
      <c r="M11">
        <v>1668.4128079043601</v>
      </c>
      <c r="O11">
        <v>1708.3577827491699</v>
      </c>
    </row>
    <row r="12" spans="1:18" x14ac:dyDescent="0.2">
      <c r="A12" t="s">
        <v>206</v>
      </c>
      <c r="B12">
        <v>1.0743242728926601</v>
      </c>
      <c r="C12">
        <v>1.0654262757719799</v>
      </c>
      <c r="E12">
        <v>1.0515629362493799</v>
      </c>
      <c r="G12">
        <v>1.0543266170838499</v>
      </c>
      <c r="H12">
        <v>1.05887620231195</v>
      </c>
      <c r="I12">
        <v>1.07194212825512</v>
      </c>
      <c r="J12">
        <v>1.0631167908185</v>
      </c>
      <c r="K12">
        <v>1.03110943101469</v>
      </c>
      <c r="L12">
        <v>1.0098408300511099</v>
      </c>
      <c r="N12">
        <v>1.0632644643192899</v>
      </c>
      <c r="O12">
        <v>1.1308693297910499</v>
      </c>
      <c r="P12">
        <v>1.0421852934410201</v>
      </c>
    </row>
    <row r="13" spans="1:18" x14ac:dyDescent="0.2">
      <c r="A13" t="s">
        <v>207</v>
      </c>
      <c r="C13">
        <v>1</v>
      </c>
      <c r="E13">
        <v>1</v>
      </c>
      <c r="H13">
        <v>1</v>
      </c>
      <c r="O13"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>
      <selection activeCell="E14" sqref="E14"/>
    </sheetView>
  </sheetViews>
  <sheetFormatPr baseColWidth="10" defaultColWidth="8.83203125" defaultRowHeight="15" x14ac:dyDescent="0.2"/>
  <sheetData>
    <row r="1" spans="1:3" x14ac:dyDescent="0.2">
      <c r="A1" t="s">
        <v>151</v>
      </c>
    </row>
    <row r="3" spans="1:3" x14ac:dyDescent="0.2">
      <c r="A3" t="s">
        <v>152</v>
      </c>
    </row>
    <row r="4" spans="1:3" x14ac:dyDescent="0.2">
      <c r="B4" t="s">
        <v>153</v>
      </c>
      <c r="C4" t="s">
        <v>155</v>
      </c>
    </row>
    <row r="5" spans="1:3" x14ac:dyDescent="0.2">
      <c r="C5" t="s">
        <v>154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R26"/>
  <sheetViews>
    <sheetView zoomScaleNormal="100" workbookViewId="0">
      <pane xSplit="1" topLeftCell="L1" activePane="topRight" state="frozen"/>
      <selection pane="topRight" activeCell="O17" sqref="O17"/>
    </sheetView>
  </sheetViews>
  <sheetFormatPr baseColWidth="10" defaultColWidth="8.83203125" defaultRowHeight="15" x14ac:dyDescent="0.2"/>
  <cols>
    <col min="4" max="16" width="10.6640625" customWidth="1"/>
  </cols>
  <sheetData>
    <row r="1" spans="1:18" s="17" customFormat="1" ht="32" x14ac:dyDescent="0.2">
      <c r="C1" s="17" t="s">
        <v>127</v>
      </c>
      <c r="D1" s="17" t="s">
        <v>92</v>
      </c>
      <c r="E1" s="17" t="s">
        <v>120</v>
      </c>
      <c r="F1" s="17" t="s">
        <v>124</v>
      </c>
      <c r="G1" s="17" t="s">
        <v>125</v>
      </c>
      <c r="H1" s="17" t="s">
        <v>126</v>
      </c>
      <c r="I1" s="17" t="s">
        <v>122</v>
      </c>
      <c r="J1" s="17" t="s">
        <v>121</v>
      </c>
      <c r="K1" s="17" t="s">
        <v>123</v>
      </c>
      <c r="L1" s="17" t="s">
        <v>83</v>
      </c>
      <c r="M1" s="17" t="s">
        <v>84</v>
      </c>
      <c r="N1" s="17" t="s">
        <v>85</v>
      </c>
      <c r="O1" s="17" t="s">
        <v>97</v>
      </c>
      <c r="P1" s="17" t="s">
        <v>86</v>
      </c>
      <c r="Q1" s="17" t="s">
        <v>95</v>
      </c>
      <c r="R1" s="17" t="s">
        <v>96</v>
      </c>
    </row>
    <row r="2" spans="1:18" x14ac:dyDescent="0.2">
      <c r="A2" t="s">
        <v>8</v>
      </c>
      <c r="B2" t="s">
        <v>59</v>
      </c>
      <c r="C2">
        <v>1</v>
      </c>
      <c r="D2" s="5"/>
      <c r="E2" s="5"/>
      <c r="F2" s="5"/>
      <c r="G2" s="20"/>
      <c r="H2" s="5"/>
      <c r="I2" s="5"/>
      <c r="J2" s="5"/>
      <c r="K2" s="5"/>
      <c r="L2" s="5"/>
      <c r="M2" s="5"/>
      <c r="N2" s="5"/>
      <c r="O2" s="5"/>
      <c r="P2" s="5"/>
      <c r="Q2">
        <v>1</v>
      </c>
    </row>
    <row r="3" spans="1:18" x14ac:dyDescent="0.2">
      <c r="A3" t="s">
        <v>9</v>
      </c>
      <c r="B3" t="s">
        <v>60</v>
      </c>
      <c r="D3" s="18"/>
      <c r="E3" s="18"/>
      <c r="F3" s="18"/>
      <c r="G3" s="18"/>
      <c r="H3" s="18"/>
      <c r="I3" s="18"/>
      <c r="J3" s="18"/>
      <c r="K3" s="18"/>
      <c r="L3" s="26"/>
      <c r="M3" s="25"/>
      <c r="N3" s="25"/>
      <c r="O3" s="25"/>
      <c r="P3" s="18"/>
      <c r="R3">
        <v>2</v>
      </c>
    </row>
    <row r="4" spans="1:18" x14ac:dyDescent="0.2">
      <c r="A4" t="s">
        <v>52</v>
      </c>
      <c r="B4" t="s">
        <v>61</v>
      </c>
      <c r="D4" s="18"/>
      <c r="E4" s="18"/>
      <c r="F4" s="18"/>
      <c r="G4" s="18"/>
      <c r="H4" s="18"/>
      <c r="I4" s="18"/>
      <c r="J4" s="18"/>
      <c r="K4" s="18"/>
      <c r="L4" s="26"/>
      <c r="M4" s="25"/>
      <c r="N4" s="25"/>
      <c r="O4" s="25"/>
      <c r="P4" s="18"/>
    </row>
    <row r="5" spans="1:18" x14ac:dyDescent="0.2">
      <c r="A5" t="s">
        <v>10</v>
      </c>
      <c r="B5" t="s">
        <v>62</v>
      </c>
      <c r="C5">
        <v>1</v>
      </c>
      <c r="D5" s="5"/>
      <c r="E5" s="5"/>
      <c r="F5" s="5"/>
      <c r="G5" s="20"/>
      <c r="H5" s="5"/>
      <c r="I5" s="5"/>
      <c r="J5" s="5"/>
      <c r="K5" s="5"/>
      <c r="L5" s="5"/>
      <c r="M5" s="5"/>
      <c r="N5" s="5"/>
      <c r="O5" s="5"/>
      <c r="P5" s="5"/>
      <c r="Q5">
        <v>1</v>
      </c>
    </row>
    <row r="6" spans="1:18" x14ac:dyDescent="0.2">
      <c r="A6" t="s">
        <v>11</v>
      </c>
      <c r="B6" t="s">
        <v>63</v>
      </c>
      <c r="D6" s="18"/>
      <c r="E6" s="18"/>
      <c r="F6" s="18"/>
      <c r="G6" s="18"/>
      <c r="H6" s="18"/>
      <c r="I6" s="18"/>
      <c r="J6" s="18"/>
      <c r="K6" s="18"/>
      <c r="L6" s="26"/>
      <c r="M6" s="25"/>
      <c r="N6" s="25"/>
      <c r="O6" s="25"/>
      <c r="P6" s="18"/>
    </row>
    <row r="7" spans="1:18" x14ac:dyDescent="0.2">
      <c r="A7" t="s">
        <v>12</v>
      </c>
      <c r="B7" t="s">
        <v>64</v>
      </c>
      <c r="C7">
        <v>1</v>
      </c>
      <c r="D7" s="5"/>
      <c r="E7" s="5"/>
      <c r="F7" s="5"/>
      <c r="G7" s="20"/>
      <c r="H7" s="5"/>
      <c r="I7" s="5"/>
      <c r="J7" s="5"/>
      <c r="K7" s="5"/>
      <c r="L7" s="5"/>
      <c r="M7" s="5"/>
      <c r="N7" s="5"/>
      <c r="O7" s="5"/>
      <c r="P7" s="5"/>
      <c r="R7">
        <v>6</v>
      </c>
    </row>
    <row r="8" spans="1:18" x14ac:dyDescent="0.2">
      <c r="A8" t="s">
        <v>53</v>
      </c>
      <c r="B8" t="s">
        <v>65</v>
      </c>
      <c r="D8" s="18"/>
      <c r="E8" s="18"/>
      <c r="F8" s="19"/>
      <c r="G8" s="9" t="s">
        <v>94</v>
      </c>
      <c r="H8" s="7"/>
      <c r="I8" s="7"/>
      <c r="J8" s="7"/>
      <c r="K8" s="7"/>
      <c r="L8" s="26"/>
      <c r="M8" s="7"/>
      <c r="N8" s="25"/>
      <c r="O8" s="7"/>
      <c r="P8" s="7"/>
    </row>
    <row r="9" spans="1:18" x14ac:dyDescent="0.2">
      <c r="A9" t="s">
        <v>13</v>
      </c>
      <c r="B9" t="s">
        <v>66</v>
      </c>
      <c r="C9">
        <v>1</v>
      </c>
      <c r="D9" s="5"/>
      <c r="E9" s="5"/>
      <c r="F9" s="5"/>
      <c r="G9" s="20"/>
      <c r="H9" s="5"/>
      <c r="I9" s="5"/>
      <c r="J9" s="5"/>
      <c r="K9" s="5"/>
      <c r="L9" s="5"/>
      <c r="M9" s="5"/>
      <c r="N9" s="5"/>
      <c r="O9" s="5"/>
      <c r="P9" s="5"/>
      <c r="Q9">
        <v>1</v>
      </c>
    </row>
    <row r="10" spans="1:18" x14ac:dyDescent="0.2">
      <c r="A10" t="s">
        <v>14</v>
      </c>
      <c r="B10" t="s">
        <v>67</v>
      </c>
      <c r="C10">
        <v>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R10">
        <v>8</v>
      </c>
    </row>
    <row r="11" spans="1:18" x14ac:dyDescent="0.2">
      <c r="A11" t="s">
        <v>54</v>
      </c>
      <c r="B11" t="s">
        <v>68</v>
      </c>
      <c r="D11" s="18"/>
      <c r="E11" s="18"/>
      <c r="F11" s="18"/>
      <c r="G11" s="7" t="s">
        <v>94</v>
      </c>
      <c r="H11" s="7"/>
      <c r="I11" s="7"/>
      <c r="J11" s="7"/>
      <c r="K11" s="7"/>
      <c r="L11" s="26"/>
      <c r="M11" s="7"/>
      <c r="N11" s="25"/>
      <c r="O11" s="7"/>
      <c r="P11" s="7"/>
    </row>
    <row r="12" spans="1:18" x14ac:dyDescent="0.2">
      <c r="A12" t="s">
        <v>15</v>
      </c>
      <c r="B12" t="s">
        <v>69</v>
      </c>
      <c r="C12">
        <v>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>
        <v>1</v>
      </c>
    </row>
    <row r="13" spans="1:18" x14ac:dyDescent="0.2">
      <c r="A13" t="s">
        <v>16</v>
      </c>
      <c r="B13" t="s">
        <v>70</v>
      </c>
      <c r="C13">
        <v>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>
        <v>1</v>
      </c>
    </row>
    <row r="14" spans="1:18" x14ac:dyDescent="0.2">
      <c r="A14" t="s">
        <v>17</v>
      </c>
      <c r="B14" t="s">
        <v>71</v>
      </c>
      <c r="C14">
        <v>1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>
        <v>1</v>
      </c>
    </row>
    <row r="15" spans="1:18" x14ac:dyDescent="0.2">
      <c r="A15" t="s">
        <v>18</v>
      </c>
      <c r="B15" t="s">
        <v>72</v>
      </c>
      <c r="C15">
        <v>1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>
        <v>1</v>
      </c>
    </row>
    <row r="16" spans="1:18" x14ac:dyDescent="0.2">
      <c r="A16" t="s">
        <v>19</v>
      </c>
      <c r="B16" t="s">
        <v>73</v>
      </c>
      <c r="C16">
        <v>1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>
        <v>1</v>
      </c>
    </row>
    <row r="17" spans="1:18" x14ac:dyDescent="0.2">
      <c r="A17" t="s">
        <v>55</v>
      </c>
      <c r="B17" t="s">
        <v>74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8" x14ac:dyDescent="0.2">
      <c r="A18" t="s">
        <v>20</v>
      </c>
      <c r="B18" t="s">
        <v>75</v>
      </c>
      <c r="C18">
        <v>1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>
        <v>1</v>
      </c>
    </row>
    <row r="19" spans="1:18" x14ac:dyDescent="0.2">
      <c r="A19" t="s">
        <v>56</v>
      </c>
      <c r="B19" t="s">
        <v>76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</row>
    <row r="20" spans="1:18" x14ac:dyDescent="0.2">
      <c r="A20" t="s">
        <v>57</v>
      </c>
      <c r="B20" t="s">
        <v>77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8" x14ac:dyDescent="0.2">
      <c r="A21" t="s">
        <v>21</v>
      </c>
      <c r="B21" t="s">
        <v>78</v>
      </c>
      <c r="C21">
        <v>1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R21">
        <v>16</v>
      </c>
    </row>
    <row r="22" spans="1:18" x14ac:dyDescent="0.2">
      <c r="A22" t="s">
        <v>58</v>
      </c>
      <c r="B22" t="s">
        <v>79</v>
      </c>
      <c r="D22" s="18"/>
      <c r="E22" s="18"/>
      <c r="F22" s="18"/>
      <c r="G22" s="7" t="s">
        <v>93</v>
      </c>
      <c r="H22" s="7"/>
      <c r="I22" s="7"/>
      <c r="J22" s="7"/>
      <c r="K22" s="7"/>
      <c r="L22" s="26"/>
      <c r="M22" s="7"/>
      <c r="N22" s="25"/>
      <c r="O22" s="7"/>
      <c r="P22" s="7"/>
    </row>
    <row r="23" spans="1:18" x14ac:dyDescent="0.2">
      <c r="A23" t="s">
        <v>22</v>
      </c>
      <c r="B23" t="s">
        <v>80</v>
      </c>
      <c r="C23">
        <v>1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>
        <v>1</v>
      </c>
    </row>
    <row r="24" spans="1:18" x14ac:dyDescent="0.2">
      <c r="A24" t="s">
        <v>23</v>
      </c>
      <c r="B24" t="s">
        <v>81</v>
      </c>
      <c r="C24">
        <v>1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>
        <v>1</v>
      </c>
    </row>
    <row r="25" spans="1:18" x14ac:dyDescent="0.2">
      <c r="A25" t="s">
        <v>24</v>
      </c>
      <c r="B25" t="s">
        <v>82</v>
      </c>
      <c r="C25">
        <v>1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>
        <v>1</v>
      </c>
    </row>
    <row r="26" spans="1:18" x14ac:dyDescent="0.2">
      <c r="C26">
        <f>SUM(C2:C25)</f>
        <v>15</v>
      </c>
      <c r="O26" s="8"/>
      <c r="Q26">
        <f>COUNT(Q2:Q25)</f>
        <v>12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1"/>
  <sheetViews>
    <sheetView workbookViewId="0">
      <selection activeCell="A24" activeCellId="8" sqref="A3 A6 A8 A10 A11 A13:A17 A19 A22 A24:A26"/>
    </sheetView>
  </sheetViews>
  <sheetFormatPr baseColWidth="10" defaultColWidth="8.83203125" defaultRowHeight="15" x14ac:dyDescent="0.2"/>
  <cols>
    <col min="3" max="3" width="8.5" bestFit="1" customWidth="1"/>
    <col min="10" max="10" width="11.83203125" bestFit="1" customWidth="1"/>
    <col min="16" max="16" width="9.33203125" bestFit="1" customWidth="1"/>
  </cols>
  <sheetData>
    <row r="1" spans="1:11" x14ac:dyDescent="0.2">
      <c r="A1" t="s">
        <v>99</v>
      </c>
    </row>
    <row r="2" spans="1:11" x14ac:dyDescent="0.2">
      <c r="A2" t="s">
        <v>101</v>
      </c>
      <c r="B2" t="s">
        <v>100</v>
      </c>
      <c r="C2" t="s">
        <v>115</v>
      </c>
      <c r="E2" t="s">
        <v>105</v>
      </c>
      <c r="F2" t="s">
        <v>102</v>
      </c>
      <c r="G2" t="s">
        <v>103</v>
      </c>
      <c r="H2" t="s">
        <v>104</v>
      </c>
      <c r="I2" t="s">
        <v>109</v>
      </c>
      <c r="J2" t="s">
        <v>112</v>
      </c>
      <c r="K2" t="s">
        <v>114</v>
      </c>
    </row>
    <row r="3" spans="1:11" x14ac:dyDescent="0.2">
      <c r="A3">
        <v>1</v>
      </c>
      <c r="B3">
        <v>1</v>
      </c>
      <c r="C3" s="15">
        <v>0.1</v>
      </c>
      <c r="D3" t="s">
        <v>59</v>
      </c>
      <c r="E3">
        <v>96</v>
      </c>
      <c r="F3">
        <f>118-E3</f>
        <v>22</v>
      </c>
      <c r="G3">
        <v>1825</v>
      </c>
      <c r="H3">
        <v>73</v>
      </c>
      <c r="I3">
        <v>1428</v>
      </c>
      <c r="J3" s="12">
        <f>(I3/H3)/2</f>
        <v>9.7808219178082183</v>
      </c>
      <c r="K3">
        <v>1</v>
      </c>
    </row>
    <row r="4" spans="1:11" x14ac:dyDescent="0.2">
      <c r="A4">
        <v>2</v>
      </c>
      <c r="D4" t="s">
        <v>60</v>
      </c>
      <c r="J4" s="12"/>
    </row>
    <row r="5" spans="1:11" x14ac:dyDescent="0.2">
      <c r="A5">
        <v>3</v>
      </c>
      <c r="D5" t="s">
        <v>61</v>
      </c>
      <c r="J5" s="12"/>
    </row>
    <row r="6" spans="1:11" x14ac:dyDescent="0.2">
      <c r="A6">
        <v>4</v>
      </c>
      <c r="B6">
        <v>1</v>
      </c>
      <c r="C6" s="15">
        <v>0.1</v>
      </c>
      <c r="D6" t="s">
        <v>62</v>
      </c>
      <c r="E6">
        <v>91</v>
      </c>
      <c r="F6">
        <f t="shared" ref="F6:F26" si="0">118-E6</f>
        <v>27</v>
      </c>
      <c r="G6">
        <v>1774</v>
      </c>
      <c r="H6">
        <v>75</v>
      </c>
      <c r="I6">
        <v>1885</v>
      </c>
      <c r="J6" s="12">
        <f t="shared" ref="J6:J25" si="1">(I6/H6)/2</f>
        <v>12.566666666666666</v>
      </c>
      <c r="K6">
        <v>1</v>
      </c>
    </row>
    <row r="7" spans="1:11" x14ac:dyDescent="0.2">
      <c r="A7">
        <v>5</v>
      </c>
      <c r="C7" s="15"/>
      <c r="D7" t="s">
        <v>63</v>
      </c>
      <c r="J7" s="12"/>
    </row>
    <row r="8" spans="1:11" x14ac:dyDescent="0.2">
      <c r="A8">
        <v>6</v>
      </c>
      <c r="B8">
        <v>1</v>
      </c>
      <c r="C8" s="15">
        <v>0.1</v>
      </c>
      <c r="D8" t="s">
        <v>64</v>
      </c>
      <c r="E8">
        <v>80</v>
      </c>
      <c r="F8">
        <f t="shared" si="0"/>
        <v>38</v>
      </c>
      <c r="G8">
        <v>1880</v>
      </c>
      <c r="H8">
        <v>91</v>
      </c>
      <c r="I8">
        <v>1982</v>
      </c>
      <c r="J8" s="12">
        <f t="shared" si="1"/>
        <v>10.890109890109891</v>
      </c>
      <c r="K8">
        <v>1</v>
      </c>
    </row>
    <row r="9" spans="1:11" x14ac:dyDescent="0.2">
      <c r="A9">
        <v>7</v>
      </c>
      <c r="D9" t="s">
        <v>65</v>
      </c>
      <c r="J9" s="12"/>
    </row>
    <row r="10" spans="1:11" x14ac:dyDescent="0.2">
      <c r="A10">
        <v>8</v>
      </c>
      <c r="B10">
        <v>1</v>
      </c>
      <c r="C10" s="15">
        <v>0.1</v>
      </c>
      <c r="D10" t="s">
        <v>66</v>
      </c>
      <c r="E10">
        <v>97</v>
      </c>
      <c r="F10">
        <f t="shared" si="0"/>
        <v>21</v>
      </c>
      <c r="G10">
        <v>1750</v>
      </c>
      <c r="H10">
        <v>73</v>
      </c>
      <c r="I10">
        <v>1517</v>
      </c>
      <c r="J10" s="12">
        <f t="shared" si="1"/>
        <v>10.390410958904109</v>
      </c>
      <c r="K10">
        <v>1</v>
      </c>
    </row>
    <row r="11" spans="1:11" x14ac:dyDescent="0.2">
      <c r="A11">
        <v>9</v>
      </c>
      <c r="B11">
        <v>1</v>
      </c>
      <c r="C11" s="15">
        <v>0.1</v>
      </c>
      <c r="D11" t="s">
        <v>67</v>
      </c>
      <c r="E11">
        <v>88</v>
      </c>
      <c r="F11">
        <f t="shared" si="0"/>
        <v>30</v>
      </c>
      <c r="G11">
        <v>1764</v>
      </c>
      <c r="H11">
        <v>75</v>
      </c>
      <c r="I11">
        <v>1792</v>
      </c>
      <c r="J11" s="12">
        <f t="shared" si="1"/>
        <v>11.946666666666667</v>
      </c>
      <c r="K11">
        <v>1</v>
      </c>
    </row>
    <row r="12" spans="1:11" x14ac:dyDescent="0.2">
      <c r="A12">
        <v>10</v>
      </c>
      <c r="D12" t="s">
        <v>68</v>
      </c>
      <c r="J12" s="12"/>
    </row>
    <row r="13" spans="1:11" x14ac:dyDescent="0.2">
      <c r="A13">
        <v>11</v>
      </c>
      <c r="B13">
        <v>1</v>
      </c>
      <c r="C13" t="s">
        <v>116</v>
      </c>
      <c r="D13" t="s">
        <v>69</v>
      </c>
      <c r="E13">
        <v>80</v>
      </c>
      <c r="F13">
        <f t="shared" si="0"/>
        <v>38</v>
      </c>
      <c r="G13">
        <v>1750</v>
      </c>
      <c r="H13">
        <v>70</v>
      </c>
      <c r="I13">
        <v>1138</v>
      </c>
      <c r="J13" s="12">
        <f t="shared" si="1"/>
        <v>8.1285714285714281</v>
      </c>
    </row>
    <row r="14" spans="1:11" x14ac:dyDescent="0.2">
      <c r="A14">
        <v>12</v>
      </c>
      <c r="B14">
        <v>1</v>
      </c>
      <c r="C14" s="15">
        <v>0.1</v>
      </c>
      <c r="D14" t="s">
        <v>70</v>
      </c>
      <c r="E14">
        <v>93</v>
      </c>
      <c r="F14">
        <f t="shared" si="0"/>
        <v>25</v>
      </c>
      <c r="G14">
        <v>1840</v>
      </c>
      <c r="H14">
        <v>90</v>
      </c>
      <c r="I14">
        <v>2059</v>
      </c>
      <c r="J14" s="12">
        <f t="shared" si="1"/>
        <v>11.438888888888888</v>
      </c>
      <c r="K14">
        <v>1</v>
      </c>
    </row>
    <row r="15" spans="1:11" x14ac:dyDescent="0.2">
      <c r="A15">
        <v>13</v>
      </c>
      <c r="B15">
        <v>1</v>
      </c>
      <c r="C15" t="s">
        <v>117</v>
      </c>
      <c r="D15" t="s">
        <v>71</v>
      </c>
      <c r="E15">
        <v>97</v>
      </c>
      <c r="F15">
        <f t="shared" si="0"/>
        <v>21</v>
      </c>
      <c r="G15">
        <v>1790</v>
      </c>
      <c r="H15">
        <v>62.5</v>
      </c>
      <c r="I15">
        <v>917</v>
      </c>
      <c r="J15" s="12">
        <f t="shared" si="1"/>
        <v>7.3360000000000003</v>
      </c>
    </row>
    <row r="16" spans="1:11" x14ac:dyDescent="0.2">
      <c r="A16">
        <v>14</v>
      </c>
      <c r="B16">
        <v>1</v>
      </c>
      <c r="C16" t="s">
        <v>118</v>
      </c>
      <c r="D16" t="s">
        <v>72</v>
      </c>
      <c r="E16">
        <v>78</v>
      </c>
      <c r="F16">
        <f t="shared" si="0"/>
        <v>40</v>
      </c>
      <c r="G16">
        <v>1830</v>
      </c>
      <c r="H16">
        <v>79</v>
      </c>
      <c r="I16">
        <v>2230</v>
      </c>
      <c r="J16" s="12">
        <f t="shared" si="1"/>
        <v>14.113924050632912</v>
      </c>
    </row>
    <row r="17" spans="1:20" x14ac:dyDescent="0.2">
      <c r="A17">
        <v>15</v>
      </c>
      <c r="B17">
        <v>1</v>
      </c>
      <c r="C17" s="15">
        <v>0.1</v>
      </c>
      <c r="D17" t="s">
        <v>73</v>
      </c>
      <c r="E17">
        <v>90</v>
      </c>
      <c r="F17">
        <f t="shared" si="0"/>
        <v>28</v>
      </c>
      <c r="G17">
        <v>1750</v>
      </c>
      <c r="H17">
        <v>74</v>
      </c>
      <c r="I17">
        <v>1874</v>
      </c>
      <c r="J17" s="12">
        <f t="shared" si="1"/>
        <v>12.662162162162161</v>
      </c>
      <c r="K17">
        <v>1</v>
      </c>
    </row>
    <row r="18" spans="1:20" x14ac:dyDescent="0.2">
      <c r="A18">
        <v>16</v>
      </c>
      <c r="D18" t="s">
        <v>74</v>
      </c>
      <c r="J18" s="12"/>
    </row>
    <row r="19" spans="1:20" x14ac:dyDescent="0.2">
      <c r="A19">
        <v>17</v>
      </c>
      <c r="B19">
        <v>1</v>
      </c>
      <c r="C19" t="s">
        <v>119</v>
      </c>
      <c r="D19" t="s">
        <v>75</v>
      </c>
      <c r="E19">
        <v>78</v>
      </c>
      <c r="F19">
        <f t="shared" si="0"/>
        <v>40</v>
      </c>
      <c r="G19">
        <v>1720</v>
      </c>
      <c r="H19">
        <v>64</v>
      </c>
      <c r="I19">
        <v>1382</v>
      </c>
      <c r="J19" s="12">
        <f t="shared" si="1"/>
        <v>10.796875</v>
      </c>
    </row>
    <row r="20" spans="1:20" x14ac:dyDescent="0.2">
      <c r="A20">
        <v>18</v>
      </c>
      <c r="D20" t="s">
        <v>76</v>
      </c>
      <c r="J20" s="12"/>
    </row>
    <row r="21" spans="1:20" x14ac:dyDescent="0.2">
      <c r="A21">
        <v>19</v>
      </c>
      <c r="D21" t="s">
        <v>77</v>
      </c>
      <c r="J21" s="12"/>
    </row>
    <row r="22" spans="1:20" x14ac:dyDescent="0.2">
      <c r="A22">
        <v>20</v>
      </c>
      <c r="B22">
        <v>1</v>
      </c>
      <c r="C22" s="15">
        <v>0.1</v>
      </c>
      <c r="D22" t="s">
        <v>78</v>
      </c>
      <c r="E22">
        <v>90</v>
      </c>
      <c r="F22">
        <f t="shared" si="0"/>
        <v>28</v>
      </c>
      <c r="G22">
        <v>1722</v>
      </c>
      <c r="H22">
        <v>76</v>
      </c>
      <c r="I22">
        <v>1483</v>
      </c>
      <c r="J22" s="12">
        <f t="shared" si="1"/>
        <v>9.7565789473684212</v>
      </c>
      <c r="K22">
        <v>1</v>
      </c>
    </row>
    <row r="23" spans="1:20" x14ac:dyDescent="0.2">
      <c r="A23">
        <v>21</v>
      </c>
      <c r="D23" t="s">
        <v>79</v>
      </c>
      <c r="J23" s="12"/>
    </row>
    <row r="24" spans="1:20" x14ac:dyDescent="0.2">
      <c r="A24">
        <v>22</v>
      </c>
      <c r="B24">
        <v>1</v>
      </c>
      <c r="C24" t="s">
        <v>118</v>
      </c>
      <c r="D24" t="s">
        <v>80</v>
      </c>
      <c r="E24">
        <v>75</v>
      </c>
      <c r="F24">
        <f t="shared" si="0"/>
        <v>43</v>
      </c>
      <c r="G24">
        <v>1870</v>
      </c>
      <c r="H24">
        <v>84</v>
      </c>
      <c r="I24">
        <v>1404</v>
      </c>
      <c r="J24" s="12">
        <f t="shared" si="1"/>
        <v>8.3571428571428577</v>
      </c>
      <c r="Q24" t="s">
        <v>147</v>
      </c>
      <c r="R24" t="s">
        <v>148</v>
      </c>
      <c r="S24" t="s">
        <v>149</v>
      </c>
      <c r="T24" t="s">
        <v>150</v>
      </c>
    </row>
    <row r="25" spans="1:20" x14ac:dyDescent="0.2">
      <c r="A25">
        <v>23</v>
      </c>
      <c r="B25">
        <v>1</v>
      </c>
      <c r="C25" s="15">
        <v>0.1</v>
      </c>
      <c r="D25" t="s">
        <v>81</v>
      </c>
      <c r="E25">
        <v>97</v>
      </c>
      <c r="F25">
        <f t="shared" si="0"/>
        <v>21</v>
      </c>
      <c r="G25">
        <v>1812</v>
      </c>
      <c r="H25">
        <v>66</v>
      </c>
      <c r="I25">
        <v>1257</v>
      </c>
      <c r="J25" s="12">
        <f t="shared" si="1"/>
        <v>9.5227272727272734</v>
      </c>
      <c r="K25">
        <v>1</v>
      </c>
      <c r="P25" s="10">
        <f>(10.74*(0.1/0.5))*74.4</f>
        <v>159.81120000000001</v>
      </c>
      <c r="Q25">
        <f>P25/(70/60*2*PI())</f>
        <v>21.801207806955006</v>
      </c>
      <c r="R25">
        <f>P25/(120/60*2*PI())</f>
        <v>12.717371220723754</v>
      </c>
      <c r="S25">
        <f>Q25*(60/70)</f>
        <v>18.686749548818575</v>
      </c>
    </row>
    <row r="26" spans="1:20" x14ac:dyDescent="0.2">
      <c r="A26">
        <v>24</v>
      </c>
      <c r="B26">
        <v>1</v>
      </c>
      <c r="C26" s="15">
        <v>0.1</v>
      </c>
      <c r="D26" t="s">
        <v>82</v>
      </c>
      <c r="E26">
        <v>92</v>
      </c>
      <c r="F26">
        <f t="shared" si="0"/>
        <v>26</v>
      </c>
      <c r="G26">
        <v>1720</v>
      </c>
      <c r="H26">
        <v>64</v>
      </c>
      <c r="I26">
        <v>1721</v>
      </c>
      <c r="J26" s="12">
        <f>(I26/H26)/2</f>
        <v>13.4453125</v>
      </c>
      <c r="K26">
        <v>1</v>
      </c>
      <c r="P26" s="10">
        <f>(10.74*(0.3/0.5))*74.4</f>
        <v>479.43360000000001</v>
      </c>
      <c r="Q26">
        <f t="shared" ref="Q26:Q27" si="2">P26/(70/60*2*PI())</f>
        <v>65.403623420865003</v>
      </c>
      <c r="R26">
        <f t="shared" ref="R26:R27" si="3">P26/(120/60*2*PI())</f>
        <v>38.15211366217126</v>
      </c>
    </row>
    <row r="27" spans="1:20" x14ac:dyDescent="0.2">
      <c r="A27" t="s">
        <v>113</v>
      </c>
      <c r="B27">
        <f>SUM(B3:B26)</f>
        <v>15</v>
      </c>
      <c r="F27" s="13">
        <f>AVERAGE(F3:F26)</f>
        <v>29.866666666666667</v>
      </c>
      <c r="G27" s="16">
        <f>AVERAGE(G3:G26)/1000</f>
        <v>1.7864666666666666</v>
      </c>
      <c r="H27" s="13">
        <f>AVERAGE(H3:H26)</f>
        <v>74.433333333333337</v>
      </c>
      <c r="I27" s="13">
        <f>AVERAGE(I3:I26)</f>
        <v>1604.6</v>
      </c>
      <c r="J27" s="13">
        <f>AVERAGE(J3:J26)</f>
        <v>10.742190613843299</v>
      </c>
      <c r="K27">
        <f>SUM(K3:K26)</f>
        <v>10</v>
      </c>
      <c r="P27" s="10">
        <f>10.74*74.4</f>
        <v>799.05600000000004</v>
      </c>
      <c r="Q27">
        <f t="shared" si="2"/>
        <v>109.00603903477501</v>
      </c>
      <c r="R27">
        <f t="shared" si="3"/>
        <v>63.586856103618764</v>
      </c>
      <c r="T27">
        <f>R27*(60/120)</f>
        <v>31.793428051809382</v>
      </c>
    </row>
    <row r="28" spans="1:20" x14ac:dyDescent="0.2">
      <c r="F28" s="13">
        <f>_xlfn.STDEV.P(F3:F26)</f>
        <v>7.5795045279285169</v>
      </c>
      <c r="G28" s="16">
        <f>_xlfn.STDEV.P(G3:G26)/1000</f>
        <v>5.1818743927484603E-2</v>
      </c>
      <c r="H28" s="13">
        <f>_xlfn.STDEV.P(H3:H26)</f>
        <v>8.5144321921990525</v>
      </c>
      <c r="I28" s="13">
        <f>_xlfn.STDEV.P(I3:I26)</f>
        <v>355.40377037955011</v>
      </c>
      <c r="J28" s="13">
        <f>_xlfn.STDEV.P(J3:J26)</f>
        <v>1.9197147686480465</v>
      </c>
    </row>
    <row r="29" spans="1:20" x14ac:dyDescent="0.2">
      <c r="F29" s="14" t="s">
        <v>106</v>
      </c>
      <c r="G29" s="14" t="s">
        <v>107</v>
      </c>
      <c r="H29" s="14" t="s">
        <v>108</v>
      </c>
      <c r="I29" s="14" t="s">
        <v>110</v>
      </c>
      <c r="J29" s="14" t="s">
        <v>111</v>
      </c>
    </row>
    <row r="31" spans="1:20" x14ac:dyDescent="0.2">
      <c r="J31">
        <f>J27/2</f>
        <v>5.3710953069216494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data_inc</vt:lpstr>
      <vt:lpstr>Sheet3</vt:lpstr>
      <vt:lpstr>data</vt:lpstr>
      <vt:lpstr>Pmax_seated</vt:lpstr>
      <vt:lpstr>Pmax_standing</vt:lpstr>
      <vt:lpstr>Sheet4</vt:lpstr>
      <vt:lpstr>Sheet1</vt:lpstr>
      <vt:lpstr>progress</vt:lpstr>
      <vt:lpstr>Inclusion</vt:lpstr>
      <vt:lpstr>nCyclesAnalyzed</vt:lpstr>
      <vt:lpstr>powerData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Wilkinson</dc:creator>
  <cp:lastModifiedBy>Microsoft Office User</cp:lastModifiedBy>
  <dcterms:created xsi:type="dcterms:W3CDTF">2018-01-11T02:21:23Z</dcterms:created>
  <dcterms:modified xsi:type="dcterms:W3CDTF">2021-04-09T17:34:45Z</dcterms:modified>
</cp:coreProperties>
</file>