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DeTrabalho" defaultThemeVersion="124226"/>
  <bookViews>
    <workbookView xWindow="-20520" yWindow="-60" windowWidth="20640" windowHeight="11160" tabRatio="739"/>
  </bookViews>
  <sheets>
    <sheet name="Dados" sheetId="30" r:id="rId1"/>
    <sheet name="Fontes" sheetId="3" state="hidden" r:id="rId2"/>
    <sheet name="Tabela de Conversões" sheetId="18" r:id="rId3"/>
    <sheet name="Gráfico1" sheetId="19" state="hidden" r:id="rId4"/>
    <sheet name="Gráfico2" sheetId="20" state="hidden" r:id="rId5"/>
    <sheet name="Gráfico3" sheetId="21" state="hidden" r:id="rId6"/>
    <sheet name="Gráfico4" sheetId="29" state="hidden" r:id="rId7"/>
  </sheets>
  <externalReferences>
    <externalReference r:id="rId8"/>
  </externalReferences>
  <definedNames>
    <definedName name="_xlnm._FilterDatabase" localSheetId="1" hidden="1">Fontes!$A$1:$H$44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0" l="1"/>
  <c r="NB37" i="30" l="1"/>
  <c r="NA37" i="30"/>
  <c r="MZ37" i="30"/>
  <c r="NB8" i="30"/>
  <c r="NA8" i="30"/>
  <c r="MZ8" i="30" l="1"/>
  <c r="MY8" i="30" l="1"/>
  <c r="MY37" i="30"/>
  <c r="MX8" i="30" l="1"/>
  <c r="MX37" i="30"/>
  <c r="MU8" i="30" l="1"/>
  <c r="MU37" i="30"/>
  <c r="MT8" i="30" l="1"/>
  <c r="MT37" i="30"/>
  <c r="MS8" i="30" l="1"/>
  <c r="MS37" i="30" l="1"/>
  <c r="MR3" i="30" l="1"/>
  <c r="MR8" i="30" l="1"/>
  <c r="MR37" i="30"/>
  <c r="MQ8" i="30" l="1"/>
  <c r="MQ37" i="30"/>
  <c r="MN8" i="30" l="1"/>
  <c r="MN37" i="30"/>
  <c r="MM8" i="30" l="1"/>
  <c r="MM37" i="30"/>
  <c r="ML8" i="30" l="1"/>
  <c r="ML37" i="30"/>
  <c r="MK37" i="30" l="1"/>
  <c r="MK8" i="30" l="1"/>
  <c r="MJ8" i="30" l="1"/>
  <c r="MJ37" i="30"/>
  <c r="MF8" i="30" l="1"/>
  <c r="MG8" i="30"/>
  <c r="MG37" i="30"/>
  <c r="MF37" i="30"/>
  <c r="ME37" i="30" l="1"/>
  <c r="ME8" i="30"/>
  <c r="MD37" i="30" l="1"/>
  <c r="MD8" i="30"/>
  <c r="MC8" i="30" l="1"/>
  <c r="MC37" i="30"/>
  <c r="LZ37" i="30" l="1"/>
  <c r="LZ8" i="30"/>
  <c r="LY8" i="30" l="1"/>
  <c r="LY37" i="30"/>
  <c r="LX8" i="30" l="1"/>
  <c r="LX37" i="30"/>
  <c r="LW8" i="30" l="1"/>
  <c r="LW37" i="30"/>
  <c r="LV8" i="30" l="1"/>
  <c r="LV37" i="30"/>
  <c r="LS8" i="30" l="1"/>
  <c r="LS37" i="30"/>
  <c r="LR8" i="30" l="1"/>
  <c r="LR37" i="30"/>
  <c r="LQ8" i="30" l="1"/>
  <c r="LQ37" i="30"/>
  <c r="LP8" i="30" l="1"/>
  <c r="LP37" i="30"/>
  <c r="LO8" i="30" l="1"/>
  <c r="LO37" i="30"/>
  <c r="LK8" i="30" l="1"/>
  <c r="LL8" i="30"/>
  <c r="LK37" i="30"/>
  <c r="LL37" i="30"/>
  <c r="LJ8" i="30" l="1"/>
  <c r="LJ37" i="30"/>
  <c r="LI8" i="30" l="1"/>
  <c r="LI37" i="30"/>
  <c r="LH37" i="30" l="1"/>
  <c r="LH29" i="30"/>
  <c r="LH18" i="30"/>
  <c r="LH19" i="30" s="1"/>
  <c r="LH16" i="30"/>
  <c r="LH14" i="30"/>
  <c r="LH11" i="30"/>
  <c r="LH12" i="30" s="1"/>
  <c r="LH15" i="30" s="1"/>
  <c r="LH8" i="30"/>
  <c r="LE8" i="30"/>
  <c r="LE37" i="30"/>
  <c r="LD37" i="30" l="1"/>
  <c r="LD8" i="30"/>
  <c r="LC3" i="30" l="1"/>
  <c r="LC8" i="30"/>
  <c r="LC37" i="30"/>
  <c r="LB37" i="30"/>
  <c r="LB8" i="30"/>
  <c r="LA8" i="30" l="1"/>
  <c r="LA37" i="30"/>
  <c r="KX37" i="30" l="1"/>
  <c r="KX8" i="30"/>
  <c r="KW8" i="30" l="1"/>
  <c r="KW37" i="30"/>
  <c r="KV8" i="30" l="1"/>
  <c r="KV37" i="30"/>
  <c r="NB29" i="30"/>
  <c r="NB30" i="30" s="1"/>
  <c r="NA29" i="30"/>
  <c r="MZ29" i="30"/>
  <c r="MY29" i="30"/>
  <c r="MX29" i="30"/>
  <c r="MX30" i="30" s="1"/>
  <c r="NB18" i="30"/>
  <c r="NB19" i="30" s="1"/>
  <c r="NA18" i="30"/>
  <c r="NA19" i="30" s="1"/>
  <c r="MZ18" i="30"/>
  <c r="MZ19" i="30" s="1"/>
  <c r="MY18" i="30"/>
  <c r="MY19" i="30" s="1"/>
  <c r="MX18" i="30"/>
  <c r="MX19" i="30" s="1"/>
  <c r="NB16" i="30"/>
  <c r="NA16" i="30"/>
  <c r="MZ16" i="30"/>
  <c r="MY16" i="30"/>
  <c r="MX16" i="30"/>
  <c r="NB14" i="30"/>
  <c r="NA14" i="30"/>
  <c r="MZ14" i="30"/>
  <c r="MY14" i="30"/>
  <c r="MX14" i="30"/>
  <c r="NB11" i="30"/>
  <c r="NB12" i="30" s="1"/>
  <c r="NB15" i="30" s="1"/>
  <c r="NA11" i="30"/>
  <c r="NA12" i="30" s="1"/>
  <c r="NA15" i="30" s="1"/>
  <c r="MZ11" i="30"/>
  <c r="MZ12" i="30" s="1"/>
  <c r="MZ15" i="30" s="1"/>
  <c r="MY11" i="30"/>
  <c r="MY12" i="30" s="1"/>
  <c r="MY15" i="30" s="1"/>
  <c r="MX11" i="30"/>
  <c r="MX12" i="30" s="1"/>
  <c r="MX15" i="30" s="1"/>
  <c r="NB3" i="30"/>
  <c r="NA3" i="30"/>
  <c r="MZ3" i="30"/>
  <c r="MY3" i="30"/>
  <c r="MX3" i="30"/>
  <c r="MU29" i="30"/>
  <c r="MT29" i="30"/>
  <c r="MS29" i="30"/>
  <c r="MR29" i="30"/>
  <c r="MQ29" i="30"/>
  <c r="MU18" i="30"/>
  <c r="MU19" i="30" s="1"/>
  <c r="MT18" i="30"/>
  <c r="MT19" i="30" s="1"/>
  <c r="MS18" i="30"/>
  <c r="MS19" i="30" s="1"/>
  <c r="MR18" i="30"/>
  <c r="MR19" i="30" s="1"/>
  <c r="MQ18" i="30"/>
  <c r="MQ19" i="30" s="1"/>
  <c r="MU16" i="30"/>
  <c r="MT16" i="30"/>
  <c r="MS16" i="30"/>
  <c r="MR16" i="30"/>
  <c r="MQ16" i="30"/>
  <c r="MU14" i="30"/>
  <c r="MT14" i="30"/>
  <c r="MS14" i="30"/>
  <c r="MR14" i="30"/>
  <c r="MQ14" i="30"/>
  <c r="MU11" i="30"/>
  <c r="MU12" i="30" s="1"/>
  <c r="MU15" i="30" s="1"/>
  <c r="MT11" i="30"/>
  <c r="MT12" i="30" s="1"/>
  <c r="MT15" i="30" s="1"/>
  <c r="MS11" i="30"/>
  <c r="MS12" i="30" s="1"/>
  <c r="MS15" i="30" s="1"/>
  <c r="MR11" i="30"/>
  <c r="MR12" i="30" s="1"/>
  <c r="MR15" i="30" s="1"/>
  <c r="MQ11" i="30"/>
  <c r="MQ12" i="30" s="1"/>
  <c r="MQ15" i="30" s="1"/>
  <c r="MU3" i="30"/>
  <c r="MT3" i="30"/>
  <c r="MS3" i="30"/>
  <c r="MQ3" i="30"/>
  <c r="MN29" i="30"/>
  <c r="MM29" i="30"/>
  <c r="MM30" i="30" s="1"/>
  <c r="ML29" i="30"/>
  <c r="MK29" i="30"/>
  <c r="MJ29" i="30"/>
  <c r="MN18" i="30"/>
  <c r="MN19" i="30" s="1"/>
  <c r="MM18" i="30"/>
  <c r="MM19" i="30" s="1"/>
  <c r="ML18" i="30"/>
  <c r="ML19" i="30" s="1"/>
  <c r="MK18" i="30"/>
  <c r="MK19" i="30" s="1"/>
  <c r="MJ18" i="30"/>
  <c r="MJ19" i="30" s="1"/>
  <c r="MN16" i="30"/>
  <c r="MM16" i="30"/>
  <c r="ML16" i="30"/>
  <c r="MK16" i="30"/>
  <c r="MJ16" i="30"/>
  <c r="MN14" i="30"/>
  <c r="MM14" i="30"/>
  <c r="ML14" i="30"/>
  <c r="MK14" i="30"/>
  <c r="MJ14" i="30"/>
  <c r="MN11" i="30"/>
  <c r="MN12" i="30" s="1"/>
  <c r="MN15" i="30" s="1"/>
  <c r="MM11" i="30"/>
  <c r="MM12" i="30" s="1"/>
  <c r="MM15" i="30" s="1"/>
  <c r="ML11" i="30"/>
  <c r="MK11" i="30"/>
  <c r="MK12" i="30" s="1"/>
  <c r="MK15" i="30" s="1"/>
  <c r="MJ11" i="30"/>
  <c r="MJ12" i="30" s="1"/>
  <c r="MJ15" i="30" s="1"/>
  <c r="MN3" i="30"/>
  <c r="MM3" i="30"/>
  <c r="ML3" i="30"/>
  <c r="MK3" i="30"/>
  <c r="MJ3" i="30"/>
  <c r="MG29" i="30"/>
  <c r="MF29" i="30"/>
  <c r="ME29" i="30"/>
  <c r="ME30" i="30" s="1"/>
  <c r="MD29" i="30"/>
  <c r="MC29" i="30"/>
  <c r="MG18" i="30"/>
  <c r="MG19" i="30" s="1"/>
  <c r="MF18" i="30"/>
  <c r="MF19" i="30" s="1"/>
  <c r="ME18" i="30"/>
  <c r="ME19" i="30" s="1"/>
  <c r="MD18" i="30"/>
  <c r="MD19" i="30" s="1"/>
  <c r="MC18" i="30"/>
  <c r="MC19" i="30" s="1"/>
  <c r="MG16" i="30"/>
  <c r="MF16" i="30"/>
  <c r="ME16" i="30"/>
  <c r="MD16" i="30"/>
  <c r="MC16" i="30"/>
  <c r="MG14" i="30"/>
  <c r="MF14" i="30"/>
  <c r="ME14" i="30"/>
  <c r="MD14" i="30"/>
  <c r="MC14" i="30"/>
  <c r="MG11" i="30"/>
  <c r="MG12" i="30" s="1"/>
  <c r="MG15" i="30" s="1"/>
  <c r="MF11" i="30"/>
  <c r="MF12" i="30" s="1"/>
  <c r="MF15" i="30" s="1"/>
  <c r="ME11" i="30"/>
  <c r="ME12" i="30" s="1"/>
  <c r="ME15" i="30" s="1"/>
  <c r="MD11" i="30"/>
  <c r="MD12" i="30" s="1"/>
  <c r="MD15" i="30" s="1"/>
  <c r="MC11" i="30"/>
  <c r="MC12" i="30" s="1"/>
  <c r="MC15" i="30" s="1"/>
  <c r="MG3" i="30"/>
  <c r="MF3" i="30"/>
  <c r="ME3" i="30"/>
  <c r="MD3" i="30"/>
  <c r="MC3" i="30"/>
  <c r="LZ29" i="30"/>
  <c r="LY29" i="30"/>
  <c r="LX29" i="30"/>
  <c r="LW29" i="30"/>
  <c r="LV29" i="30"/>
  <c r="LZ18" i="30"/>
  <c r="LZ19" i="30" s="1"/>
  <c r="LY18" i="30"/>
  <c r="LY19" i="30" s="1"/>
  <c r="LX18" i="30"/>
  <c r="LX19" i="30" s="1"/>
  <c r="LW18" i="30"/>
  <c r="LW19" i="30" s="1"/>
  <c r="LV18" i="30"/>
  <c r="LV19" i="30" s="1"/>
  <c r="LZ16" i="30"/>
  <c r="LY16" i="30"/>
  <c r="LX16" i="30"/>
  <c r="LW16" i="30"/>
  <c r="LV16" i="30"/>
  <c r="LZ14" i="30"/>
  <c r="LY14" i="30"/>
  <c r="LX14" i="30"/>
  <c r="LW14" i="30"/>
  <c r="LV14" i="30"/>
  <c r="LZ11" i="30"/>
  <c r="LZ12" i="30" s="1"/>
  <c r="LZ15" i="30" s="1"/>
  <c r="LY11" i="30"/>
  <c r="LY12" i="30" s="1"/>
  <c r="LY15" i="30" s="1"/>
  <c r="LX11" i="30"/>
  <c r="LX12" i="30" s="1"/>
  <c r="LX15" i="30" s="1"/>
  <c r="LW11" i="30"/>
  <c r="LW12" i="30" s="1"/>
  <c r="LW15" i="30" s="1"/>
  <c r="LV11" i="30"/>
  <c r="LV12" i="30" s="1"/>
  <c r="LV15" i="30" s="1"/>
  <c r="LZ3" i="30"/>
  <c r="LY3" i="30"/>
  <c r="LX3" i="30"/>
  <c r="LW3" i="30"/>
  <c r="LV3" i="30"/>
  <c r="LS29" i="30"/>
  <c r="LR29" i="30"/>
  <c r="LQ29" i="30"/>
  <c r="LP29" i="30"/>
  <c r="LO29" i="30"/>
  <c r="LS18" i="30"/>
  <c r="LS19" i="30" s="1"/>
  <c r="LR18" i="30"/>
  <c r="LR19" i="30" s="1"/>
  <c r="LQ18" i="30"/>
  <c r="LQ19" i="30" s="1"/>
  <c r="LP18" i="30"/>
  <c r="LP19" i="30" s="1"/>
  <c r="LO18" i="30"/>
  <c r="LO19" i="30" s="1"/>
  <c r="LS16" i="30"/>
  <c r="LR16" i="30"/>
  <c r="LQ16" i="30"/>
  <c r="LP16" i="30"/>
  <c r="LO16" i="30"/>
  <c r="LS14" i="30"/>
  <c r="LR14" i="30"/>
  <c r="LQ14" i="30"/>
  <c r="LP14" i="30"/>
  <c r="LO14" i="30"/>
  <c r="LS11" i="30"/>
  <c r="LS12" i="30" s="1"/>
  <c r="LS15" i="30" s="1"/>
  <c r="LR11" i="30"/>
  <c r="LR12" i="30" s="1"/>
  <c r="LR15" i="30" s="1"/>
  <c r="LQ11" i="30"/>
  <c r="LQ12" i="30" s="1"/>
  <c r="LQ15" i="30" s="1"/>
  <c r="LP11" i="30"/>
  <c r="LP12" i="30" s="1"/>
  <c r="LP15" i="30" s="1"/>
  <c r="LO11" i="30"/>
  <c r="LO12" i="30" s="1"/>
  <c r="LO15" i="30" s="1"/>
  <c r="LS3" i="30"/>
  <c r="LR3" i="30"/>
  <c r="LQ3" i="30"/>
  <c r="LP3" i="30"/>
  <c r="LO3" i="30"/>
  <c r="LL29" i="30"/>
  <c r="LK29" i="30"/>
  <c r="LJ29" i="30"/>
  <c r="LI29" i="30"/>
  <c r="LH30" i="30"/>
  <c r="LL18" i="30"/>
  <c r="LL19" i="30" s="1"/>
  <c r="LK18" i="30"/>
  <c r="LK19" i="30" s="1"/>
  <c r="LJ18" i="30"/>
  <c r="LJ19" i="30" s="1"/>
  <c r="LI18" i="30"/>
  <c r="LI19" i="30" s="1"/>
  <c r="LL16" i="30"/>
  <c r="LK16" i="30"/>
  <c r="LJ16" i="30"/>
  <c r="LI16" i="30"/>
  <c r="LL14" i="30"/>
  <c r="LK14" i="30"/>
  <c r="LJ14" i="30"/>
  <c r="LI14" i="30"/>
  <c r="LL11" i="30"/>
  <c r="LL12" i="30" s="1"/>
  <c r="LL15" i="30" s="1"/>
  <c r="LK11" i="30"/>
  <c r="LK12" i="30" s="1"/>
  <c r="LK15" i="30" s="1"/>
  <c r="LJ11" i="30"/>
  <c r="LJ12" i="30" s="1"/>
  <c r="LJ15" i="30" s="1"/>
  <c r="LI11" i="30"/>
  <c r="LI12" i="30" s="1"/>
  <c r="LI15" i="30" s="1"/>
  <c r="LL3" i="30"/>
  <c r="LK3" i="30"/>
  <c r="LJ3" i="30"/>
  <c r="LI3" i="30"/>
  <c r="LH3" i="30"/>
  <c r="LB18" i="30"/>
  <c r="LB19" i="30" s="1"/>
  <c r="LC29" i="30"/>
  <c r="LC30" i="30" s="1"/>
  <c r="LE29" i="30"/>
  <c r="LH31" i="30" s="1"/>
  <c r="LD29" i="30"/>
  <c r="LB29" i="30"/>
  <c r="LA29" i="30"/>
  <c r="LE18" i="30"/>
  <c r="LE19" i="30" s="1"/>
  <c r="LD18" i="30"/>
  <c r="LD19" i="30" s="1"/>
  <c r="LC18" i="30"/>
  <c r="LC19" i="30" s="1"/>
  <c r="LA18" i="30"/>
  <c r="LA19" i="30" s="1"/>
  <c r="LE16" i="30"/>
  <c r="LD16" i="30"/>
  <c r="LC16" i="30"/>
  <c r="LB16" i="30"/>
  <c r="LA16" i="30"/>
  <c r="LE14" i="30"/>
  <c r="LD14" i="30"/>
  <c r="LC14" i="30"/>
  <c r="LB14" i="30"/>
  <c r="LA14" i="30"/>
  <c r="LE11" i="30"/>
  <c r="LE12" i="30" s="1"/>
  <c r="LE15" i="30" s="1"/>
  <c r="LD11" i="30"/>
  <c r="LD12" i="30" s="1"/>
  <c r="LD15" i="30" s="1"/>
  <c r="LC11" i="30"/>
  <c r="LC12" i="30" s="1"/>
  <c r="LC15" i="30" s="1"/>
  <c r="LB11" i="30"/>
  <c r="LB12" i="30" s="1"/>
  <c r="LB15" i="30" s="1"/>
  <c r="LA11" i="30"/>
  <c r="LA12" i="30" s="1"/>
  <c r="LA15" i="30" s="1"/>
  <c r="LE3" i="30"/>
  <c r="LD3" i="30"/>
  <c r="LB3" i="30"/>
  <c r="LA3" i="30"/>
  <c r="KU37" i="30"/>
  <c r="KT37" i="30"/>
  <c r="KU8" i="30"/>
  <c r="KT8" i="30"/>
  <c r="ML12" i="30" l="1"/>
  <c r="ML15" i="30" s="1"/>
  <c r="LS31" i="30"/>
  <c r="LJ31" i="30"/>
  <c r="MF31" i="30"/>
  <c r="LO31" i="30"/>
  <c r="LV31" i="30"/>
  <c r="MY31" i="30"/>
  <c r="MY30" i="30"/>
  <c r="MZ31" i="30"/>
  <c r="NA31" i="30"/>
  <c r="NA30" i="30"/>
  <c r="MX31" i="30"/>
  <c r="NB31" i="30"/>
  <c r="MZ30" i="30"/>
  <c r="MQ31" i="30"/>
  <c r="MQ30" i="30"/>
  <c r="MU31" i="30"/>
  <c r="MU30" i="30"/>
  <c r="MS31" i="30"/>
  <c r="MS30" i="30"/>
  <c r="MR30" i="30"/>
  <c r="MR31" i="30"/>
  <c r="MT31" i="30"/>
  <c r="MT30" i="30"/>
  <c r="MJ31" i="30"/>
  <c r="MJ30" i="30"/>
  <c r="MN31" i="30"/>
  <c r="MN30" i="30"/>
  <c r="MK30" i="30"/>
  <c r="MK31" i="30"/>
  <c r="ML31" i="30"/>
  <c r="ML30" i="30"/>
  <c r="MM31" i="30"/>
  <c r="MC31" i="30"/>
  <c r="MC30" i="30"/>
  <c r="MG31" i="30"/>
  <c r="MG30" i="30"/>
  <c r="MD30" i="30"/>
  <c r="ME31" i="30"/>
  <c r="MD31" i="30"/>
  <c r="MF30" i="30"/>
  <c r="LW31" i="30"/>
  <c r="LW30" i="30"/>
  <c r="LY31" i="30"/>
  <c r="LY30" i="30"/>
  <c r="LX31" i="30"/>
  <c r="LX30" i="30"/>
  <c r="LZ31" i="30"/>
  <c r="LV30" i="30"/>
  <c r="LZ30" i="30"/>
  <c r="LP31" i="30"/>
  <c r="LP30" i="30"/>
  <c r="LQ31" i="30"/>
  <c r="LQ30" i="30"/>
  <c r="LR31" i="30"/>
  <c r="LR30" i="30"/>
  <c r="LO30" i="30"/>
  <c r="LS30" i="30"/>
  <c r="LK31" i="30"/>
  <c r="LK30" i="30"/>
  <c r="LL31" i="30"/>
  <c r="LI30" i="30"/>
  <c r="LI31" i="30"/>
  <c r="LJ30" i="30"/>
  <c r="LL30" i="30"/>
  <c r="LE31" i="30"/>
  <c r="LE30" i="30"/>
  <c r="LA30" i="30"/>
  <c r="LB30" i="30"/>
  <c r="LB31" i="30"/>
  <c r="LD31" i="30"/>
  <c r="LD30" i="30"/>
  <c r="LC31" i="30"/>
  <c r="KQ8" i="30" l="1"/>
  <c r="KQ37" i="30"/>
  <c r="KP8" i="30" l="1"/>
  <c r="KP37" i="30"/>
  <c r="KO8" i="30" l="1"/>
  <c r="KO37" i="30"/>
  <c r="KN8" i="30" l="1"/>
  <c r="KN37" i="30"/>
  <c r="KM8" i="30" l="1"/>
  <c r="KM37" i="30"/>
  <c r="KJ8" i="30" l="1"/>
  <c r="KJ37" i="30"/>
  <c r="KI37" i="30" l="1"/>
  <c r="KI8" i="30"/>
  <c r="KH8" i="30"/>
  <c r="KH37" i="30"/>
  <c r="KG37" i="30" l="1"/>
  <c r="KG8" i="30"/>
  <c r="KF8" i="30" l="1"/>
  <c r="KF37" i="30"/>
  <c r="KC37" i="30"/>
  <c r="KC8" i="30" l="1"/>
  <c r="KV29" i="30" l="1"/>
  <c r="KU29" i="30"/>
  <c r="KU30" i="30" s="1"/>
  <c r="KT29" i="30"/>
  <c r="KX29" i="30"/>
  <c r="LA31" i="30" s="1"/>
  <c r="KW29" i="30"/>
  <c r="KO29" i="30"/>
  <c r="KN29" i="30"/>
  <c r="KN30" i="30" s="1"/>
  <c r="KM29" i="30"/>
  <c r="KM30" i="30" s="1"/>
  <c r="KQ29" i="30"/>
  <c r="KP29" i="30"/>
  <c r="KB8" i="30"/>
  <c r="KB37" i="30"/>
  <c r="KX31" i="30" l="1"/>
  <c r="KT31" i="30"/>
  <c r="KV31" i="30"/>
  <c r="KT30" i="30"/>
  <c r="KO31" i="30"/>
  <c r="KN31" i="30"/>
  <c r="KO30" i="30"/>
  <c r="KX30" i="30"/>
  <c r="KW30" i="30"/>
  <c r="KW31" i="30"/>
  <c r="KV30" i="30"/>
  <c r="KU31" i="30"/>
  <c r="KP31" i="30"/>
  <c r="KP30" i="30"/>
  <c r="KQ31" i="30"/>
  <c r="KQ30" i="30"/>
  <c r="KX18" i="30"/>
  <c r="KX19" i="30" s="1"/>
  <c r="KW18" i="30"/>
  <c r="KW19" i="30" s="1"/>
  <c r="KV18" i="30"/>
  <c r="KV19" i="30" s="1"/>
  <c r="KU18" i="30"/>
  <c r="KU19" i="30" s="1"/>
  <c r="KT18" i="30"/>
  <c r="KT19" i="30" s="1"/>
  <c r="KX16" i="30"/>
  <c r="KW16" i="30"/>
  <c r="KV16" i="30"/>
  <c r="KU16" i="30"/>
  <c r="KT16" i="30"/>
  <c r="KX14" i="30"/>
  <c r="KW14" i="30"/>
  <c r="KV14" i="30"/>
  <c r="KU14" i="30"/>
  <c r="KT14" i="30"/>
  <c r="KX11" i="30"/>
  <c r="KX12" i="30" s="1"/>
  <c r="KX15" i="30" s="1"/>
  <c r="KW11" i="30"/>
  <c r="KW12" i="30" s="1"/>
  <c r="KW15" i="30" s="1"/>
  <c r="KV11" i="30"/>
  <c r="KV12" i="30" s="1"/>
  <c r="KV15" i="30" s="1"/>
  <c r="KU11" i="30"/>
  <c r="KU12" i="30" s="1"/>
  <c r="KU15" i="30" s="1"/>
  <c r="KT11" i="30"/>
  <c r="KT12" i="30" s="1"/>
  <c r="KT15" i="30" s="1"/>
  <c r="KX3" i="30"/>
  <c r="KW3" i="30"/>
  <c r="KV3" i="30"/>
  <c r="KU3" i="30"/>
  <c r="KT3" i="30"/>
  <c r="KQ18" i="30"/>
  <c r="KQ19" i="30" s="1"/>
  <c r="KP18" i="30"/>
  <c r="KP19" i="30" s="1"/>
  <c r="KO18" i="30"/>
  <c r="KO19" i="30" s="1"/>
  <c r="KN18" i="30"/>
  <c r="KN19" i="30" s="1"/>
  <c r="KM18" i="30"/>
  <c r="KM19" i="30" s="1"/>
  <c r="KQ16" i="30"/>
  <c r="KP16" i="30"/>
  <c r="KO16" i="30"/>
  <c r="KN16" i="30"/>
  <c r="KM16" i="30"/>
  <c r="KQ14" i="30"/>
  <c r="KP14" i="30"/>
  <c r="KO14" i="30"/>
  <c r="KN14" i="30"/>
  <c r="KM14" i="30"/>
  <c r="KQ11" i="30"/>
  <c r="KQ12" i="30" s="1"/>
  <c r="KQ15" i="30" s="1"/>
  <c r="KP11" i="30"/>
  <c r="KP12" i="30" s="1"/>
  <c r="KP15" i="30" s="1"/>
  <c r="KO11" i="30"/>
  <c r="KO12" i="30" s="1"/>
  <c r="KO15" i="30" s="1"/>
  <c r="KN11" i="30"/>
  <c r="KN12" i="30" s="1"/>
  <c r="KN15" i="30" s="1"/>
  <c r="KM11" i="30"/>
  <c r="KM12" i="30" s="1"/>
  <c r="KM15" i="30" s="1"/>
  <c r="KQ3" i="30"/>
  <c r="KP3" i="30"/>
  <c r="KO3" i="30"/>
  <c r="KN3" i="30"/>
  <c r="KM3" i="30"/>
  <c r="KF29" i="30"/>
  <c r="KH29" i="30"/>
  <c r="KG29" i="30"/>
  <c r="KJ29" i="30"/>
  <c r="KI29" i="30"/>
  <c r="KJ18" i="30"/>
  <c r="KJ19" i="30" s="1"/>
  <c r="KI18" i="30"/>
  <c r="KI19" i="30" s="1"/>
  <c r="KH18" i="30"/>
  <c r="KH19" i="30" s="1"/>
  <c r="KG18" i="30"/>
  <c r="KG19" i="30" s="1"/>
  <c r="KF18" i="30"/>
  <c r="KF19" i="30" s="1"/>
  <c r="KJ16" i="30"/>
  <c r="KI16" i="30"/>
  <c r="KH16" i="30"/>
  <c r="KG16" i="30"/>
  <c r="KF16" i="30"/>
  <c r="KJ14" i="30"/>
  <c r="KI14" i="30"/>
  <c r="KH14" i="30"/>
  <c r="KG14" i="30"/>
  <c r="KF14" i="30"/>
  <c r="KJ11" i="30"/>
  <c r="KJ12" i="30" s="1"/>
  <c r="KJ15" i="30" s="1"/>
  <c r="KI11" i="30"/>
  <c r="KI12" i="30" s="1"/>
  <c r="KI15" i="30" s="1"/>
  <c r="KH11" i="30"/>
  <c r="KH12" i="30" s="1"/>
  <c r="KH15" i="30" s="1"/>
  <c r="KG11" i="30"/>
  <c r="KG12" i="30" s="1"/>
  <c r="KG15" i="30" s="1"/>
  <c r="KF11" i="30"/>
  <c r="KF12" i="30" s="1"/>
  <c r="KF15" i="30" s="1"/>
  <c r="KJ3" i="30"/>
  <c r="KI3" i="30"/>
  <c r="KH3" i="30"/>
  <c r="KG3" i="30"/>
  <c r="KF3" i="30"/>
  <c r="KI31" i="30" l="1"/>
  <c r="KH31" i="30"/>
  <c r="KF30" i="30"/>
  <c r="KG30" i="30"/>
  <c r="KG31" i="30"/>
  <c r="KJ31" i="30"/>
  <c r="KM31" i="30"/>
  <c r="KH30" i="30"/>
  <c r="KJ30" i="30"/>
  <c r="KI30" i="30"/>
  <c r="KA37" i="30" l="1"/>
  <c r="KA8" i="30"/>
  <c r="KC3" i="30"/>
  <c r="KB3" i="30"/>
  <c r="KA3" i="30"/>
  <c r="JZ37" i="30" l="1"/>
  <c r="JY37" i="30"/>
  <c r="KA29" i="30"/>
  <c r="JZ29" i="30"/>
  <c r="JY29" i="30"/>
  <c r="JY30" i="30" s="1"/>
  <c r="JZ8" i="30"/>
  <c r="JY8" i="30"/>
  <c r="KA31" i="30" l="1"/>
  <c r="JZ31" i="30"/>
  <c r="JZ30" i="30"/>
  <c r="KA30" i="30"/>
  <c r="JZ3" i="30"/>
  <c r="JY3" i="30"/>
  <c r="KC18" i="30"/>
  <c r="KC19" i="30" s="1"/>
  <c r="KB18" i="30"/>
  <c r="KB19" i="30" s="1"/>
  <c r="KA18" i="30"/>
  <c r="KA19" i="30" s="1"/>
  <c r="JZ18" i="30"/>
  <c r="JZ19" i="30" s="1"/>
  <c r="JY18" i="30"/>
  <c r="JY19" i="30" s="1"/>
  <c r="KC16" i="30"/>
  <c r="KB16" i="30"/>
  <c r="KA16" i="30"/>
  <c r="JZ16" i="30"/>
  <c r="JY16" i="30"/>
  <c r="KC14" i="30"/>
  <c r="KB14" i="30"/>
  <c r="KA14" i="30"/>
  <c r="JZ14" i="30"/>
  <c r="JY14" i="30"/>
  <c r="KC11" i="30"/>
  <c r="KC12" i="30" s="1"/>
  <c r="KC15" i="30" s="1"/>
  <c r="KB11" i="30"/>
  <c r="KB12" i="30" s="1"/>
  <c r="KB15" i="30" s="1"/>
  <c r="KA11" i="30"/>
  <c r="KA12" i="30" s="1"/>
  <c r="KA15" i="30" s="1"/>
  <c r="JZ11" i="30"/>
  <c r="JZ12" i="30" s="1"/>
  <c r="JZ15" i="30" s="1"/>
  <c r="JY11" i="30"/>
  <c r="JY12" i="30" s="1"/>
  <c r="JY15" i="30" s="1"/>
  <c r="KC29" i="30"/>
  <c r="KB29" i="30"/>
  <c r="KB31" i="30" s="1"/>
  <c r="KC31" i="30" l="1"/>
  <c r="KF31" i="30"/>
  <c r="KC30" i="30"/>
  <c r="KB30" i="30"/>
  <c r="JV37" i="30"/>
  <c r="JU37" i="30"/>
  <c r="JV8" i="30"/>
  <c r="JU8" i="30"/>
  <c r="JT8" i="30"/>
  <c r="JT37" i="30"/>
  <c r="JS8" i="30"/>
  <c r="JS37" i="30"/>
  <c r="JR8" i="30" l="1"/>
  <c r="JR37" i="30"/>
  <c r="JR29" i="30"/>
  <c r="JV18" i="30"/>
  <c r="JV19" i="30" s="1"/>
  <c r="JU18" i="30"/>
  <c r="JU19" i="30" s="1"/>
  <c r="JT18" i="30"/>
  <c r="JT19" i="30" s="1"/>
  <c r="JS18" i="30"/>
  <c r="JS19" i="30" s="1"/>
  <c r="JR18" i="30"/>
  <c r="JR19" i="30" s="1"/>
  <c r="JV16" i="30"/>
  <c r="JU16" i="30"/>
  <c r="JT16" i="30"/>
  <c r="JS16" i="30"/>
  <c r="JR16" i="30"/>
  <c r="JV14" i="30"/>
  <c r="JU14" i="30"/>
  <c r="JT14" i="30"/>
  <c r="JS14" i="30"/>
  <c r="JR14" i="30"/>
  <c r="JV11" i="30"/>
  <c r="JV12" i="30" s="1"/>
  <c r="JV15" i="30" s="1"/>
  <c r="JU11" i="30"/>
  <c r="JU12" i="30" s="1"/>
  <c r="JU15" i="30" s="1"/>
  <c r="JT11" i="30"/>
  <c r="JT12" i="30" s="1"/>
  <c r="JT15" i="30" s="1"/>
  <c r="JS11" i="30"/>
  <c r="JS12" i="30" s="1"/>
  <c r="JS15" i="30" s="1"/>
  <c r="JR11" i="30"/>
  <c r="JR12" i="30" s="1"/>
  <c r="JR15" i="30" s="1"/>
  <c r="JV3" i="30"/>
  <c r="JU3" i="30"/>
  <c r="JT3" i="30"/>
  <c r="JS3" i="30"/>
  <c r="JR3" i="30"/>
  <c r="JS29" i="30"/>
  <c r="JT29" i="30"/>
  <c r="JU29" i="30"/>
  <c r="JV29" i="30"/>
  <c r="JO8" i="30"/>
  <c r="JO37" i="30"/>
  <c r="JU31" i="30" l="1"/>
  <c r="JS31" i="30"/>
  <c r="JT30" i="30"/>
  <c r="JT31" i="30"/>
  <c r="JV31" i="30"/>
  <c r="JY31" i="30"/>
  <c r="JU30" i="30"/>
  <c r="JR30" i="30"/>
  <c r="JV30" i="30"/>
  <c r="JS30" i="30"/>
  <c r="JN37" i="30"/>
  <c r="JN8" i="30"/>
  <c r="JM8" i="30"/>
  <c r="JM37" i="30"/>
  <c r="JL8" i="30"/>
  <c r="JL37" i="30"/>
  <c r="JK8" i="30"/>
  <c r="JK37" i="30"/>
  <c r="JH37" i="30"/>
  <c r="JH8" i="30"/>
  <c r="JG8" i="30"/>
  <c r="JG37" i="30"/>
  <c r="JF8" i="30" l="1"/>
  <c r="JF37" i="30"/>
  <c r="JE8" i="30" l="1"/>
  <c r="JE37" i="30"/>
  <c r="JO29" i="30" l="1"/>
  <c r="JN29" i="30"/>
  <c r="JM29" i="30"/>
  <c r="JL29" i="30"/>
  <c r="JK29" i="30"/>
  <c r="JG29" i="30"/>
  <c r="JF29" i="30"/>
  <c r="JE29" i="30"/>
  <c r="JA8" i="30"/>
  <c r="JD8" i="30"/>
  <c r="JD37" i="30"/>
  <c r="JA37" i="30"/>
  <c r="JO18" i="30"/>
  <c r="JO19" i="30" s="1"/>
  <c r="JN18" i="30"/>
  <c r="JN19" i="30" s="1"/>
  <c r="JM18" i="30"/>
  <c r="JM19" i="30" s="1"/>
  <c r="JL18" i="30"/>
  <c r="JL19" i="30" s="1"/>
  <c r="JK18" i="30"/>
  <c r="JK19" i="30" s="1"/>
  <c r="JO16" i="30"/>
  <c r="JN16" i="30"/>
  <c r="JM16" i="30"/>
  <c r="JL16" i="30"/>
  <c r="JK16" i="30"/>
  <c r="JO14" i="30"/>
  <c r="JN14" i="30"/>
  <c r="JM14" i="30"/>
  <c r="JL14" i="30"/>
  <c r="JK14" i="30"/>
  <c r="JO11" i="30"/>
  <c r="JO12" i="30" s="1"/>
  <c r="JO15" i="30" s="1"/>
  <c r="JN11" i="30"/>
  <c r="JN12" i="30" s="1"/>
  <c r="JN15" i="30" s="1"/>
  <c r="JM11" i="30"/>
  <c r="JM12" i="30" s="1"/>
  <c r="JM15" i="30" s="1"/>
  <c r="JL11" i="30"/>
  <c r="JL12" i="30" s="1"/>
  <c r="JL15" i="30" s="1"/>
  <c r="JK11" i="30"/>
  <c r="JK12" i="30" s="1"/>
  <c r="JK15" i="30" s="1"/>
  <c r="JO3" i="30"/>
  <c r="JN3" i="30"/>
  <c r="JM3" i="30"/>
  <c r="JL3" i="30"/>
  <c r="JK3" i="30"/>
  <c r="JD29" i="30"/>
  <c r="JH29" i="30"/>
  <c r="JH18" i="30"/>
  <c r="JH19" i="30" s="1"/>
  <c r="JG18" i="30"/>
  <c r="JG19" i="30" s="1"/>
  <c r="JF18" i="30"/>
  <c r="JF19" i="30" s="1"/>
  <c r="JE18" i="30"/>
  <c r="JE19" i="30" s="1"/>
  <c r="JD18" i="30"/>
  <c r="JD19" i="30" s="1"/>
  <c r="JH16" i="30"/>
  <c r="JG16" i="30"/>
  <c r="JF16" i="30"/>
  <c r="JE16" i="30"/>
  <c r="JD16" i="30"/>
  <c r="JH14" i="30"/>
  <c r="JG14" i="30"/>
  <c r="JF14" i="30"/>
  <c r="JE14" i="30"/>
  <c r="JD14" i="30"/>
  <c r="JH11" i="30"/>
  <c r="JH12" i="30" s="1"/>
  <c r="JH15" i="30" s="1"/>
  <c r="JG11" i="30"/>
  <c r="JG12" i="30" s="1"/>
  <c r="JG15" i="30" s="1"/>
  <c r="JF11" i="30"/>
  <c r="JF12" i="30" s="1"/>
  <c r="JF15" i="30" s="1"/>
  <c r="JE11" i="30"/>
  <c r="JE12" i="30" s="1"/>
  <c r="JE15" i="30" s="1"/>
  <c r="JD11" i="30"/>
  <c r="JD12" i="30" s="1"/>
  <c r="JD15" i="30" s="1"/>
  <c r="JH3" i="30"/>
  <c r="JG3" i="30"/>
  <c r="JF3" i="30"/>
  <c r="JE3" i="30"/>
  <c r="JD3" i="30"/>
  <c r="JH31" i="30" l="1"/>
  <c r="JL31" i="30"/>
  <c r="JG31" i="30"/>
  <c r="JN31" i="30"/>
  <c r="JE30" i="30"/>
  <c r="JE31" i="30"/>
  <c r="JF30" i="30"/>
  <c r="JF31" i="30"/>
  <c r="JM30" i="30"/>
  <c r="JM31" i="30"/>
  <c r="JK31" i="30"/>
  <c r="JO31" i="30"/>
  <c r="JR31" i="30"/>
  <c r="JL30" i="30"/>
  <c r="JO30" i="30"/>
  <c r="JN30" i="30"/>
  <c r="JK30" i="30"/>
  <c r="JH30" i="30"/>
  <c r="JG30" i="30"/>
  <c r="JD30" i="30"/>
  <c r="IZ37" i="30"/>
  <c r="IZ8" i="30"/>
  <c r="IY8" i="30" l="1"/>
  <c r="IY37" i="30"/>
  <c r="IX8" i="30" l="1"/>
  <c r="IX37" i="30"/>
  <c r="IW8" i="30" l="1"/>
  <c r="IW37" i="30"/>
  <c r="IT8" i="30" l="1"/>
  <c r="IT37" i="30"/>
  <c r="IS8" i="30" l="1"/>
  <c r="IS37" i="30"/>
  <c r="IR8" i="30" l="1"/>
  <c r="IR37" i="30"/>
  <c r="IQ8" i="30" l="1"/>
  <c r="IP8" i="30"/>
  <c r="IQ37" i="30"/>
  <c r="IP37" i="30"/>
  <c r="IM8" i="30" l="1"/>
  <c r="IM37" i="30"/>
  <c r="IL37" i="30" l="1"/>
  <c r="IL8" i="30"/>
  <c r="IK37" i="30" l="1"/>
  <c r="IK8" i="30"/>
  <c r="IJ37" i="30" l="1"/>
  <c r="IJ8" i="30"/>
  <c r="II8" i="30" l="1"/>
  <c r="II37" i="30"/>
  <c r="IF8" i="30" l="1"/>
  <c r="IF37" i="30"/>
  <c r="ID8" i="30" l="1"/>
  <c r="IE8" i="30"/>
  <c r="ID37" i="30"/>
  <c r="IE37" i="30"/>
  <c r="IC8" i="30" l="1"/>
  <c r="IC37" i="30"/>
  <c r="IB16" i="30" l="1"/>
  <c r="IB37" i="30"/>
  <c r="IB8" i="30"/>
  <c r="JA29" i="30"/>
  <c r="IZ29" i="30"/>
  <c r="IY29" i="30"/>
  <c r="IX29" i="30"/>
  <c r="IW29" i="30"/>
  <c r="JA18" i="30"/>
  <c r="JA19" i="30" s="1"/>
  <c r="IZ18" i="30"/>
  <c r="IZ19" i="30" s="1"/>
  <c r="IY18" i="30"/>
  <c r="IY19" i="30" s="1"/>
  <c r="IX18" i="30"/>
  <c r="IX19" i="30" s="1"/>
  <c r="IW18" i="30"/>
  <c r="IW19" i="30" s="1"/>
  <c r="JA16" i="30"/>
  <c r="IZ16" i="30"/>
  <c r="IY16" i="30"/>
  <c r="IX16" i="30"/>
  <c r="IW16" i="30"/>
  <c r="JA14" i="30"/>
  <c r="IZ14" i="30"/>
  <c r="IY14" i="30"/>
  <c r="IX14" i="30"/>
  <c r="IW14" i="30"/>
  <c r="JA11" i="30"/>
  <c r="JA12" i="30" s="1"/>
  <c r="JA15" i="30" s="1"/>
  <c r="IZ11" i="30"/>
  <c r="IZ12" i="30" s="1"/>
  <c r="IZ15" i="30" s="1"/>
  <c r="IY11" i="30"/>
  <c r="IY12" i="30" s="1"/>
  <c r="IY15" i="30" s="1"/>
  <c r="IX11" i="30"/>
  <c r="IX12" i="30" s="1"/>
  <c r="IX15" i="30" s="1"/>
  <c r="IW11" i="30"/>
  <c r="IW12" i="30" s="1"/>
  <c r="IW15" i="30" s="1"/>
  <c r="JA3" i="30"/>
  <c r="IZ3" i="30"/>
  <c r="IY3" i="30"/>
  <c r="IX3" i="30"/>
  <c r="IW3" i="30"/>
  <c r="IT29" i="30"/>
  <c r="IS29" i="30"/>
  <c r="IR29" i="30"/>
  <c r="IQ29" i="30"/>
  <c r="IP29" i="30"/>
  <c r="IT18" i="30"/>
  <c r="IT19" i="30" s="1"/>
  <c r="IS18" i="30"/>
  <c r="IS19" i="30" s="1"/>
  <c r="IR18" i="30"/>
  <c r="IR19" i="30" s="1"/>
  <c r="IQ18" i="30"/>
  <c r="IQ19" i="30" s="1"/>
  <c r="IP18" i="30"/>
  <c r="IP19" i="30" s="1"/>
  <c r="IT16" i="30"/>
  <c r="IS16" i="30"/>
  <c r="IR16" i="30"/>
  <c r="IQ16" i="30"/>
  <c r="IP16" i="30"/>
  <c r="IT14" i="30"/>
  <c r="IS14" i="30"/>
  <c r="IR14" i="30"/>
  <c r="IQ14" i="30"/>
  <c r="IP14" i="30"/>
  <c r="IT11" i="30"/>
  <c r="IT12" i="30" s="1"/>
  <c r="IT15" i="30" s="1"/>
  <c r="IS11" i="30"/>
  <c r="IS12" i="30" s="1"/>
  <c r="IS15" i="30" s="1"/>
  <c r="IR11" i="30"/>
  <c r="IR12" i="30" s="1"/>
  <c r="IR15" i="30" s="1"/>
  <c r="IQ11" i="30"/>
  <c r="IQ12" i="30" s="1"/>
  <c r="IQ15" i="30" s="1"/>
  <c r="IP11" i="30"/>
  <c r="IP12" i="30" s="1"/>
  <c r="IP15" i="30" s="1"/>
  <c r="IT3" i="30"/>
  <c r="IS3" i="30"/>
  <c r="IR3" i="30"/>
  <c r="IQ3" i="30"/>
  <c r="IP3" i="30"/>
  <c r="IM29" i="30"/>
  <c r="IL29" i="30"/>
  <c r="IK29" i="30"/>
  <c r="IJ29" i="30"/>
  <c r="II29" i="30"/>
  <c r="IM18" i="30"/>
  <c r="IM19" i="30" s="1"/>
  <c r="IL18" i="30"/>
  <c r="IL19" i="30" s="1"/>
  <c r="IK18" i="30"/>
  <c r="IK19" i="30" s="1"/>
  <c r="IJ18" i="30"/>
  <c r="IJ19" i="30" s="1"/>
  <c r="II18" i="30"/>
  <c r="II19" i="30" s="1"/>
  <c r="IM16" i="30"/>
  <c r="IL16" i="30"/>
  <c r="IK16" i="30"/>
  <c r="IJ16" i="30"/>
  <c r="II16" i="30"/>
  <c r="IM14" i="30"/>
  <c r="IL14" i="30"/>
  <c r="IK14" i="30"/>
  <c r="IJ14" i="30"/>
  <c r="II14" i="30"/>
  <c r="IM11" i="30"/>
  <c r="IM12" i="30" s="1"/>
  <c r="IM15" i="30" s="1"/>
  <c r="IL11" i="30"/>
  <c r="IL12" i="30" s="1"/>
  <c r="IL15" i="30" s="1"/>
  <c r="IK11" i="30"/>
  <c r="IK12" i="30" s="1"/>
  <c r="IK15" i="30" s="1"/>
  <c r="IJ11" i="30"/>
  <c r="IJ12" i="30" s="1"/>
  <c r="IJ15" i="30" s="1"/>
  <c r="II11" i="30"/>
  <c r="II12" i="30" s="1"/>
  <c r="II15" i="30" s="1"/>
  <c r="IM3" i="30"/>
  <c r="IL3" i="30"/>
  <c r="IK3" i="30"/>
  <c r="IJ3" i="30"/>
  <c r="II3" i="30"/>
  <c r="IR31" i="30" l="1"/>
  <c r="IW31" i="30"/>
  <c r="IT31" i="30"/>
  <c r="IY31" i="30"/>
  <c r="JA31" i="30"/>
  <c r="JD31" i="30"/>
  <c r="IS31" i="30"/>
  <c r="IX31" i="30"/>
  <c r="IP31" i="30"/>
  <c r="IZ31" i="30"/>
  <c r="IX30" i="30"/>
  <c r="IY30" i="30"/>
  <c r="IZ30" i="30"/>
  <c r="IW30" i="30"/>
  <c r="JA30" i="30"/>
  <c r="IS30" i="30"/>
  <c r="IQ30" i="30"/>
  <c r="IQ31" i="30"/>
  <c r="IR30" i="30"/>
  <c r="IP30" i="30"/>
  <c r="IT30" i="30"/>
  <c r="IK31" i="30"/>
  <c r="IK30" i="30"/>
  <c r="IL31" i="30"/>
  <c r="IL30" i="30"/>
  <c r="II30" i="30"/>
  <c r="IM31" i="30"/>
  <c r="IM30" i="30"/>
  <c r="IJ30" i="30"/>
  <c r="IJ31" i="30"/>
  <c r="HY37" i="30"/>
  <c r="HY8" i="30"/>
  <c r="HX8" i="30" l="1"/>
  <c r="HX37" i="30"/>
  <c r="HW8" i="30" l="1"/>
  <c r="HW37" i="30"/>
  <c r="HV8" i="30" l="1"/>
  <c r="HV37" i="30"/>
  <c r="HU8" i="30" l="1"/>
  <c r="HU37" i="30"/>
  <c r="HR8" i="30" l="1"/>
  <c r="HR37" i="30"/>
  <c r="HQ8" i="30" l="1"/>
  <c r="HQ37" i="30"/>
  <c r="HP8" i="30" l="1"/>
  <c r="HP37" i="30"/>
  <c r="HO8" i="30" l="1"/>
  <c r="HO37" i="30"/>
  <c r="HN8" i="30" l="1"/>
  <c r="HN37" i="30"/>
  <c r="IF29" i="30"/>
  <c r="II31" i="30" s="1"/>
  <c r="IE29" i="30"/>
  <c r="ID29" i="30"/>
  <c r="IC29" i="30"/>
  <c r="IB29" i="30"/>
  <c r="IF18" i="30"/>
  <c r="IF19" i="30" s="1"/>
  <c r="IE18" i="30"/>
  <c r="IE19" i="30" s="1"/>
  <c r="ID18" i="30"/>
  <c r="ID19" i="30" s="1"/>
  <c r="IC18" i="30"/>
  <c r="IC19" i="30" s="1"/>
  <c r="IB18" i="30"/>
  <c r="IB19" i="30" s="1"/>
  <c r="IF16" i="30"/>
  <c r="IE16" i="30"/>
  <c r="ID16" i="30"/>
  <c r="IC16" i="30"/>
  <c r="IF14" i="30"/>
  <c r="IE14" i="30"/>
  <c r="ID14" i="30"/>
  <c r="IC14" i="30"/>
  <c r="IB14" i="30"/>
  <c r="IF11" i="30"/>
  <c r="IF12" i="30" s="1"/>
  <c r="IF15" i="30" s="1"/>
  <c r="IE11" i="30"/>
  <c r="IE12" i="30" s="1"/>
  <c r="IE15" i="30" s="1"/>
  <c r="ID11" i="30"/>
  <c r="ID12" i="30" s="1"/>
  <c r="ID15" i="30" s="1"/>
  <c r="IC11" i="30"/>
  <c r="IC12" i="30" s="1"/>
  <c r="IC15" i="30" s="1"/>
  <c r="IB11" i="30"/>
  <c r="IB12" i="30" s="1"/>
  <c r="IB15" i="30" s="1"/>
  <c r="IF3" i="30"/>
  <c r="IE3" i="30"/>
  <c r="ID3" i="30"/>
  <c r="IC3" i="30"/>
  <c r="IB3" i="30"/>
  <c r="HY29" i="30"/>
  <c r="HX29" i="30"/>
  <c r="HX30" i="30" s="1"/>
  <c r="HW29" i="30"/>
  <c r="HV29" i="30"/>
  <c r="HU29" i="30"/>
  <c r="HY18" i="30"/>
  <c r="HY19" i="30" s="1"/>
  <c r="HX18" i="30"/>
  <c r="HX19" i="30" s="1"/>
  <c r="HW18" i="30"/>
  <c r="HW19" i="30" s="1"/>
  <c r="HV18" i="30"/>
  <c r="HV19" i="30" s="1"/>
  <c r="HU18" i="30"/>
  <c r="HU19" i="30" s="1"/>
  <c r="HY16" i="30"/>
  <c r="HX16" i="30"/>
  <c r="HW16" i="30"/>
  <c r="HV16" i="30"/>
  <c r="HU16" i="30"/>
  <c r="HY14" i="30"/>
  <c r="HX14" i="30"/>
  <c r="HW14" i="30"/>
  <c r="HV14" i="30"/>
  <c r="HU14" i="30"/>
  <c r="HY11" i="30"/>
  <c r="HY12" i="30" s="1"/>
  <c r="HY15" i="30" s="1"/>
  <c r="HX11" i="30"/>
  <c r="HX12" i="30" s="1"/>
  <c r="HX15" i="30" s="1"/>
  <c r="HW11" i="30"/>
  <c r="HW12" i="30" s="1"/>
  <c r="HW15" i="30" s="1"/>
  <c r="HV11" i="30"/>
  <c r="HV12" i="30" s="1"/>
  <c r="HV15" i="30" s="1"/>
  <c r="HU11" i="30"/>
  <c r="HU12" i="30" s="1"/>
  <c r="HU15" i="30" s="1"/>
  <c r="HY3" i="30"/>
  <c r="HX3" i="30"/>
  <c r="HW3" i="30"/>
  <c r="HV3" i="30"/>
  <c r="HU3" i="30"/>
  <c r="IB31" i="30" l="1"/>
  <c r="IE30" i="30"/>
  <c r="ID31" i="30"/>
  <c r="ID30" i="30"/>
  <c r="IF31" i="30"/>
  <c r="IF30" i="30"/>
  <c r="IB30" i="30"/>
  <c r="IC30" i="30"/>
  <c r="IC31" i="30"/>
  <c r="IE31" i="30"/>
  <c r="HU30" i="30"/>
  <c r="HY31" i="30"/>
  <c r="HY30" i="30"/>
  <c r="HW30" i="30"/>
  <c r="HW31" i="30"/>
  <c r="HV30" i="30"/>
  <c r="HV31" i="30"/>
  <c r="HX31" i="30"/>
  <c r="HK8" i="30"/>
  <c r="HK37" i="30"/>
  <c r="HJ8" i="30" l="1"/>
  <c r="HJ37" i="30"/>
  <c r="HI8" i="30" l="1"/>
  <c r="HI37" i="30"/>
  <c r="HH8" i="30" l="1"/>
  <c r="HH37" i="30"/>
  <c r="HG8" i="30" l="1"/>
  <c r="HG37" i="30"/>
  <c r="HD8" i="30" l="1"/>
  <c r="HC8" i="30"/>
  <c r="HC37" i="30"/>
  <c r="HD37" i="30"/>
  <c r="HB8" i="30" l="1"/>
  <c r="HB37" i="30"/>
  <c r="HA8" i="30" l="1"/>
  <c r="HA37" i="30"/>
  <c r="GZ8" i="30" l="1"/>
  <c r="GZ37" i="30"/>
  <c r="GW8" i="30" l="1"/>
  <c r="GW37" i="30" l="1"/>
  <c r="GV37" i="30" l="1"/>
  <c r="GV8" i="30"/>
  <c r="GU37" i="30" l="1"/>
  <c r="GU8" i="30"/>
  <c r="GT8" i="30" l="1"/>
  <c r="GT37" i="30"/>
  <c r="GS8" i="30" l="1"/>
  <c r="GS37" i="30"/>
  <c r="HR29" i="30"/>
  <c r="HU31" i="30" s="1"/>
  <c r="HQ29" i="30"/>
  <c r="HP29" i="30"/>
  <c r="HO29" i="30"/>
  <c r="HN29" i="30"/>
  <c r="HR18" i="30"/>
  <c r="HR19" i="30" s="1"/>
  <c r="HQ18" i="30"/>
  <c r="HQ19" i="30" s="1"/>
  <c r="HP18" i="30"/>
  <c r="HP19" i="30" s="1"/>
  <c r="HO18" i="30"/>
  <c r="HO19" i="30" s="1"/>
  <c r="HN18" i="30"/>
  <c r="HN19" i="30" s="1"/>
  <c r="HR16" i="30"/>
  <c r="HQ16" i="30"/>
  <c r="HP16" i="30"/>
  <c r="HO16" i="30"/>
  <c r="HN16" i="30"/>
  <c r="HR14" i="30"/>
  <c r="HQ14" i="30"/>
  <c r="HP14" i="30"/>
  <c r="HO14" i="30"/>
  <c r="HN14" i="30"/>
  <c r="HR11" i="30"/>
  <c r="HR12" i="30" s="1"/>
  <c r="HR15" i="30" s="1"/>
  <c r="HQ11" i="30"/>
  <c r="HQ12" i="30" s="1"/>
  <c r="HQ15" i="30" s="1"/>
  <c r="HP11" i="30"/>
  <c r="HP12" i="30" s="1"/>
  <c r="HP15" i="30" s="1"/>
  <c r="HO11" i="30"/>
  <c r="HO12" i="30" s="1"/>
  <c r="HO15" i="30" s="1"/>
  <c r="HN11" i="30"/>
  <c r="HN12" i="30" s="1"/>
  <c r="HN15" i="30" s="1"/>
  <c r="HR3" i="30"/>
  <c r="HQ3" i="30"/>
  <c r="HP3" i="30"/>
  <c r="HO3" i="30"/>
  <c r="HN3" i="30"/>
  <c r="HK29" i="30"/>
  <c r="HJ29" i="30"/>
  <c r="HI29" i="30"/>
  <c r="HH29" i="30"/>
  <c r="HG29" i="30"/>
  <c r="HK18" i="30"/>
  <c r="HK19" i="30" s="1"/>
  <c r="HJ18" i="30"/>
  <c r="HJ19" i="30" s="1"/>
  <c r="HI18" i="30"/>
  <c r="HI19" i="30" s="1"/>
  <c r="HH18" i="30"/>
  <c r="HH19" i="30" s="1"/>
  <c r="HG18" i="30"/>
  <c r="HG19" i="30" s="1"/>
  <c r="HK16" i="30"/>
  <c r="HJ16" i="30"/>
  <c r="HI16" i="30"/>
  <c r="HH16" i="30"/>
  <c r="HG16" i="30"/>
  <c r="HK14" i="30"/>
  <c r="HJ14" i="30"/>
  <c r="HI14" i="30"/>
  <c r="HH14" i="30"/>
  <c r="HG14" i="30"/>
  <c r="HK11" i="30"/>
  <c r="HK12" i="30" s="1"/>
  <c r="HK15" i="30" s="1"/>
  <c r="HJ11" i="30"/>
  <c r="HJ12" i="30" s="1"/>
  <c r="HJ15" i="30" s="1"/>
  <c r="HI11" i="30"/>
  <c r="HI12" i="30" s="1"/>
  <c r="HI15" i="30" s="1"/>
  <c r="HH11" i="30"/>
  <c r="HH12" i="30" s="1"/>
  <c r="HH15" i="30" s="1"/>
  <c r="HG11" i="30"/>
  <c r="HG12" i="30" s="1"/>
  <c r="HG15" i="30" s="1"/>
  <c r="HK3" i="30"/>
  <c r="HJ3" i="30"/>
  <c r="HI3" i="30"/>
  <c r="HH3" i="30"/>
  <c r="HG3" i="30"/>
  <c r="HD29" i="30"/>
  <c r="HC29" i="30"/>
  <c r="HB29" i="30"/>
  <c r="HA29" i="30"/>
  <c r="HA30" i="30" s="1"/>
  <c r="GZ29" i="30"/>
  <c r="HD18" i="30"/>
  <c r="HD19" i="30" s="1"/>
  <c r="HC18" i="30"/>
  <c r="HC19" i="30" s="1"/>
  <c r="HB18" i="30"/>
  <c r="HB19" i="30" s="1"/>
  <c r="HA18" i="30"/>
  <c r="HA19" i="30" s="1"/>
  <c r="GZ18" i="30"/>
  <c r="GZ19" i="30" s="1"/>
  <c r="HD16" i="30"/>
  <c r="HC16" i="30"/>
  <c r="HB16" i="30"/>
  <c r="HA16" i="30"/>
  <c r="GZ16" i="30"/>
  <c r="HD14" i="30"/>
  <c r="HC14" i="30"/>
  <c r="HB14" i="30"/>
  <c r="HA14" i="30"/>
  <c r="GZ14" i="30"/>
  <c r="HD11" i="30"/>
  <c r="HD12" i="30" s="1"/>
  <c r="HD15" i="30" s="1"/>
  <c r="HC11" i="30"/>
  <c r="HC12" i="30" s="1"/>
  <c r="HC15" i="30" s="1"/>
  <c r="HB11" i="30"/>
  <c r="HB12" i="30" s="1"/>
  <c r="HB15" i="30" s="1"/>
  <c r="HA11" i="30"/>
  <c r="HA12" i="30" s="1"/>
  <c r="HA15" i="30" s="1"/>
  <c r="GZ11" i="30"/>
  <c r="GZ12" i="30" s="1"/>
  <c r="GZ15" i="30" s="1"/>
  <c r="HD3" i="30"/>
  <c r="HC3" i="30"/>
  <c r="HB3" i="30"/>
  <c r="HA3" i="30"/>
  <c r="GZ3" i="30"/>
  <c r="HN31" i="30" l="1"/>
  <c r="HG31" i="30"/>
  <c r="HH31" i="30"/>
  <c r="HP31" i="30"/>
  <c r="HO30" i="30"/>
  <c r="HO31" i="30"/>
  <c r="HQ31" i="30"/>
  <c r="HQ30" i="30"/>
  <c r="HN30" i="30"/>
  <c r="HR30" i="30"/>
  <c r="HR31" i="30"/>
  <c r="HP30" i="30"/>
  <c r="HI31" i="30"/>
  <c r="HI30" i="30"/>
  <c r="HJ30" i="30"/>
  <c r="HJ31" i="30"/>
  <c r="HG30" i="30"/>
  <c r="HK30" i="30"/>
  <c r="HK31" i="30"/>
  <c r="HH30" i="30"/>
  <c r="HB31" i="30"/>
  <c r="HB30" i="30"/>
  <c r="HC30" i="30"/>
  <c r="HC31" i="30"/>
  <c r="GZ30" i="30"/>
  <c r="HD31" i="30"/>
  <c r="HD30" i="30"/>
  <c r="HA31" i="30"/>
  <c r="GP8" i="30"/>
  <c r="GP37" i="30"/>
  <c r="GO8" i="30" l="1"/>
  <c r="GO37" i="30"/>
  <c r="GN8" i="30" l="1"/>
  <c r="GN37" i="30"/>
  <c r="GM8" i="30" l="1"/>
  <c r="GM37" i="30"/>
  <c r="GL8" i="30" l="1"/>
  <c r="GL37" i="30"/>
  <c r="GW29" i="30"/>
  <c r="GZ31" i="30" s="1"/>
  <c r="GV29" i="30"/>
  <c r="GU29" i="30"/>
  <c r="GU30" i="30" s="1"/>
  <c r="GT29" i="30"/>
  <c r="GT30" i="30" s="1"/>
  <c r="GS29" i="30"/>
  <c r="GW18" i="30"/>
  <c r="GW19" i="30" s="1"/>
  <c r="GV18" i="30"/>
  <c r="GV19" i="30" s="1"/>
  <c r="GU18" i="30"/>
  <c r="GU19" i="30" s="1"/>
  <c r="GT18" i="30"/>
  <c r="GT19" i="30" s="1"/>
  <c r="GS18" i="30"/>
  <c r="GS19" i="30" s="1"/>
  <c r="GW16" i="30"/>
  <c r="GV16" i="30"/>
  <c r="GU16" i="30"/>
  <c r="GT16" i="30"/>
  <c r="GS16" i="30"/>
  <c r="GW14" i="30"/>
  <c r="GV14" i="30"/>
  <c r="GU14" i="30"/>
  <c r="GT14" i="30"/>
  <c r="GS14" i="30"/>
  <c r="GW11" i="30"/>
  <c r="GW12" i="30" s="1"/>
  <c r="GW15" i="30" s="1"/>
  <c r="GV11" i="30"/>
  <c r="GV12" i="30" s="1"/>
  <c r="GV15" i="30" s="1"/>
  <c r="GU11" i="30"/>
  <c r="GU12" i="30" s="1"/>
  <c r="GU15" i="30" s="1"/>
  <c r="GT11" i="30"/>
  <c r="GT12" i="30" s="1"/>
  <c r="GT15" i="30" s="1"/>
  <c r="GS11" i="30"/>
  <c r="GS12" i="30" s="1"/>
  <c r="GS15" i="30" s="1"/>
  <c r="GW3" i="30"/>
  <c r="GV3" i="30"/>
  <c r="GU3" i="30"/>
  <c r="GT3" i="30"/>
  <c r="GS3" i="30"/>
  <c r="GP29" i="30"/>
  <c r="GO29" i="30"/>
  <c r="GN29" i="30"/>
  <c r="GN30" i="30" s="1"/>
  <c r="GM29" i="30"/>
  <c r="GL29" i="30"/>
  <c r="GP18" i="30"/>
  <c r="GP19" i="30" s="1"/>
  <c r="GO18" i="30"/>
  <c r="GO19" i="30" s="1"/>
  <c r="GN18" i="30"/>
  <c r="GN19" i="30" s="1"/>
  <c r="GM18" i="30"/>
  <c r="GM19" i="30" s="1"/>
  <c r="GL18" i="30"/>
  <c r="GL19" i="30" s="1"/>
  <c r="GP16" i="30"/>
  <c r="GO16" i="30"/>
  <c r="GN16" i="30"/>
  <c r="GM16" i="30"/>
  <c r="GL16" i="30"/>
  <c r="GP14" i="30"/>
  <c r="GO14" i="30"/>
  <c r="GN14" i="30"/>
  <c r="GM14" i="30"/>
  <c r="GL14" i="30"/>
  <c r="GP11" i="30"/>
  <c r="GP12" i="30" s="1"/>
  <c r="GP15" i="30" s="1"/>
  <c r="GO11" i="30"/>
  <c r="GO12" i="30" s="1"/>
  <c r="GO15" i="30" s="1"/>
  <c r="GN11" i="30"/>
  <c r="GN12" i="30" s="1"/>
  <c r="GN15" i="30" s="1"/>
  <c r="GM11" i="30"/>
  <c r="GM12" i="30" s="1"/>
  <c r="GM15" i="30" s="1"/>
  <c r="GL11" i="30"/>
  <c r="GL12" i="30" s="1"/>
  <c r="GL15" i="30" s="1"/>
  <c r="GP3" i="30"/>
  <c r="GO3" i="30"/>
  <c r="GN3" i="30"/>
  <c r="GM3" i="30"/>
  <c r="GL3" i="30"/>
  <c r="GS31" i="30" l="1"/>
  <c r="GW31" i="30"/>
  <c r="GT31" i="30"/>
  <c r="GV31" i="30"/>
  <c r="GU31" i="30"/>
  <c r="GV30" i="30"/>
  <c r="GS30" i="30"/>
  <c r="GW30" i="30"/>
  <c r="GP31" i="30"/>
  <c r="GO31" i="30"/>
  <c r="GM31" i="30"/>
  <c r="GO30" i="30"/>
  <c r="GN31" i="30"/>
  <c r="GL30" i="30"/>
  <c r="GP30" i="30"/>
  <c r="GM30" i="30"/>
  <c r="GI8" i="30"/>
  <c r="GI37" i="30"/>
  <c r="GH37" i="30" l="1"/>
  <c r="GH8" i="30"/>
  <c r="GG8" i="30" l="1"/>
  <c r="GG37" i="30"/>
  <c r="GF8" i="30" l="1"/>
  <c r="GF37" i="30"/>
  <c r="GE8" i="30" l="1"/>
  <c r="GE37" i="30"/>
  <c r="GB8" i="30" l="1"/>
  <c r="GB37" i="30"/>
  <c r="GA8" i="30" l="1"/>
  <c r="GA37" i="30"/>
  <c r="FZ14" i="30" l="1"/>
  <c r="FZ8" i="30"/>
  <c r="FZ37" i="30"/>
  <c r="FY8" i="30" l="1"/>
  <c r="FY37" i="30"/>
  <c r="FX8" i="30" l="1"/>
  <c r="FX37" i="30"/>
  <c r="FU8" i="30" l="1"/>
  <c r="FU37" i="30"/>
  <c r="FT8" i="30" l="1"/>
  <c r="FT37" i="30"/>
  <c r="FS8" i="30" l="1"/>
  <c r="FS37" i="30"/>
  <c r="FR8" i="30" l="1"/>
  <c r="FR37" i="30"/>
  <c r="FQ8" i="30" l="1"/>
  <c r="FQ37" i="30"/>
  <c r="GI29" i="30"/>
  <c r="GL31" i="30" s="1"/>
  <c r="GH29" i="30"/>
  <c r="GG29" i="30"/>
  <c r="GF29" i="30"/>
  <c r="GE29" i="30"/>
  <c r="GI18" i="30"/>
  <c r="GI19" i="30" s="1"/>
  <c r="GH18" i="30"/>
  <c r="GH19" i="30" s="1"/>
  <c r="GG18" i="30"/>
  <c r="GG19" i="30" s="1"/>
  <c r="GF18" i="30"/>
  <c r="GF19" i="30" s="1"/>
  <c r="GE18" i="30"/>
  <c r="GE19" i="30" s="1"/>
  <c r="GI16" i="30"/>
  <c r="GH16" i="30"/>
  <c r="GG16" i="30"/>
  <c r="GF16" i="30"/>
  <c r="GE16" i="30"/>
  <c r="GI14" i="30"/>
  <c r="GH14" i="30"/>
  <c r="GG14" i="30"/>
  <c r="GF14" i="30"/>
  <c r="GE14" i="30"/>
  <c r="GI11" i="30"/>
  <c r="GI12" i="30" s="1"/>
  <c r="GI15" i="30" s="1"/>
  <c r="GH11" i="30"/>
  <c r="GH12" i="30" s="1"/>
  <c r="GH15" i="30" s="1"/>
  <c r="GG11" i="30"/>
  <c r="GG12" i="30" s="1"/>
  <c r="GG15" i="30" s="1"/>
  <c r="GF11" i="30"/>
  <c r="GF12" i="30" s="1"/>
  <c r="GF15" i="30" s="1"/>
  <c r="GE11" i="30"/>
  <c r="GE12" i="30" s="1"/>
  <c r="GE15" i="30" s="1"/>
  <c r="GI3" i="30"/>
  <c r="GH3" i="30"/>
  <c r="GG3" i="30"/>
  <c r="GF3" i="30"/>
  <c r="GE3" i="30"/>
  <c r="GB29" i="30"/>
  <c r="GA29" i="30"/>
  <c r="FZ29" i="30"/>
  <c r="FY29" i="30"/>
  <c r="FX29" i="30"/>
  <c r="GB18" i="30"/>
  <c r="GB19" i="30" s="1"/>
  <c r="GA18" i="30"/>
  <c r="GA19" i="30" s="1"/>
  <c r="FZ18" i="30"/>
  <c r="FZ19" i="30" s="1"/>
  <c r="FY18" i="30"/>
  <c r="FY19" i="30" s="1"/>
  <c r="FX18" i="30"/>
  <c r="FX19" i="30" s="1"/>
  <c r="GB16" i="30"/>
  <c r="GA16" i="30"/>
  <c r="FZ16" i="30"/>
  <c r="FY16" i="30"/>
  <c r="FX16" i="30"/>
  <c r="GB14" i="30"/>
  <c r="GA14" i="30"/>
  <c r="FY14" i="30"/>
  <c r="FX14" i="30"/>
  <c r="GB11" i="30"/>
  <c r="GB12" i="30" s="1"/>
  <c r="GB15" i="30" s="1"/>
  <c r="GA11" i="30"/>
  <c r="GA12" i="30" s="1"/>
  <c r="GA15" i="30" s="1"/>
  <c r="FZ11" i="30"/>
  <c r="FZ12" i="30" s="1"/>
  <c r="FZ15" i="30" s="1"/>
  <c r="FY11" i="30"/>
  <c r="FY12" i="30" s="1"/>
  <c r="FY15" i="30" s="1"/>
  <c r="FX11" i="30"/>
  <c r="FX12" i="30" s="1"/>
  <c r="FX15" i="30" s="1"/>
  <c r="GB3" i="30"/>
  <c r="GA3" i="30"/>
  <c r="FZ3" i="30"/>
  <c r="FY3" i="30"/>
  <c r="FX3" i="30"/>
  <c r="GE31" i="30" l="1"/>
  <c r="GF30" i="30"/>
  <c r="GF31" i="30"/>
  <c r="GG31" i="30"/>
  <c r="GH31" i="30"/>
  <c r="GH30" i="30"/>
  <c r="GE30" i="30"/>
  <c r="GI30" i="30"/>
  <c r="GI31" i="30"/>
  <c r="GG30" i="30"/>
  <c r="GA31" i="30"/>
  <c r="GA30" i="30"/>
  <c r="FY30" i="30"/>
  <c r="FY31" i="30"/>
  <c r="FZ30" i="30"/>
  <c r="FZ31" i="30"/>
  <c r="GB31" i="30"/>
  <c r="GB30" i="30"/>
  <c r="FX30" i="30"/>
  <c r="FN8" i="30"/>
  <c r="FN37" i="30"/>
  <c r="FM8" i="30" l="1"/>
  <c r="FM37" i="30"/>
  <c r="FL8" i="30" l="1"/>
  <c r="FL37" i="30"/>
  <c r="FK8" i="30" l="1"/>
  <c r="FK37" i="30"/>
  <c r="FJ8" i="30" l="1"/>
  <c r="FJ37" i="30"/>
  <c r="FU29" i="30"/>
  <c r="FT29" i="30"/>
  <c r="FS29" i="30"/>
  <c r="FR29" i="30"/>
  <c r="FR30" i="30" s="1"/>
  <c r="FQ29" i="30"/>
  <c r="FU18" i="30"/>
  <c r="FU19" i="30" s="1"/>
  <c r="FT18" i="30"/>
  <c r="FT19" i="30" s="1"/>
  <c r="FS18" i="30"/>
  <c r="FS19" i="30" s="1"/>
  <c r="FR18" i="30"/>
  <c r="FR19" i="30" s="1"/>
  <c r="FQ18" i="30"/>
  <c r="FQ19" i="30" s="1"/>
  <c r="FU16" i="30"/>
  <c r="FT16" i="30"/>
  <c r="FS16" i="30"/>
  <c r="FR16" i="30"/>
  <c r="FQ16" i="30"/>
  <c r="FU14" i="30"/>
  <c r="FT14" i="30"/>
  <c r="FS14" i="30"/>
  <c r="FR14" i="30"/>
  <c r="FQ14" i="30"/>
  <c r="FU11" i="30"/>
  <c r="FU12" i="30" s="1"/>
  <c r="FU15" i="30" s="1"/>
  <c r="FT11" i="30"/>
  <c r="FT12" i="30" s="1"/>
  <c r="FT15" i="30" s="1"/>
  <c r="FS11" i="30"/>
  <c r="FS12" i="30" s="1"/>
  <c r="FS15" i="30" s="1"/>
  <c r="FR11" i="30"/>
  <c r="FR12" i="30" s="1"/>
  <c r="FR15" i="30" s="1"/>
  <c r="FQ11" i="30"/>
  <c r="FQ12" i="30" s="1"/>
  <c r="FQ15" i="30" s="1"/>
  <c r="FU3" i="30"/>
  <c r="FT3" i="30"/>
  <c r="FS3" i="30"/>
  <c r="FR3" i="30"/>
  <c r="FQ3" i="30"/>
  <c r="FU31" i="30" l="1"/>
  <c r="FX31" i="30"/>
  <c r="FQ30" i="30"/>
  <c r="FU30" i="30"/>
  <c r="FS31" i="30"/>
  <c r="FS30" i="30"/>
  <c r="FT31" i="30"/>
  <c r="FR31" i="30"/>
  <c r="FT30" i="30"/>
  <c r="FG8" i="30"/>
  <c r="FG37" i="30" l="1"/>
  <c r="FF37" i="30" l="1"/>
  <c r="FF8" i="30"/>
  <c r="FE8" i="30" l="1"/>
  <c r="FE37" i="30"/>
  <c r="FD8" i="30" l="1"/>
  <c r="FD37" i="30"/>
  <c r="FC8" i="30" l="1"/>
  <c r="FC37" i="30"/>
  <c r="FN29" i="30"/>
  <c r="FQ31" i="30" s="1"/>
  <c r="FM29" i="30"/>
  <c r="FL29" i="30"/>
  <c r="FK29" i="30"/>
  <c r="FJ29" i="30"/>
  <c r="FN18" i="30"/>
  <c r="FN19" i="30" s="1"/>
  <c r="FM18" i="30"/>
  <c r="FM19" i="30" s="1"/>
  <c r="FL18" i="30"/>
  <c r="FL19" i="30" s="1"/>
  <c r="FK18" i="30"/>
  <c r="FK19" i="30" s="1"/>
  <c r="FJ18" i="30"/>
  <c r="FJ19" i="30" s="1"/>
  <c r="FN16" i="30"/>
  <c r="FM16" i="30"/>
  <c r="FL16" i="30"/>
  <c r="FK16" i="30"/>
  <c r="FJ16" i="30"/>
  <c r="FN14" i="30"/>
  <c r="FM14" i="30"/>
  <c r="FL14" i="30"/>
  <c r="FK14" i="30"/>
  <c r="FJ14" i="30"/>
  <c r="FN11" i="30"/>
  <c r="FN12" i="30" s="1"/>
  <c r="FN15" i="30" s="1"/>
  <c r="FM11" i="30"/>
  <c r="FM12" i="30" s="1"/>
  <c r="FM15" i="30" s="1"/>
  <c r="FL11" i="30"/>
  <c r="FL12" i="30" s="1"/>
  <c r="FL15" i="30" s="1"/>
  <c r="FK11" i="30"/>
  <c r="FK12" i="30" s="1"/>
  <c r="FK15" i="30" s="1"/>
  <c r="FJ11" i="30"/>
  <c r="FJ12" i="30" s="1"/>
  <c r="FJ15" i="30" s="1"/>
  <c r="FN3" i="30"/>
  <c r="FM3" i="30"/>
  <c r="FL3" i="30"/>
  <c r="FK3" i="30"/>
  <c r="FJ3" i="30"/>
  <c r="FL30" i="30" l="1"/>
  <c r="FL31" i="30"/>
  <c r="FJ30" i="30"/>
  <c r="FN31" i="30"/>
  <c r="FN30" i="30"/>
  <c r="FK30" i="30"/>
  <c r="FK31" i="30"/>
  <c r="FM31" i="30"/>
  <c r="FM30" i="30"/>
  <c r="EZ8" i="30"/>
  <c r="EY37" i="30"/>
  <c r="EZ37" i="30"/>
  <c r="EX8" i="30" l="1"/>
  <c r="EX37" i="30"/>
  <c r="EW8" i="30" l="1"/>
  <c r="EW37" i="30"/>
  <c r="EV8" i="30" l="1"/>
  <c r="EV37" i="30"/>
  <c r="FG29" i="30"/>
  <c r="FJ31" i="30" s="1"/>
  <c r="FF29" i="30"/>
  <c r="FE29" i="30"/>
  <c r="FD29" i="30"/>
  <c r="FC29" i="30"/>
  <c r="FG18" i="30"/>
  <c r="FG19" i="30" s="1"/>
  <c r="FF18" i="30"/>
  <c r="FF19" i="30" s="1"/>
  <c r="FE18" i="30"/>
  <c r="FE19" i="30" s="1"/>
  <c r="FD18" i="30"/>
  <c r="FD19" i="30" s="1"/>
  <c r="FC18" i="30"/>
  <c r="FC19" i="30" s="1"/>
  <c r="FG16" i="30"/>
  <c r="FF16" i="30"/>
  <c r="FE16" i="30"/>
  <c r="FD16" i="30"/>
  <c r="FC16" i="30"/>
  <c r="FG14" i="30"/>
  <c r="FF14" i="30"/>
  <c r="FE14" i="30"/>
  <c r="FD14" i="30"/>
  <c r="FC14" i="30"/>
  <c r="FG11" i="30"/>
  <c r="FG12" i="30" s="1"/>
  <c r="FG15" i="30" s="1"/>
  <c r="FF11" i="30"/>
  <c r="FF12" i="30" s="1"/>
  <c r="FF15" i="30" s="1"/>
  <c r="FE11" i="30"/>
  <c r="FE12" i="30" s="1"/>
  <c r="FE15" i="30" s="1"/>
  <c r="FD11" i="30"/>
  <c r="FD12" i="30" s="1"/>
  <c r="FD15" i="30" s="1"/>
  <c r="FC11" i="30"/>
  <c r="FC12" i="30" s="1"/>
  <c r="FC15" i="30" s="1"/>
  <c r="FG3" i="30"/>
  <c r="FF3" i="30"/>
  <c r="FE3" i="30"/>
  <c r="FD3" i="30"/>
  <c r="FC3" i="30"/>
  <c r="FE31" i="30" l="1"/>
  <c r="FE30" i="30"/>
  <c r="FC30" i="30"/>
  <c r="FG31" i="30"/>
  <c r="FG30" i="30"/>
  <c r="FD30" i="30"/>
  <c r="FD31" i="30"/>
  <c r="FF31" i="30"/>
  <c r="FF30" i="30"/>
  <c r="ES8" i="30"/>
  <c r="ES37" i="30"/>
  <c r="ER8" i="30" l="1"/>
  <c r="ER37" i="30"/>
  <c r="EQ8" i="30" l="1"/>
  <c r="EQ37" i="30"/>
  <c r="EP8" i="30" l="1"/>
  <c r="EP37" i="30"/>
  <c r="EO8" i="30" l="1"/>
  <c r="EO37" i="30"/>
  <c r="EL8" i="30" l="1"/>
  <c r="EL37" i="30"/>
  <c r="EK8" i="30" l="1"/>
  <c r="EK37" i="30"/>
  <c r="EJ8" i="30" l="1"/>
  <c r="EJ37" i="30"/>
  <c r="EI8" i="30" l="1"/>
  <c r="EI37" i="30"/>
  <c r="EH8" i="30" l="1"/>
  <c r="EH37" i="30"/>
  <c r="EV3" i="30"/>
  <c r="EZ29" i="30"/>
  <c r="FC31" i="30" s="1"/>
  <c r="EX29" i="30"/>
  <c r="EW29" i="30"/>
  <c r="EW30" i="30" s="1"/>
  <c r="EV29" i="30"/>
  <c r="EZ18" i="30"/>
  <c r="EZ19" i="30" s="1"/>
  <c r="EX18" i="30"/>
  <c r="EX19" i="30" s="1"/>
  <c r="EW18" i="30"/>
  <c r="EW19" i="30" s="1"/>
  <c r="EV18" i="30"/>
  <c r="EV19" i="30" s="1"/>
  <c r="EZ16" i="30"/>
  <c r="EX16" i="30"/>
  <c r="EW16" i="30"/>
  <c r="EV16" i="30"/>
  <c r="EZ14" i="30"/>
  <c r="EX14" i="30"/>
  <c r="EW14" i="30"/>
  <c r="EV14" i="30"/>
  <c r="EZ11" i="30"/>
  <c r="EZ12" i="30" s="1"/>
  <c r="EZ15" i="30" s="1"/>
  <c r="EX11" i="30"/>
  <c r="EX12" i="30" s="1"/>
  <c r="EX15" i="30" s="1"/>
  <c r="EW11" i="30"/>
  <c r="EW12" i="30" s="1"/>
  <c r="EW15" i="30" s="1"/>
  <c r="EV11" i="30"/>
  <c r="EV12" i="30" s="1"/>
  <c r="EV15" i="30" s="1"/>
  <c r="EZ3" i="30"/>
  <c r="EX3" i="30"/>
  <c r="EW3" i="30"/>
  <c r="ES29" i="30"/>
  <c r="ER29" i="30"/>
  <c r="EQ29" i="30"/>
  <c r="EP29" i="30"/>
  <c r="EO29" i="30"/>
  <c r="ES18" i="30"/>
  <c r="ES19" i="30" s="1"/>
  <c r="ER18" i="30"/>
  <c r="ER19" i="30" s="1"/>
  <c r="EQ18" i="30"/>
  <c r="EQ19" i="30" s="1"/>
  <c r="EP18" i="30"/>
  <c r="EP19" i="30" s="1"/>
  <c r="EO18" i="30"/>
  <c r="EO19" i="30" s="1"/>
  <c r="ES16" i="30"/>
  <c r="ER16" i="30"/>
  <c r="EQ16" i="30"/>
  <c r="EP16" i="30"/>
  <c r="EO16" i="30"/>
  <c r="ES14" i="30"/>
  <c r="ER14" i="30"/>
  <c r="EQ14" i="30"/>
  <c r="EP14" i="30"/>
  <c r="EO14" i="30"/>
  <c r="ES11" i="30"/>
  <c r="ES12" i="30" s="1"/>
  <c r="ES15" i="30" s="1"/>
  <c r="ER11" i="30"/>
  <c r="ER12" i="30" s="1"/>
  <c r="ER15" i="30" s="1"/>
  <c r="EQ11" i="30"/>
  <c r="EQ12" i="30" s="1"/>
  <c r="EQ15" i="30" s="1"/>
  <c r="EP11" i="30"/>
  <c r="EP12" i="30" s="1"/>
  <c r="EP15" i="30" s="1"/>
  <c r="EO11" i="30"/>
  <c r="EO12" i="30" s="1"/>
  <c r="EO15" i="30" s="1"/>
  <c r="ES3" i="30"/>
  <c r="ER3" i="30"/>
  <c r="EQ3" i="30"/>
  <c r="EP3" i="30"/>
  <c r="EO3" i="30"/>
  <c r="EX31" i="30" l="1"/>
  <c r="EX30" i="30"/>
  <c r="EV31" i="30"/>
  <c r="EV30" i="30"/>
  <c r="EZ31" i="30"/>
  <c r="EZ30" i="30"/>
  <c r="EW31" i="30"/>
  <c r="EP30" i="30"/>
  <c r="EP31" i="30"/>
  <c r="EQ31" i="30"/>
  <c r="ER31" i="30"/>
  <c r="ER30" i="30"/>
  <c r="EO30" i="30"/>
  <c r="ES31" i="30"/>
  <c r="ES30" i="30"/>
  <c r="EQ30" i="30"/>
  <c r="EE8" i="30"/>
  <c r="EE14" i="30"/>
  <c r="EE37" i="30"/>
  <c r="ED8" i="30" l="1"/>
  <c r="ED37" i="30"/>
  <c r="EC8" i="30" l="1"/>
  <c r="EC37" i="30"/>
  <c r="EB8" i="30" l="1"/>
  <c r="EB37" i="30"/>
  <c r="EA8" i="30" l="1"/>
  <c r="EA37" i="30"/>
  <c r="EL29" i="30"/>
  <c r="EO31" i="30" s="1"/>
  <c r="EK29" i="30"/>
  <c r="EJ29" i="30"/>
  <c r="EI29" i="30"/>
  <c r="EH29" i="30"/>
  <c r="EL18" i="30"/>
  <c r="EL19" i="30" s="1"/>
  <c r="EK18" i="30"/>
  <c r="EK19" i="30" s="1"/>
  <c r="EJ18" i="30"/>
  <c r="EJ19" i="30" s="1"/>
  <c r="EI18" i="30"/>
  <c r="EI19" i="30" s="1"/>
  <c r="EH18" i="30"/>
  <c r="EH19" i="30" s="1"/>
  <c r="EL16" i="30"/>
  <c r="EK16" i="30"/>
  <c r="EJ16" i="30"/>
  <c r="EI16" i="30"/>
  <c r="EH16" i="30"/>
  <c r="EL14" i="30"/>
  <c r="EK14" i="30"/>
  <c r="EJ14" i="30"/>
  <c r="EI14" i="30"/>
  <c r="EH14" i="30"/>
  <c r="EL11" i="30"/>
  <c r="EL12" i="30" s="1"/>
  <c r="EL15" i="30" s="1"/>
  <c r="EK11" i="30"/>
  <c r="EK12" i="30" s="1"/>
  <c r="EK15" i="30" s="1"/>
  <c r="EJ11" i="30"/>
  <c r="EJ12" i="30" s="1"/>
  <c r="EJ15" i="30" s="1"/>
  <c r="EI11" i="30"/>
  <c r="EI12" i="30" s="1"/>
  <c r="EI15" i="30" s="1"/>
  <c r="EH11" i="30"/>
  <c r="EH12" i="30" s="1"/>
  <c r="EH15" i="30" s="1"/>
  <c r="EL3" i="30"/>
  <c r="EK3" i="30"/>
  <c r="EJ3" i="30"/>
  <c r="EI3" i="30"/>
  <c r="EH3" i="30"/>
  <c r="EI30" i="30" l="1"/>
  <c r="EI31" i="30"/>
  <c r="EJ31" i="30"/>
  <c r="EJ30" i="30"/>
  <c r="EK31" i="30"/>
  <c r="EK30" i="30"/>
  <c r="EH30" i="30"/>
  <c r="EL31" i="30"/>
  <c r="EL30" i="30"/>
  <c r="DX8" i="30"/>
  <c r="DX37" i="30"/>
  <c r="DW8" i="30" l="1"/>
  <c r="DW37" i="30"/>
  <c r="DV8" i="30" l="1"/>
  <c r="DV37" i="30"/>
  <c r="DU8" i="30" l="1"/>
  <c r="DU37" i="30"/>
  <c r="DT8" i="30" l="1"/>
  <c r="DT37" i="30"/>
  <c r="EE29" i="30"/>
  <c r="EH31" i="30" s="1"/>
  <c r="ED29" i="30"/>
  <c r="EC29" i="30"/>
  <c r="EB29" i="30"/>
  <c r="EA29" i="30"/>
  <c r="EE18" i="30"/>
  <c r="EE19" i="30" s="1"/>
  <c r="ED18" i="30"/>
  <c r="ED19" i="30" s="1"/>
  <c r="EC18" i="30"/>
  <c r="EC19" i="30" s="1"/>
  <c r="EB18" i="30"/>
  <c r="EB19" i="30" s="1"/>
  <c r="EA18" i="30"/>
  <c r="EA19" i="30" s="1"/>
  <c r="EE16" i="30"/>
  <c r="ED16" i="30"/>
  <c r="EC16" i="30"/>
  <c r="EB16" i="30"/>
  <c r="EA16" i="30"/>
  <c r="ED14" i="30"/>
  <c r="EC14" i="30"/>
  <c r="EB14" i="30"/>
  <c r="EA14" i="30"/>
  <c r="EE11" i="30"/>
  <c r="EE12" i="30" s="1"/>
  <c r="EE15" i="30" s="1"/>
  <c r="ED11" i="30"/>
  <c r="ED12" i="30" s="1"/>
  <c r="ED15" i="30" s="1"/>
  <c r="EC11" i="30"/>
  <c r="EC12" i="30" s="1"/>
  <c r="EC15" i="30" s="1"/>
  <c r="EB11" i="30"/>
  <c r="EB12" i="30" s="1"/>
  <c r="EB15" i="30" s="1"/>
  <c r="EA11" i="30"/>
  <c r="EA12" i="30" s="1"/>
  <c r="EA15" i="30" s="1"/>
  <c r="EE3" i="30"/>
  <c r="ED3" i="30"/>
  <c r="EC3" i="30"/>
  <c r="EB3" i="30"/>
  <c r="EA3" i="30"/>
  <c r="EC31" i="30" l="1"/>
  <c r="EC30" i="30"/>
  <c r="EA30" i="30"/>
  <c r="EE31" i="30"/>
  <c r="EE30" i="30"/>
  <c r="EB30" i="30"/>
  <c r="EB31" i="30"/>
  <c r="ED31" i="30"/>
  <c r="ED30" i="30"/>
  <c r="DQ37" i="30"/>
  <c r="DQ8" i="30"/>
  <c r="DP37" i="30" l="1"/>
  <c r="DP8" i="30" l="1"/>
  <c r="DO8" i="30" l="1"/>
  <c r="DO37" i="30"/>
  <c r="DN8" i="30" l="1"/>
  <c r="DN37" i="30"/>
  <c r="DM8" i="30" l="1"/>
  <c r="DM37" i="30"/>
  <c r="DJ8" i="30" l="1"/>
  <c r="DJ37" i="30"/>
  <c r="DJ16" i="30"/>
  <c r="DI8" i="30" l="1"/>
  <c r="DI37" i="30"/>
  <c r="DH37" i="30" l="1"/>
  <c r="DH29" i="30"/>
  <c r="DH18" i="30"/>
  <c r="DH19" i="30" s="1"/>
  <c r="DH16" i="30"/>
  <c r="DH14" i="30"/>
  <c r="DH11" i="30"/>
  <c r="DH12" i="30" s="1"/>
  <c r="DH15" i="30" s="1"/>
  <c r="DH8" i="30"/>
  <c r="DH3" i="30"/>
  <c r="DG8" i="30"/>
  <c r="DG37" i="30"/>
  <c r="DH30" i="30" l="1"/>
  <c r="DF8" i="30"/>
  <c r="DF37" i="30"/>
  <c r="DC8" i="30" l="1"/>
  <c r="DC37" i="30"/>
  <c r="DX28" i="30" l="1"/>
  <c r="DW29" i="30"/>
  <c r="DV29" i="30"/>
  <c r="DU29" i="30"/>
  <c r="DU30" i="30" s="1"/>
  <c r="DT29" i="30"/>
  <c r="DX27" i="30"/>
  <c r="DX18" i="30"/>
  <c r="DX19" i="30" s="1"/>
  <c r="DW18" i="30"/>
  <c r="DW19" i="30" s="1"/>
  <c r="DV18" i="30"/>
  <c r="DV19" i="30" s="1"/>
  <c r="DU18" i="30"/>
  <c r="DU19" i="30" s="1"/>
  <c r="DT18" i="30"/>
  <c r="DT19" i="30" s="1"/>
  <c r="DX16" i="30"/>
  <c r="DW16" i="30"/>
  <c r="DV16" i="30"/>
  <c r="DU16" i="30"/>
  <c r="DT16" i="30"/>
  <c r="DX14" i="30"/>
  <c r="DW14" i="30"/>
  <c r="DV14" i="30"/>
  <c r="DU14" i="30"/>
  <c r="DT14" i="30"/>
  <c r="DX11" i="30"/>
  <c r="DX12" i="30" s="1"/>
  <c r="DX15" i="30" s="1"/>
  <c r="DW11" i="30"/>
  <c r="DW12" i="30" s="1"/>
  <c r="DW15" i="30" s="1"/>
  <c r="DV11" i="30"/>
  <c r="DV12" i="30" s="1"/>
  <c r="DV15" i="30" s="1"/>
  <c r="DU11" i="30"/>
  <c r="DU12" i="30" s="1"/>
  <c r="DU15" i="30" s="1"/>
  <c r="DT11" i="30"/>
  <c r="DT12" i="30" s="1"/>
  <c r="DT15" i="30" s="1"/>
  <c r="DX3" i="30"/>
  <c r="DW3" i="30"/>
  <c r="DV3" i="30"/>
  <c r="DU3" i="30"/>
  <c r="DT3" i="30"/>
  <c r="DN29" i="30"/>
  <c r="DQ29" i="30"/>
  <c r="DP29" i="30"/>
  <c r="DO29" i="30"/>
  <c r="DM29" i="30"/>
  <c r="DQ18" i="30"/>
  <c r="DQ19" i="30" s="1"/>
  <c r="DP18" i="30"/>
  <c r="DP19" i="30" s="1"/>
  <c r="DO18" i="30"/>
  <c r="DO19" i="30" s="1"/>
  <c r="DN18" i="30"/>
  <c r="DN19" i="30" s="1"/>
  <c r="DM18" i="30"/>
  <c r="DM19" i="30" s="1"/>
  <c r="DQ16" i="30"/>
  <c r="DP16" i="30"/>
  <c r="DO16" i="30"/>
  <c r="DN16" i="30"/>
  <c r="DM16" i="30"/>
  <c r="DQ14" i="30"/>
  <c r="DP14" i="30"/>
  <c r="DO14" i="30"/>
  <c r="DN14" i="30"/>
  <c r="DM14" i="30"/>
  <c r="DQ11" i="30"/>
  <c r="DQ12" i="30" s="1"/>
  <c r="DQ15" i="30" s="1"/>
  <c r="DP11" i="30"/>
  <c r="DP12" i="30" s="1"/>
  <c r="DP15" i="30" s="1"/>
  <c r="DO11" i="30"/>
  <c r="DO12" i="30" s="1"/>
  <c r="DO15" i="30" s="1"/>
  <c r="DN11" i="30"/>
  <c r="DN12" i="30" s="1"/>
  <c r="DN15" i="30" s="1"/>
  <c r="DM11" i="30"/>
  <c r="DM12" i="30" s="1"/>
  <c r="DM15" i="30" s="1"/>
  <c r="DQ3" i="30"/>
  <c r="DP3" i="30"/>
  <c r="DO3" i="30"/>
  <c r="DN3" i="30"/>
  <c r="DM3" i="30"/>
  <c r="DB8" i="30"/>
  <c r="DB37" i="30"/>
  <c r="DX29" i="30" l="1"/>
  <c r="EA31" i="30" s="1"/>
  <c r="DV31" i="30"/>
  <c r="DV30" i="30"/>
  <c r="DW31" i="30"/>
  <c r="DT31" i="30"/>
  <c r="DT30" i="30"/>
  <c r="DU31" i="30"/>
  <c r="DW30" i="30"/>
  <c r="DO31" i="30"/>
  <c r="DO30" i="30"/>
  <c r="DP30" i="30"/>
  <c r="DP31" i="30"/>
  <c r="DM30" i="30"/>
  <c r="DQ31" i="30"/>
  <c r="DQ30" i="30"/>
  <c r="DN31" i="30"/>
  <c r="DN30" i="30"/>
  <c r="DA8" i="30"/>
  <c r="DA37" i="30"/>
  <c r="DX30" i="30" l="1"/>
  <c r="DX31" i="30"/>
  <c r="CZ8" i="30"/>
  <c r="CZ37" i="30"/>
  <c r="DJ29" i="30" l="1"/>
  <c r="DM31" i="30" s="1"/>
  <c r="DI29" i="30"/>
  <c r="DG29" i="30"/>
  <c r="DF29" i="30"/>
  <c r="DJ18" i="30"/>
  <c r="DJ19" i="30" s="1"/>
  <c r="DI18" i="30"/>
  <c r="DI19" i="30" s="1"/>
  <c r="DG18" i="30"/>
  <c r="DG19" i="30" s="1"/>
  <c r="DF18" i="30"/>
  <c r="DF19" i="30" s="1"/>
  <c r="DI16" i="30"/>
  <c r="DG16" i="30"/>
  <c r="DF16" i="30"/>
  <c r="DJ14" i="30"/>
  <c r="DI14" i="30"/>
  <c r="DG14" i="30"/>
  <c r="DF14" i="30"/>
  <c r="DJ11" i="30"/>
  <c r="DJ12" i="30" s="1"/>
  <c r="DJ15" i="30" s="1"/>
  <c r="DI11" i="30"/>
  <c r="DI12" i="30" s="1"/>
  <c r="DI15" i="30" s="1"/>
  <c r="DG11" i="30"/>
  <c r="DG12" i="30" s="1"/>
  <c r="DG15" i="30" s="1"/>
  <c r="DF11" i="30"/>
  <c r="DF12" i="30" s="1"/>
  <c r="DF15" i="30" s="1"/>
  <c r="DJ3" i="30"/>
  <c r="DI3" i="30"/>
  <c r="DG3" i="30"/>
  <c r="DF3" i="30"/>
  <c r="CY8" i="30"/>
  <c r="CY37" i="30"/>
  <c r="DG30" i="30" l="1"/>
  <c r="DH31" i="30"/>
  <c r="DI31" i="30"/>
  <c r="DF30" i="30"/>
  <c r="DG31" i="30"/>
  <c r="DJ31" i="30"/>
  <c r="DJ30" i="30"/>
  <c r="DI30" i="30"/>
  <c r="DB29" i="30"/>
  <c r="DB30" i="30" s="1"/>
  <c r="CZ29" i="30"/>
  <c r="CZ30" i="30" s="1"/>
  <c r="CY29" i="30"/>
  <c r="DA29" i="30"/>
  <c r="DA30" i="30" s="1"/>
  <c r="DC29" i="30"/>
  <c r="DF31" i="30" s="1"/>
  <c r="DC18" i="30"/>
  <c r="DC19" i="30" s="1"/>
  <c r="DB18" i="30"/>
  <c r="DB19" i="30" s="1"/>
  <c r="DA18" i="30"/>
  <c r="DA19" i="30" s="1"/>
  <c r="CZ18" i="30"/>
  <c r="CZ19" i="30" s="1"/>
  <c r="CY18" i="30"/>
  <c r="CY19" i="30" s="1"/>
  <c r="DC16" i="30"/>
  <c r="DB16" i="30"/>
  <c r="DA16" i="30"/>
  <c r="CZ16" i="30"/>
  <c r="CY16" i="30"/>
  <c r="DC14" i="30"/>
  <c r="DB14" i="30"/>
  <c r="DA14" i="30"/>
  <c r="CZ14" i="30"/>
  <c r="CY14" i="30"/>
  <c r="DC11" i="30"/>
  <c r="DC12" i="30" s="1"/>
  <c r="DC15" i="30" s="1"/>
  <c r="DB11" i="30"/>
  <c r="DB12" i="30" s="1"/>
  <c r="DB15" i="30" s="1"/>
  <c r="DA11" i="30"/>
  <c r="DA12" i="30" s="1"/>
  <c r="DA15" i="30" s="1"/>
  <c r="CZ11" i="30"/>
  <c r="CZ12" i="30" s="1"/>
  <c r="CZ15" i="30" s="1"/>
  <c r="CY11" i="30"/>
  <c r="CY12" i="30" s="1"/>
  <c r="CY15" i="30" s="1"/>
  <c r="DC3" i="30"/>
  <c r="DB3" i="30"/>
  <c r="DA3" i="30"/>
  <c r="CZ3" i="30"/>
  <c r="CY3" i="30"/>
  <c r="CV8" i="30"/>
  <c r="CV14" i="30"/>
  <c r="CV37" i="30"/>
  <c r="DB31" i="30" l="1"/>
  <c r="DA31" i="30"/>
  <c r="CY30" i="30"/>
  <c r="DC31" i="30"/>
  <c r="DC30" i="30"/>
  <c r="CZ31" i="30"/>
  <c r="CU14" i="30"/>
  <c r="CU8" i="30"/>
  <c r="CU37" i="30"/>
  <c r="CU18" i="30"/>
  <c r="CT8" i="30" l="1"/>
  <c r="CT14" i="30"/>
  <c r="CT37" i="30"/>
  <c r="CS14" i="30" l="1"/>
  <c r="CO14" i="30"/>
  <c r="CS8" i="30"/>
  <c r="CS37" i="30"/>
  <c r="CR16" i="30" l="1"/>
  <c r="CR14" i="30"/>
  <c r="CR8" i="30"/>
  <c r="CR29" i="30" l="1"/>
  <c r="CR30" i="30" s="1"/>
  <c r="CV11" i="30"/>
  <c r="CV12" i="30" s="1"/>
  <c r="CV15" i="30" s="1"/>
  <c r="CV16" i="30"/>
  <c r="CV18" i="30"/>
  <c r="CV19" i="30" s="1"/>
  <c r="CV3" i="30"/>
  <c r="CU19" i="30"/>
  <c r="CT18" i="30"/>
  <c r="CT19" i="30" s="1"/>
  <c r="CS18" i="30"/>
  <c r="CR18" i="30"/>
  <c r="CR19" i="30" s="1"/>
  <c r="CS16" i="30"/>
  <c r="CU11" i="30"/>
  <c r="CU12" i="30" s="1"/>
  <c r="CU15" i="30" s="1"/>
  <c r="CT11" i="30"/>
  <c r="CT12" i="30" s="1"/>
  <c r="CT15" i="30" s="1"/>
  <c r="CS11" i="30"/>
  <c r="CS12" i="30" s="1"/>
  <c r="CS15" i="30" s="1"/>
  <c r="CR11" i="30"/>
  <c r="CR12" i="30" s="1"/>
  <c r="CR15" i="30" s="1"/>
  <c r="CU3" i="30"/>
  <c r="CT3" i="30"/>
  <c r="CS3" i="30"/>
  <c r="CR3" i="30"/>
  <c r="CS29" i="30"/>
  <c r="CT29" i="30"/>
  <c r="CU29" i="30"/>
  <c r="CV29" i="30"/>
  <c r="CN29" i="30"/>
  <c r="CN8" i="30"/>
  <c r="CN37" i="30"/>
  <c r="CN18" i="30"/>
  <c r="CN19" i="30" s="1"/>
  <c r="CN16" i="30"/>
  <c r="CN14" i="30"/>
  <c r="CN15" i="30" s="1"/>
  <c r="CN11" i="30"/>
  <c r="CN12" i="30" s="1"/>
  <c r="CN3" i="30"/>
  <c r="CV30" i="30" l="1"/>
  <c r="CY31" i="30"/>
  <c r="CS19" i="30"/>
  <c r="CT31" i="30"/>
  <c r="CU31" i="30"/>
  <c r="CS31" i="30"/>
  <c r="CV31" i="30"/>
  <c r="CR31" i="30"/>
  <c r="CS30" i="30"/>
  <c r="CT30" i="30"/>
  <c r="CU30" i="30"/>
  <c r="CN30" i="30"/>
  <c r="CM8" i="30"/>
  <c r="CM29" i="30"/>
  <c r="CN31" i="30" l="1"/>
  <c r="CM30" i="30"/>
  <c r="CM37" i="30"/>
  <c r="CM3" i="30"/>
  <c r="CL29" i="30" l="1"/>
  <c r="CL3" i="30"/>
  <c r="CL37" i="30"/>
  <c r="CL8" i="30"/>
  <c r="CL18" i="30"/>
  <c r="CL30" i="30" l="1"/>
  <c r="CM31" i="30"/>
  <c r="CU16" i="30"/>
  <c r="CT16" i="30"/>
  <c r="CK29" i="30" l="1"/>
  <c r="CK8" i="30"/>
  <c r="CK18" i="30"/>
  <c r="CK19" i="30" s="1"/>
  <c r="CK14" i="30"/>
  <c r="CK15" i="30" s="1"/>
  <c r="CK37" i="30"/>
  <c r="CL19" i="30"/>
  <c r="CM18" i="30"/>
  <c r="CM19" i="30" s="1"/>
  <c r="CK11" i="30"/>
  <c r="CK12" i="30" s="1"/>
  <c r="CL11" i="30"/>
  <c r="CL12" i="30" s="1"/>
  <c r="CM11" i="30"/>
  <c r="CM12" i="30" s="1"/>
  <c r="CL14" i="30"/>
  <c r="CL15" i="30" s="1"/>
  <c r="CM14" i="30"/>
  <c r="CM15" i="30" s="1"/>
  <c r="CK16" i="30"/>
  <c r="CL16" i="30"/>
  <c r="CM16" i="30"/>
  <c r="CK3" i="30"/>
  <c r="CL31" i="30" l="1"/>
  <c r="CK30" i="30"/>
  <c r="CH8" i="30"/>
  <c r="CH37" i="30"/>
  <c r="CG37" i="30" l="1"/>
  <c r="CG8" i="30"/>
  <c r="CF37" i="30" l="1"/>
  <c r="CF8" i="30"/>
  <c r="BW8" i="30" l="1"/>
  <c r="BX8" i="30"/>
  <c r="BY8" i="30"/>
  <c r="BZ8" i="30"/>
  <c r="CA8" i="30"/>
  <c r="CD8" i="30"/>
  <c r="CE8" i="30" l="1"/>
  <c r="CE37" i="30"/>
  <c r="CD37" i="30" l="1"/>
  <c r="CD29" i="30" l="1"/>
  <c r="CF29" i="30"/>
  <c r="CH29" i="30"/>
  <c r="CK31" i="30" s="1"/>
  <c r="CG29" i="30"/>
  <c r="CE29" i="30"/>
  <c r="CH18" i="30"/>
  <c r="CH19" i="30" s="1"/>
  <c r="CG18" i="30"/>
  <c r="CG19" i="30" s="1"/>
  <c r="CF18" i="30"/>
  <c r="CF19" i="30" s="1"/>
  <c r="CE18" i="30"/>
  <c r="CE19" i="30" s="1"/>
  <c r="CD18" i="30"/>
  <c r="CD19" i="30" s="1"/>
  <c r="CH16" i="30"/>
  <c r="CG16" i="30"/>
  <c r="CF16" i="30"/>
  <c r="CE16" i="30"/>
  <c r="CD16" i="30"/>
  <c r="CH14" i="30"/>
  <c r="CH15" i="30" s="1"/>
  <c r="CG14" i="30"/>
  <c r="CG15" i="30" s="1"/>
  <c r="CF14" i="30"/>
  <c r="CF15" i="30" s="1"/>
  <c r="CE14" i="30"/>
  <c r="CE15" i="30" s="1"/>
  <c r="CD14" i="30"/>
  <c r="CD15" i="30" s="1"/>
  <c r="CH11" i="30"/>
  <c r="CH12" i="30" s="1"/>
  <c r="CG11" i="30"/>
  <c r="CG12" i="30" s="1"/>
  <c r="CF11" i="30"/>
  <c r="CF12" i="30" s="1"/>
  <c r="CE11" i="30"/>
  <c r="CE12" i="30" s="1"/>
  <c r="CD11" i="30"/>
  <c r="CD12" i="30" s="1"/>
  <c r="CH3" i="30"/>
  <c r="CG3" i="30"/>
  <c r="CF3" i="30"/>
  <c r="CE3" i="30"/>
  <c r="CD3" i="30"/>
  <c r="CH31" i="30" l="1"/>
  <c r="CF30" i="30"/>
  <c r="CF31" i="30"/>
  <c r="CG31" i="30"/>
  <c r="CE31" i="30"/>
  <c r="CE30" i="30"/>
  <c r="CG30" i="30"/>
  <c r="CD30" i="30"/>
  <c r="CH30" i="30"/>
  <c r="CA37" i="30" l="1"/>
  <c r="BZ37" i="30" l="1"/>
  <c r="BY37" i="30" l="1"/>
  <c r="BX37" i="30" l="1"/>
  <c r="BY16" i="30"/>
  <c r="BW37" i="30"/>
  <c r="BT37" i="30" l="1"/>
  <c r="BT11" i="30"/>
  <c r="BT8" i="30"/>
  <c r="BY29" i="30"/>
  <c r="BX29" i="30"/>
  <c r="BX30" i="30" s="1"/>
  <c r="BZ29" i="30"/>
  <c r="BW29" i="30"/>
  <c r="CA18" i="30"/>
  <c r="CA19" i="30" s="1"/>
  <c r="BZ18" i="30"/>
  <c r="BZ19" i="30" s="1"/>
  <c r="BY18" i="30"/>
  <c r="BY19" i="30" s="1"/>
  <c r="BX18" i="30"/>
  <c r="BX19" i="30" s="1"/>
  <c r="BW18" i="30"/>
  <c r="BW19" i="30" s="1"/>
  <c r="CA16" i="30"/>
  <c r="BZ16" i="30"/>
  <c r="BX16" i="30"/>
  <c r="BW16" i="30"/>
  <c r="CA14" i="30"/>
  <c r="CA15" i="30" s="1"/>
  <c r="BZ14" i="30"/>
  <c r="BZ15" i="30" s="1"/>
  <c r="BY14" i="30"/>
  <c r="BY15" i="30" s="1"/>
  <c r="BX14" i="30"/>
  <c r="BX15" i="30" s="1"/>
  <c r="BW14" i="30"/>
  <c r="BW15" i="30" s="1"/>
  <c r="CA11" i="30"/>
  <c r="CA12" i="30" s="1"/>
  <c r="BZ11" i="30"/>
  <c r="BZ12" i="30" s="1"/>
  <c r="BY11" i="30"/>
  <c r="BY12" i="30" s="1"/>
  <c r="BX11" i="30"/>
  <c r="BX12" i="30" s="1"/>
  <c r="BW11" i="30"/>
  <c r="BW12" i="30" s="1"/>
  <c r="CA3" i="30"/>
  <c r="BZ3" i="30"/>
  <c r="BY3" i="30"/>
  <c r="BX3" i="30"/>
  <c r="BW3" i="30"/>
  <c r="BS8" i="30"/>
  <c r="BS37" i="30"/>
  <c r="BR37" i="30"/>
  <c r="BR8" i="30"/>
  <c r="CA29" i="30" l="1"/>
  <c r="CD31" i="30" s="1"/>
  <c r="BY31" i="30"/>
  <c r="BY30" i="30"/>
  <c r="BZ31" i="30"/>
  <c r="BX31" i="30"/>
  <c r="BZ30" i="30"/>
  <c r="BW30" i="30"/>
  <c r="BQ8" i="30"/>
  <c r="BQ37" i="30"/>
  <c r="CA30" i="30" l="1"/>
  <c r="CA31" i="30"/>
  <c r="BP8" i="30"/>
  <c r="BP37" i="30"/>
  <c r="BP29" i="30" l="1"/>
  <c r="BQ29" i="30"/>
  <c r="BR29" i="30"/>
  <c r="BS29" i="30"/>
  <c r="BT29" i="30"/>
  <c r="BW31" i="30" s="1"/>
  <c r="BT18" i="30"/>
  <c r="BT19" i="30" s="1"/>
  <c r="BS18" i="30"/>
  <c r="BS19" i="30" s="1"/>
  <c r="BR18" i="30"/>
  <c r="BR19" i="30" s="1"/>
  <c r="BQ18" i="30"/>
  <c r="BQ19" i="30" s="1"/>
  <c r="BP18" i="30"/>
  <c r="BP19" i="30" s="1"/>
  <c r="BT16" i="30"/>
  <c r="BS16" i="30"/>
  <c r="BR16" i="30"/>
  <c r="BQ16" i="30"/>
  <c r="BP16" i="30"/>
  <c r="BT14" i="30"/>
  <c r="BT15" i="30" s="1"/>
  <c r="BS14" i="30"/>
  <c r="BS15" i="30" s="1"/>
  <c r="BR14" i="30"/>
  <c r="BR15" i="30" s="1"/>
  <c r="BQ14" i="30"/>
  <c r="BQ15" i="30" s="1"/>
  <c r="BP14" i="30"/>
  <c r="BP15" i="30" s="1"/>
  <c r="BT12" i="30"/>
  <c r="BS11" i="30"/>
  <c r="BS12" i="30" s="1"/>
  <c r="BR11" i="30"/>
  <c r="BR12" i="30" s="1"/>
  <c r="BQ11" i="30"/>
  <c r="BQ12" i="30" s="1"/>
  <c r="BP11" i="30"/>
  <c r="BP12" i="30" s="1"/>
  <c r="BT3" i="30"/>
  <c r="BS3" i="30"/>
  <c r="BR3" i="30"/>
  <c r="BQ3" i="30"/>
  <c r="BP3" i="30"/>
  <c r="BT31" i="30" l="1"/>
  <c r="BR30" i="30"/>
  <c r="BR31" i="30"/>
  <c r="BS31" i="30"/>
  <c r="BS30" i="30"/>
  <c r="BQ31" i="30"/>
  <c r="BP30" i="30"/>
  <c r="BT30" i="30"/>
  <c r="BQ30" i="30"/>
  <c r="BM37" i="30"/>
  <c r="BM8" i="30"/>
  <c r="BL8" i="30"/>
  <c r="BL37" i="30"/>
  <c r="BK37" i="30"/>
  <c r="BK8" i="30" l="1"/>
  <c r="BJ8" i="30"/>
  <c r="BJ37" i="30"/>
  <c r="BI29" i="30"/>
  <c r="BI30" i="30" l="1"/>
  <c r="BI8" i="30" l="1"/>
  <c r="BI37" i="30"/>
  <c r="BJ29" i="30"/>
  <c r="BK29" i="30"/>
  <c r="BL29" i="30"/>
  <c r="BM29" i="30"/>
  <c r="BP31" i="30" s="1"/>
  <c r="BM18" i="30"/>
  <c r="BM19" i="30" s="1"/>
  <c r="BL18" i="30"/>
  <c r="BL19" i="30" s="1"/>
  <c r="BK18" i="30"/>
  <c r="BK19" i="30" s="1"/>
  <c r="BJ18" i="30"/>
  <c r="BJ19" i="30" s="1"/>
  <c r="BI18" i="30"/>
  <c r="BI19" i="30" s="1"/>
  <c r="BM16" i="30"/>
  <c r="BL16" i="30"/>
  <c r="BK16" i="30"/>
  <c r="BJ16" i="30"/>
  <c r="BI16" i="30"/>
  <c r="BM14" i="30"/>
  <c r="BM15" i="30" s="1"/>
  <c r="BL14" i="30"/>
  <c r="BL15" i="30" s="1"/>
  <c r="BK14" i="30"/>
  <c r="BK15" i="30" s="1"/>
  <c r="BJ14" i="30"/>
  <c r="BJ15" i="30" s="1"/>
  <c r="BI14" i="30"/>
  <c r="BI15" i="30" s="1"/>
  <c r="BM11" i="30"/>
  <c r="BM12" i="30" s="1"/>
  <c r="BL11" i="30"/>
  <c r="BL12" i="30" s="1"/>
  <c r="BK11" i="30"/>
  <c r="BK12" i="30" s="1"/>
  <c r="BJ11" i="30"/>
  <c r="BJ12" i="30" s="1"/>
  <c r="BI11" i="30"/>
  <c r="BI12" i="30" s="1"/>
  <c r="BM3" i="30"/>
  <c r="BL3" i="30"/>
  <c r="BK3" i="30"/>
  <c r="BJ3" i="30"/>
  <c r="BI3" i="30"/>
  <c r="BF8" i="30"/>
  <c r="BF37" i="30"/>
  <c r="BE37" i="30"/>
  <c r="BE8" i="30"/>
  <c r="BK30" i="30" l="1"/>
  <c r="BK31" i="30"/>
  <c r="BM31" i="30"/>
  <c r="BM30" i="30"/>
  <c r="BJ30" i="30"/>
  <c r="BJ31" i="30"/>
  <c r="BL30" i="30"/>
  <c r="BL31" i="30"/>
  <c r="BD8" i="30"/>
  <c r="BD37" i="30"/>
  <c r="BC8" i="30"/>
  <c r="BC37" i="30"/>
  <c r="BB8" i="30" l="1"/>
  <c r="BB37" i="30" l="1"/>
  <c r="BB29" i="30"/>
  <c r="BF18" i="30"/>
  <c r="BF19" i="30" s="1"/>
  <c r="BE18" i="30"/>
  <c r="BE19" i="30" s="1"/>
  <c r="BD18" i="30"/>
  <c r="BD19" i="30" s="1"/>
  <c r="BC18" i="30"/>
  <c r="BC19" i="30" s="1"/>
  <c r="BB18" i="30"/>
  <c r="BB19" i="30" s="1"/>
  <c r="BF16" i="30"/>
  <c r="BE16" i="30"/>
  <c r="BD16" i="30"/>
  <c r="BC16" i="30"/>
  <c r="BB16" i="30"/>
  <c r="BF14" i="30"/>
  <c r="BF15" i="30" s="1"/>
  <c r="BE14" i="30"/>
  <c r="BE15" i="30" s="1"/>
  <c r="BD14" i="30"/>
  <c r="BD15" i="30" s="1"/>
  <c r="BC14" i="30"/>
  <c r="BC15" i="30" s="1"/>
  <c r="BB14" i="30"/>
  <c r="BB15" i="30" s="1"/>
  <c r="BF11" i="30"/>
  <c r="BF12" i="30" s="1"/>
  <c r="BE11" i="30"/>
  <c r="BE12" i="30" s="1"/>
  <c r="BD11" i="30"/>
  <c r="BD12" i="30" s="1"/>
  <c r="BC11" i="30"/>
  <c r="BC12" i="30" s="1"/>
  <c r="BB11" i="30"/>
  <c r="BB12" i="30" s="1"/>
  <c r="BF3" i="30"/>
  <c r="BE3" i="30"/>
  <c r="BD3" i="30"/>
  <c r="BC3" i="30"/>
  <c r="BB3" i="30"/>
  <c r="AY37" i="30"/>
  <c r="BF27" i="30"/>
  <c r="BC29" i="30"/>
  <c r="BD29" i="30"/>
  <c r="BE29" i="30"/>
  <c r="BF28" i="30"/>
  <c r="BF29" i="30" l="1"/>
  <c r="BI31" i="30" s="1"/>
  <c r="BD30" i="30"/>
  <c r="BD31" i="30"/>
  <c r="BE31" i="30"/>
  <c r="BE30" i="30"/>
  <c r="BC31" i="30"/>
  <c r="BB30" i="30"/>
  <c r="BC30" i="30"/>
  <c r="AY8" i="30"/>
  <c r="AX8" i="30"/>
  <c r="AW8" i="30"/>
  <c r="BF30" i="30" l="1"/>
  <c r="BF31" i="30"/>
  <c r="AX37" i="30"/>
  <c r="AW29" i="30"/>
  <c r="AY29" i="30"/>
  <c r="BB31" i="30" s="1"/>
  <c r="AW37" i="30"/>
  <c r="AX29" i="30"/>
  <c r="AY18" i="30"/>
  <c r="AY19" i="30" s="1"/>
  <c r="AX18" i="30"/>
  <c r="AX19" i="30" s="1"/>
  <c r="AW18" i="30"/>
  <c r="AW19" i="30" s="1"/>
  <c r="AY16" i="30"/>
  <c r="AX16" i="30"/>
  <c r="AW16" i="30"/>
  <c r="AY14" i="30"/>
  <c r="AY15" i="30" s="1"/>
  <c r="AX14" i="30"/>
  <c r="AX15" i="30" s="1"/>
  <c r="AW14" i="30"/>
  <c r="AW15" i="30" s="1"/>
  <c r="AY11" i="30"/>
  <c r="AY12" i="30" s="1"/>
  <c r="AX11" i="30"/>
  <c r="AX12" i="30" s="1"/>
  <c r="AW11" i="30"/>
  <c r="AW12" i="30" s="1"/>
  <c r="AY3" i="30"/>
  <c r="AX3" i="30"/>
  <c r="AW3" i="30"/>
  <c r="AR37" i="30"/>
  <c r="AY31" i="30" l="1"/>
  <c r="AW30" i="30"/>
  <c r="AW31" i="30"/>
  <c r="AX31" i="30"/>
  <c r="AX30" i="30"/>
  <c r="AY30" i="30"/>
  <c r="AR8" i="30"/>
  <c r="AQ37" i="30"/>
  <c r="AQ8" i="30" l="1"/>
  <c r="AP8" i="30"/>
  <c r="AP37" i="30"/>
  <c r="AO8" i="30" l="1"/>
  <c r="AO37" i="30" l="1"/>
  <c r="AN37" i="30"/>
  <c r="AN8" i="30"/>
  <c r="AN29" i="30" l="1"/>
  <c r="AO29" i="30"/>
  <c r="AP29" i="30"/>
  <c r="AQ29" i="30"/>
  <c r="AQ30" i="30" s="1"/>
  <c r="AR29" i="30"/>
  <c r="AR18" i="30"/>
  <c r="AR19" i="30" s="1"/>
  <c r="AQ18" i="30"/>
  <c r="AQ19" i="30" s="1"/>
  <c r="AP18" i="30"/>
  <c r="AP19" i="30" s="1"/>
  <c r="AO18" i="30"/>
  <c r="AO19" i="30" s="1"/>
  <c r="AN18" i="30"/>
  <c r="AN19" i="30" s="1"/>
  <c r="AR16" i="30"/>
  <c r="AQ16" i="30"/>
  <c r="AP16" i="30"/>
  <c r="AO16" i="30"/>
  <c r="AN16" i="30"/>
  <c r="AR14" i="30"/>
  <c r="AR15" i="30" s="1"/>
  <c r="AQ14" i="30"/>
  <c r="AQ15" i="30" s="1"/>
  <c r="AP14" i="30"/>
  <c r="AP15" i="30" s="1"/>
  <c r="AO14" i="30"/>
  <c r="AO15" i="30" s="1"/>
  <c r="AN14" i="30"/>
  <c r="AN15" i="30" s="1"/>
  <c r="AR11" i="30"/>
  <c r="AR12" i="30" s="1"/>
  <c r="AQ11" i="30"/>
  <c r="AQ12" i="30" s="1"/>
  <c r="AP11" i="30"/>
  <c r="AP12" i="30" s="1"/>
  <c r="AO11" i="30"/>
  <c r="AO12" i="30" s="1"/>
  <c r="AN11" i="30"/>
  <c r="AN12" i="30" s="1"/>
  <c r="AR3" i="30"/>
  <c r="AQ3" i="30"/>
  <c r="AP3" i="30"/>
  <c r="AO3" i="30"/>
  <c r="AN3" i="30"/>
  <c r="AK8" i="30"/>
  <c r="AK37" i="30"/>
  <c r="AR31" i="30" l="1"/>
  <c r="AP30" i="30"/>
  <c r="AP31" i="30"/>
  <c r="AQ31" i="30"/>
  <c r="AO31" i="30"/>
  <c r="AN30" i="30"/>
  <c r="AR30" i="30"/>
  <c r="AO30" i="30"/>
  <c r="AJ8" i="30"/>
  <c r="AJ37" i="30"/>
  <c r="AI37" i="30"/>
  <c r="AI8" i="30"/>
  <c r="AH8" i="30" l="1"/>
  <c r="AH37" i="30" l="1"/>
  <c r="AG8" i="30"/>
  <c r="AG37" i="30"/>
  <c r="AG29" i="30"/>
  <c r="AH29" i="30"/>
  <c r="AI29" i="30"/>
  <c r="AI30" i="30" s="1"/>
  <c r="AJ29" i="30"/>
  <c r="AK29" i="30"/>
  <c r="AN31" i="30" s="1"/>
  <c r="AK18" i="30"/>
  <c r="AK19" i="30" s="1"/>
  <c r="AJ18" i="30"/>
  <c r="AJ19" i="30" s="1"/>
  <c r="AI18" i="30"/>
  <c r="AI19" i="30" s="1"/>
  <c r="AH18" i="30"/>
  <c r="AH19" i="30" s="1"/>
  <c r="AG18" i="30"/>
  <c r="AG19" i="30" s="1"/>
  <c r="AK16" i="30"/>
  <c r="AJ16" i="30"/>
  <c r="AI16" i="30"/>
  <c r="AH16" i="30"/>
  <c r="AG16" i="30"/>
  <c r="AK14" i="30"/>
  <c r="AK15" i="30" s="1"/>
  <c r="AJ14" i="30"/>
  <c r="AJ15" i="30" s="1"/>
  <c r="AI14" i="30"/>
  <c r="AI15" i="30" s="1"/>
  <c r="AH14" i="30"/>
  <c r="AH15" i="30" s="1"/>
  <c r="AG14" i="30"/>
  <c r="AG15" i="30" s="1"/>
  <c r="AK11" i="30"/>
  <c r="AK12" i="30" s="1"/>
  <c r="AJ11" i="30"/>
  <c r="AJ12" i="30" s="1"/>
  <c r="AI11" i="30"/>
  <c r="AI12" i="30" s="1"/>
  <c r="AH11" i="30"/>
  <c r="AH12" i="30" s="1"/>
  <c r="AG11" i="30"/>
  <c r="AG12" i="30" s="1"/>
  <c r="AK3" i="30"/>
  <c r="AJ3" i="30"/>
  <c r="AI3" i="30"/>
  <c r="AH3" i="30"/>
  <c r="AG3" i="30"/>
  <c r="AK31" i="30" l="1"/>
  <c r="AJ31" i="30"/>
  <c r="AH31" i="30"/>
  <c r="AJ30" i="30"/>
  <c r="AI31" i="30"/>
  <c r="AG30" i="30"/>
  <c r="AK30" i="30"/>
  <c r="AH30" i="30"/>
  <c r="AD8" i="30" l="1"/>
  <c r="AC8" i="30"/>
  <c r="AD37" i="30" l="1"/>
  <c r="AC37" i="30" l="1"/>
  <c r="AB8" i="30" l="1"/>
  <c r="AB37" i="30" l="1"/>
  <c r="AA8" i="30" l="1"/>
  <c r="AA37" i="30" l="1"/>
  <c r="Z8" i="30" l="1"/>
  <c r="Z37" i="30"/>
  <c r="AB29" i="30"/>
  <c r="AC29" i="30"/>
  <c r="AD29" i="30"/>
  <c r="AG31" i="30" s="1"/>
  <c r="AD18" i="30"/>
  <c r="AD19" i="30" s="1"/>
  <c r="AC18" i="30"/>
  <c r="AC19" i="30" s="1"/>
  <c r="AB18" i="30"/>
  <c r="AB19" i="30" s="1"/>
  <c r="AA18" i="30"/>
  <c r="AA19" i="30" s="1"/>
  <c r="Z18" i="30"/>
  <c r="Z19" i="30" s="1"/>
  <c r="AD16" i="30"/>
  <c r="AC16" i="30"/>
  <c r="AB16" i="30"/>
  <c r="AA16" i="30"/>
  <c r="Z16" i="30"/>
  <c r="AD14" i="30"/>
  <c r="AD15" i="30" s="1"/>
  <c r="AC14" i="30"/>
  <c r="AC15" i="30" s="1"/>
  <c r="AB14" i="30"/>
  <c r="AB15" i="30" s="1"/>
  <c r="AA14" i="30"/>
  <c r="AA15" i="30" s="1"/>
  <c r="Z14" i="30"/>
  <c r="Z15" i="30" s="1"/>
  <c r="AD11" i="30"/>
  <c r="AD12" i="30" s="1"/>
  <c r="AC11" i="30"/>
  <c r="AC12" i="30" s="1"/>
  <c r="AB11" i="30"/>
  <c r="AB12" i="30" s="1"/>
  <c r="AA11" i="30"/>
  <c r="AA12" i="30" s="1"/>
  <c r="Z11" i="30"/>
  <c r="Z12" i="30" s="1"/>
  <c r="AD3" i="30"/>
  <c r="AC3" i="30"/>
  <c r="AB3" i="30"/>
  <c r="AA3" i="30"/>
  <c r="Z3" i="30"/>
  <c r="AA29" i="30" l="1"/>
  <c r="AB31" i="30" s="1"/>
  <c r="AC31" i="30"/>
  <c r="AC30" i="30"/>
  <c r="AB30" i="30"/>
  <c r="AD31" i="30"/>
  <c r="AD30" i="30"/>
  <c r="W8" i="30"/>
  <c r="W37" i="30"/>
  <c r="Z29" i="30"/>
  <c r="AA30" i="30" l="1"/>
  <c r="AA31" i="30"/>
  <c r="Z30" i="30"/>
  <c r="V8" i="30"/>
  <c r="V37" i="30" l="1"/>
  <c r="V11" i="30"/>
  <c r="V12" i="30" s="1"/>
  <c r="W11" i="30"/>
  <c r="W12" i="30" s="1"/>
  <c r="V14" i="30"/>
  <c r="V15" i="30" s="1"/>
  <c r="W14" i="30"/>
  <c r="W15" i="30" s="1"/>
  <c r="V16" i="30"/>
  <c r="W16" i="30"/>
  <c r="V18" i="30"/>
  <c r="V19" i="30" s="1"/>
  <c r="W18" i="30"/>
  <c r="W19" i="30" s="1"/>
  <c r="U18" i="30" l="1"/>
  <c r="U19" i="30" s="1"/>
  <c r="U14" i="30"/>
  <c r="U15" i="30" s="1"/>
  <c r="U16" i="30"/>
  <c r="U11" i="30"/>
  <c r="U12" i="30" s="1"/>
  <c r="U8" i="30" l="1"/>
  <c r="W29" i="30"/>
  <c r="T29" i="30"/>
  <c r="T30" i="30" s="1"/>
  <c r="S29" i="30"/>
  <c r="U37" i="30"/>
  <c r="W3" i="30"/>
  <c r="V3" i="30"/>
  <c r="U3" i="30"/>
  <c r="T3" i="30"/>
  <c r="S3" i="30"/>
  <c r="S30" i="30" l="1"/>
  <c r="T31" i="30"/>
  <c r="W30" i="30"/>
  <c r="Z31" i="30"/>
  <c r="V29" i="30"/>
  <c r="U28" i="30"/>
  <c r="U27" i="30"/>
  <c r="T18" i="30"/>
  <c r="T19" i="30" s="1"/>
  <c r="T14" i="30"/>
  <c r="T15" i="30" s="1"/>
  <c r="T16" i="30"/>
  <c r="T11" i="30"/>
  <c r="T12" i="30" s="1"/>
  <c r="T8" i="30"/>
  <c r="U29" i="30" l="1"/>
  <c r="U30" i="30" s="1"/>
  <c r="V30" i="30"/>
  <c r="W31" i="30"/>
  <c r="T37" i="30"/>
  <c r="U31" i="30" l="1"/>
  <c r="V31" i="30"/>
  <c r="S16" i="30"/>
  <c r="S37" i="30"/>
  <c r="S8" i="30"/>
  <c r="S18" i="30"/>
  <c r="S19" i="30" s="1"/>
  <c r="S14" i="30"/>
  <c r="S15" i="30" s="1"/>
  <c r="S11" i="30"/>
  <c r="S12" i="30" s="1"/>
  <c r="P8" i="30" l="1"/>
  <c r="O8" i="30" l="1"/>
  <c r="N8" i="30"/>
  <c r="M8" i="30" l="1"/>
  <c r="L37" i="30" l="1"/>
  <c r="L8" i="30"/>
  <c r="I8" i="30" l="1"/>
  <c r="I37" i="30"/>
  <c r="H8" i="30" l="1"/>
  <c r="H37" i="30"/>
  <c r="G8" i="30" l="1"/>
  <c r="G37" i="30"/>
  <c r="F37" i="30" l="1"/>
  <c r="F8" i="30" l="1"/>
  <c r="E8" i="30" l="1"/>
  <c r="E37" i="30" l="1"/>
  <c r="P37" i="30"/>
  <c r="O37" i="30"/>
  <c r="N37" i="30"/>
  <c r="M37" i="30"/>
  <c r="P28" i="30"/>
  <c r="O28" i="30"/>
  <c r="N28" i="30"/>
  <c r="M28" i="30"/>
  <c r="L28" i="30"/>
  <c r="P27" i="30"/>
  <c r="O27" i="30"/>
  <c r="N27" i="30"/>
  <c r="M27" i="30"/>
  <c r="L27" i="30"/>
  <c r="P18" i="30"/>
  <c r="P19" i="30" s="1"/>
  <c r="O18" i="30"/>
  <c r="O19" i="30" s="1"/>
  <c r="N18" i="30"/>
  <c r="N19" i="30" s="1"/>
  <c r="M18" i="30"/>
  <c r="M19" i="30" s="1"/>
  <c r="L18" i="30"/>
  <c r="L19" i="30" s="1"/>
  <c r="P16" i="30"/>
  <c r="O16" i="30"/>
  <c r="N16" i="30"/>
  <c r="M16" i="30"/>
  <c r="L16" i="30"/>
  <c r="P14" i="30"/>
  <c r="P15" i="30" s="1"/>
  <c r="O14" i="30"/>
  <c r="O15" i="30" s="1"/>
  <c r="N14" i="30"/>
  <c r="N15" i="30" s="1"/>
  <c r="M14" i="30"/>
  <c r="M15" i="30" s="1"/>
  <c r="L14" i="30"/>
  <c r="L15" i="30" s="1"/>
  <c r="P11" i="30"/>
  <c r="P12" i="30" s="1"/>
  <c r="O11" i="30"/>
  <c r="O12" i="30" s="1"/>
  <c r="N11" i="30"/>
  <c r="N12" i="30" s="1"/>
  <c r="M11" i="30"/>
  <c r="M12" i="30" s="1"/>
  <c r="L11" i="30"/>
  <c r="L12" i="30" s="1"/>
  <c r="P3" i="30"/>
  <c r="O3" i="30"/>
  <c r="N3" i="30"/>
  <c r="M3" i="30"/>
  <c r="L3" i="30"/>
  <c r="I27" i="30"/>
  <c r="F29" i="30"/>
  <c r="F30" i="30" s="1"/>
  <c r="G29" i="30"/>
  <c r="H29" i="30"/>
  <c r="H30" i="30" s="1"/>
  <c r="I28" i="30"/>
  <c r="E29" i="30"/>
  <c r="I18" i="30"/>
  <c r="I19" i="30" s="1"/>
  <c r="H18" i="30"/>
  <c r="H19" i="30" s="1"/>
  <c r="G18" i="30"/>
  <c r="G19" i="30" s="1"/>
  <c r="F18" i="30"/>
  <c r="F19" i="30" s="1"/>
  <c r="E18" i="30"/>
  <c r="E19" i="30" s="1"/>
  <c r="I16" i="30"/>
  <c r="H16" i="30"/>
  <c r="G16" i="30"/>
  <c r="F16" i="30"/>
  <c r="E16" i="30"/>
  <c r="I14" i="30"/>
  <c r="I15" i="30" s="1"/>
  <c r="H14" i="30"/>
  <c r="H15" i="30" s="1"/>
  <c r="G14" i="30"/>
  <c r="G15" i="30" s="1"/>
  <c r="F14" i="30"/>
  <c r="F15" i="30" s="1"/>
  <c r="E14" i="30"/>
  <c r="E15" i="30" s="1"/>
  <c r="I11" i="30"/>
  <c r="I12" i="30" s="1"/>
  <c r="H11" i="30"/>
  <c r="H12" i="30" s="1"/>
  <c r="G11" i="30"/>
  <c r="G12" i="30" s="1"/>
  <c r="F11" i="30"/>
  <c r="F12" i="30" s="1"/>
  <c r="E12" i="30"/>
  <c r="I3" i="30"/>
  <c r="H3" i="30"/>
  <c r="G3" i="30"/>
  <c r="F3" i="30"/>
  <c r="C105" i="30" s="1"/>
  <c r="E3" i="30"/>
  <c r="N29" i="30" l="1"/>
  <c r="N30" i="30" s="1"/>
  <c r="O29" i="30"/>
  <c r="O30" i="30" s="1"/>
  <c r="L29" i="30"/>
  <c r="L30" i="30" s="1"/>
  <c r="P29" i="30"/>
  <c r="I29" i="30"/>
  <c r="I31" i="30" s="1"/>
  <c r="M29" i="30"/>
  <c r="G31" i="30"/>
  <c r="E30" i="30"/>
  <c r="G30" i="30"/>
  <c r="F31" i="30"/>
  <c r="H31" i="30"/>
  <c r="P30" i="30" l="1"/>
  <c r="S31" i="30"/>
  <c r="I30" i="30"/>
  <c r="N31" i="30"/>
  <c r="O31" i="30"/>
  <c r="M30" i="30"/>
  <c r="L31" i="30"/>
  <c r="M31" i="30"/>
  <c r="P31" i="30"/>
  <c r="M81" i="30" l="1"/>
</calcChain>
</file>

<file path=xl/comments1.xml><?xml version="1.0" encoding="utf-8"?>
<comments xmlns="http://schemas.openxmlformats.org/spreadsheetml/2006/main">
  <authors>
    <author>tc={E42E8EF9-6DDB-4122-AB18-3C9C355CB057}</author>
    <author>tc={372F1997-BE5F-4186-8D7F-0C79DF057146}</author>
    <author>tc={9A167646-BED5-42D6-9FF1-163E639C784D}</author>
    <author>tc={ABC8001D-A99B-4E00-A533-BC7264445C81}</author>
    <author>tc={D03DD0B9-9149-46EC-BE1B-9CC5E51AAD1B}</author>
    <author>tc={38BCEA16-5584-414E-9213-5290C6FB3357}</author>
    <author>tc={FDB72CFD-2ECB-4AF2-8B8C-95608768C70F}</author>
    <author>tc={17DB6312-D743-4193-A93A-877397F44615}</author>
    <author>tc={A8FCDE7B-4813-4B78-B0DC-F3BB84CBE5BE}</author>
    <author>tc={49DA6AB5-FCE9-4942-800D-41FFD3CF7492}</author>
    <author>tc={51F91E72-863B-4B75-96FC-BAA228AD37E7}</author>
    <author>tc={3A7C74A8-206D-4D0F-B031-FEFBA41D77C3}</author>
    <author>tc={FD571FDD-EA14-4A81-A2F9-31FFA02E7EDE}</author>
    <author>tc={6A8C3E5B-0C47-4BDF-80F9-92B6F3DEDF70}</author>
  </authors>
  <commentList>
    <comment ref="BW2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https://www.cmegroup.com/trading/energy/crude-oil/brent-crude-oil.html</t>
        </r>
      </text>
    </comment>
    <comment ref="BW9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https://valor.globo.com/valor-data/commodities/</t>
        </r>
      </text>
    </comment>
    <comment ref="BT20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https://www.bcb.gov.br/</t>
        </r>
      </text>
    </comment>
    <comment ref="A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Passo Fundo</t>
        </r>
      </text>
    </comment>
    <comment ref="A23" authorId="4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Barreiras</t>
        </r>
      </text>
    </comment>
    <comment ref="A24" authorId="5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Ponta Grossa</t>
        </r>
      </text>
    </comment>
    <comment ref="A25" authorId="6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Rondonópolis</t>
        </r>
      </text>
    </comment>
    <comment ref="A26" authorId="7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Rio Verde</t>
        </r>
      </text>
    </comment>
    <comment ref="BT36" authorId="8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https://cepea.esalq.usp.br/br/indicador/boi-gordo.aspx</t>
        </r>
      </text>
    </comment>
    <comment ref="F41" authorId="9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Óleo de palma - Vila Nova</t>
        </r>
      </text>
    </comment>
    <comment ref="AH41" authorId="1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Óleo de palma</t>
        </r>
      </text>
    </comment>
    <comment ref="BJ41" authorId="1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BBF</t>
        </r>
      </text>
    </comment>
    <comment ref="LD43" authorId="1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Oldesa (óleo de palma bruto)</t>
        </r>
      </text>
    </comment>
    <comment ref="BW45" authorId="1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https://valor.globo.com/valor-data/commodities/</t>
        </r>
      </text>
    </comment>
  </commentList>
</comments>
</file>

<file path=xl/sharedStrings.xml><?xml version="1.0" encoding="utf-8"?>
<sst xmlns="http://schemas.openxmlformats.org/spreadsheetml/2006/main" count="306" uniqueCount="184">
  <si>
    <t>Taxa Dólar</t>
  </si>
  <si>
    <t>Fonte</t>
  </si>
  <si>
    <t>Agência Nacional do Petróleo</t>
  </si>
  <si>
    <t>Banco Central do Brasil</t>
  </si>
  <si>
    <t>Informações</t>
  </si>
  <si>
    <t>R$/M3</t>
  </si>
  <si>
    <t>R$/saca de 60Kg</t>
  </si>
  <si>
    <t>Valor Econômico</t>
  </si>
  <si>
    <t>R$/ton</t>
  </si>
  <si>
    <t>US$/MT</t>
  </si>
  <si>
    <t>CME Group - chapter 1150</t>
  </si>
  <si>
    <t>CME Group - chapter 1148</t>
  </si>
  <si>
    <t>CME Group</t>
  </si>
  <si>
    <t>Safras e Mercado</t>
  </si>
  <si>
    <t>Preço do petróleo bruto Brendt spot</t>
  </si>
  <si>
    <t>FAME 0 Biodiesel FOB Rdam (Argus) (RED Compliant) vs. Gasoil Futures spot</t>
  </si>
  <si>
    <t>Preço spot</t>
  </si>
  <si>
    <t>US$/ton curta</t>
  </si>
  <si>
    <t>US$/ton</t>
  </si>
  <si>
    <t>Óleo de Soja Chicago (pontos)</t>
  </si>
  <si>
    <t>Preço do petróleo bruto Brendt spot multiplicado por 7,33</t>
  </si>
  <si>
    <t>US$/barril</t>
  </si>
  <si>
    <t>pontos</t>
  </si>
  <si>
    <t>Pontos no fechamento da CBOT</t>
  </si>
  <si>
    <t>Pontos no fechamento da CBOT multiplicado por 0,220462</t>
  </si>
  <si>
    <t>Prêmio de venda de óleo de soja em Rio Grande</t>
  </si>
  <si>
    <t>Valor do óleo de soja RIG de acordo com o dólar do dia</t>
  </si>
  <si>
    <t>Pontos no fechamento da CBOT convertidos pela calculadora do Safrasnet</t>
  </si>
  <si>
    <t>Preço do óleo de soja local de acordo com o dólar do dia</t>
  </si>
  <si>
    <t>US$/saca de 60kg</t>
  </si>
  <si>
    <t>ESALQ</t>
  </si>
  <si>
    <t>Média ponderada do boi gordo no Estado de São Paulo</t>
  </si>
  <si>
    <t>R$/arroba</t>
  </si>
  <si>
    <t>Múltiplo OV/Brendt</t>
  </si>
  <si>
    <t>Média boi gordo RS à vista</t>
  </si>
  <si>
    <t>Óleo de palma bruto/Malásia CIF Roterdam spot</t>
  </si>
  <si>
    <t>Múltiplo OV Cbot/Brendt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</si>
  <si>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</si>
  <si>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</si>
  <si>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</si>
  <si>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</si>
  <si>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</si>
  <si>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</si>
  <si>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</si>
  <si>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</si>
  <si>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</si>
  <si>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</si>
  <si>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</si>
  <si>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</si>
  <si>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</si>
  <si>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</si>
  <si>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</si>
  <si>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</si>
  <si>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</si>
  <si>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</si>
  <si>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</si>
  <si>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</si>
  <si>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</si>
  <si>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</si>
  <si>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</si>
  <si>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</si>
  <si>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</si>
  <si>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</si>
  <si>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</si>
  <si>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</si>
  <si>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</si>
  <si>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</si>
  <si>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</si>
  <si>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</si>
  <si>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</si>
  <si>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</si>
  <si>
    <t>BR Soluções</t>
  </si>
  <si>
    <t>Petróleo Brendt (US$/barril)</t>
  </si>
  <si>
    <t>Petróleo Brendt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</si>
  <si>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</si>
  <si>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</si>
  <si>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</si>
  <si>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</si>
  <si>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</si>
  <si>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(US$/ton)</t>
  </si>
  <si>
    <t>Prêmio Exportação RIG (pontos)</t>
  </si>
  <si>
    <t>Óleo de Soja FOB RIG (US$/ton)</t>
  </si>
  <si>
    <t>Óleo de Soja FOB RIG (R$/ton)</t>
  </si>
  <si>
    <t>Prêmio Exportação PRG (pontos)</t>
  </si>
  <si>
    <t>Óleo de Soja FOB PRG (US$/ton)</t>
  </si>
  <si>
    <t>Óleo de Soja FOB PRG (R$/ton)</t>
  </si>
  <si>
    <t>Soja Rio Grande do Sul (R$/saca 60kg)</t>
  </si>
  <si>
    <t>Soja Bahia (R$/saca 60kg)</t>
  </si>
  <si>
    <t>Soja Paraná (R$/saca 60kg)</t>
  </si>
  <si>
    <t>Soja Mato Grosso (R$/saca 60kg)</t>
  </si>
  <si>
    <t>Farelo Veranópolis (R$/ton)</t>
  </si>
  <si>
    <t>Óleo de Soja LEM (R$/ton)</t>
  </si>
  <si>
    <t>Boi Gordo São Paulo (R$/@)</t>
  </si>
  <si>
    <t>Boi Gordo RS (R$/@)</t>
  </si>
  <si>
    <t>Gordura Animal Safras (R$/ton)</t>
  </si>
  <si>
    <t>Gordura Animal BR Soluções (R$/ton)</t>
  </si>
  <si>
    <t>Gordura Animal Oleoplan (R$/ton)</t>
  </si>
  <si>
    <t>Gordura Animal Oleoplan Nordeste (R$/ton)</t>
  </si>
  <si>
    <t>Ácido Graxo Oleoplan (R$/ton)</t>
  </si>
  <si>
    <t>Biodiesel Oleoplan (R$/M3)</t>
  </si>
  <si>
    <t>Biodiesel Oleoplan Nordeste (R$/M3)</t>
  </si>
  <si>
    <t>Óleo de Soja CIF Veranópolis (R$/ton)</t>
  </si>
  <si>
    <t>Óleo de Soja CIF Veranópolis (US$/ton)</t>
  </si>
  <si>
    <t>Variação Óleo de Soja CIF Veranópolis</t>
  </si>
  <si>
    <t>Fórmula</t>
  </si>
  <si>
    <t>Prêmio de venda de óleo de soja em Paranaguá</t>
  </si>
  <si>
    <t>Valor do óleo de soja PRG de acordo com o dólar do dia</t>
  </si>
  <si>
    <t>Soma dos pontos de CBOT com o prêmio PRG multiplicado por 0,220462</t>
  </si>
  <si>
    <t>Soma dos pontos de CBOT com o prêmio RIG multiplicado por 0,220462</t>
  </si>
  <si>
    <t>R$/US$</t>
  </si>
  <si>
    <t xml:space="preserve">Soja em grão à granel, CIF Barreiras-BA </t>
  </si>
  <si>
    <t>Soja em grão à granel, FOB Passo Fundo-RS</t>
  </si>
  <si>
    <t>Soja em grão à granel, FOB Ponta Grossa-PR</t>
  </si>
  <si>
    <t>Soja em grão à granel, FOB Rondonopolis-MT</t>
  </si>
  <si>
    <t>Comercial Soja</t>
  </si>
  <si>
    <t>Preço de venda do farelo do dia da Oleoplan</t>
  </si>
  <si>
    <t>Preço de compra/cotação do óleo do dia da Oleoplan</t>
  </si>
  <si>
    <t>ICMS diferido, Barreiras-BA</t>
  </si>
  <si>
    <t>ICMS diferido, CIF São Paulo-SP</t>
  </si>
  <si>
    <t>ICMS 12%, CIF São Paulo-SP 30 dd</t>
  </si>
  <si>
    <t>Comercial Biodiesel</t>
  </si>
  <si>
    <t>Preço médio homologado pela ANP para Veranópolis</t>
  </si>
  <si>
    <t>Preço médio homologado pela ANP para Iraquara</t>
  </si>
  <si>
    <t>%</t>
  </si>
  <si>
    <t>Variação diária do preço do OVD Veranópolis</t>
  </si>
  <si>
    <t>número</t>
  </si>
  <si>
    <t>Prêmio Exportação RIG (US$/ton)</t>
  </si>
  <si>
    <t>Pontos do prêmio exportação RIG multiplicado por 0,220462</t>
  </si>
  <si>
    <t>Relação entre OV CBOT e Brendt barril - quanto mais perto de 7 mais indicada é a compra</t>
  </si>
  <si>
    <t>Relação entre OV Veranópolis e Brendt barril - quanto mais perto de 7 mais indicada é a compra</t>
  </si>
  <si>
    <t>Variável</t>
  </si>
  <si>
    <t>Óleo de Soja Cuiabá (R$/ton)</t>
  </si>
  <si>
    <t>Óleo de Soja Rio Verde (R$/ton)</t>
  </si>
  <si>
    <t>Óleo de soja bruto, FOB, sem PIS/COFINS, 7% ICMS</t>
  </si>
  <si>
    <t>Óleo de soja bruto, FOB, sem PIS/COFINS, s/ ICMS</t>
  </si>
  <si>
    <t>http://www.valor.com.br/valor-data/commodities/minerais</t>
  </si>
  <si>
    <t>Link</t>
  </si>
  <si>
    <t>http://www.valor.com.br/valor-data/commodities/agricolas</t>
  </si>
  <si>
    <t>http://www.bcb.gov.br/pt-br/paginas/default.aspx</t>
  </si>
  <si>
    <t>Média Ptax's do dia</t>
  </si>
  <si>
    <t>http://cepea.esalq.usp.br/boi/</t>
  </si>
  <si>
    <t>http://www.safras.com.br/safrasprodutos/Safrasnet.aspx</t>
  </si>
  <si>
    <t>Log in: vendas@oleoplan.com.br; Senha: 741109; Diretório: Boi/Cotações de preços físicos</t>
  </si>
  <si>
    <t>Log in: vendas@oleoplan.com.br; Senha: 741109; Diretório: Boi/Informativo Diário</t>
  </si>
  <si>
    <t>Log in: vendas@oleoplan.com.br; Senha: 741109; Diretório: Soja/Informativo Diário Óleo</t>
  </si>
  <si>
    <t>Log in: vendas@oleoplan.com.br; Senha: 741109; Diretório: Soja/Informativo Diário Soja</t>
  </si>
  <si>
    <t>Log in: vendas@oleoplan.com.br; Senha: 741109; Diretório: Soja/Informativo Diário Soja (transformar os pontos em dólares por meio da Conversão de Unidades Agrícolas)</t>
  </si>
  <si>
    <t>Petróleo Brent (US$/barril)</t>
  </si>
  <si>
    <t>Média Móvel</t>
  </si>
  <si>
    <t>View All Energy Products</t>
  </si>
  <si>
    <t>RME Biodiesel FOB Rdam (Argus) (RED Compliant) vs. Low Sulphur Gasoil Futures</t>
  </si>
  <si>
    <t>Valor de venda</t>
  </si>
  <si>
    <t>European Low Sulphur Gasoil Bullet Futures</t>
  </si>
  <si>
    <t>Ácido Graxo Oleoplan Nordeste (R$/ton)</t>
  </si>
  <si>
    <t>Soja Goiás (R$/saca 60kg)</t>
  </si>
  <si>
    <t>Soja em grão à granel, CIF Rio Verde-GO</t>
  </si>
  <si>
    <t>Formato</t>
  </si>
  <si>
    <t>http://www.cmegroup.com/europe/products/energy/biofuels/european-gasoil-ice-calendar-future_quotes_settlements_futures.html?sector=AGRICULTURE&amp;clearingCode=0B</t>
  </si>
  <si>
    <t>Log in: vendas@oleoplan.com.br; Senha: 741109; Diretório: Soja/Informativo Diário Óleo Soja</t>
  </si>
  <si>
    <t/>
  </si>
  <si>
    <t>Óleo de Palma Bolsa CIF Rotterdam (US$/ton)</t>
  </si>
  <si>
    <t>Petróleo Brent (US$/ton)</t>
  </si>
  <si>
    <t>http://www.cmegroup.com/europe/products/energy/biofuels/european-fame-0-biodiesel-fob-ara-red-compliant-argus-vs-european-gasoil-ice-spread-calendar-futures.html_quotes_settlements_futures.html</t>
  </si>
  <si>
    <t>http://www.cmegroup.com/europe/products/energy/biofuels/european-rme-biodiesel-fob-ara-red-compliant-argus-vs-european-gasoil-ice-spread-calendar-futures.html_quotes_settlements_futures.html</t>
  </si>
  <si>
    <t>compra</t>
  </si>
  <si>
    <t>Custo efetivo recomp das compras de GA do dia para Veranópolis</t>
  </si>
  <si>
    <t>Custo efetivo recomp das compras de GA do dia para Iraquara</t>
  </si>
  <si>
    <t>Custo efetivo recomp das compras de AG do dia para Veranópolis</t>
  </si>
  <si>
    <t>A partir do dia 15/12/2016, essa informação passou a ser pega da página do investing.com [http://br.investing.com/commodities/brent-oil]</t>
  </si>
  <si>
    <t>A partir do dia 15/12/2016, essa informação passou a ser pega da página de outra página do site do Valor Econômico [http://www.valor.com.br/valor-data/tabela/5846/oleo-vegetal]</t>
  </si>
  <si>
    <t>Biodiesel Oleoplan (R$/m³)</t>
  </si>
  <si>
    <t>Biodiesel Oleoplan Nordeste (R$/m³)</t>
  </si>
  <si>
    <t>Prêmio RME (US$/mt)</t>
  </si>
  <si>
    <t>FAME Biodiesel (US$/mt)</t>
  </si>
  <si>
    <t>Gasoil (US$/mt)</t>
  </si>
  <si>
    <t>Óleo de Palma Bruto (US$/ton)</t>
  </si>
  <si>
    <t>MP AA Oleoplan (R$/ton)</t>
  </si>
  <si>
    <t>MP AA Oleoplan Nordeste (R$/ton)</t>
  </si>
  <si>
    <t>MP AG Oleoplan (R$/ton)</t>
  </si>
  <si>
    <t>MP AG Oleoplan Nordeste (R$/ton)</t>
  </si>
  <si>
    <t>Boi Gordo PA Redenção (R$/@)</t>
  </si>
  <si>
    <t>Boi Gordo RO Cacoal (R$/@)</t>
  </si>
  <si>
    <t>Boi Gordo SP (R$/@)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</si>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</sst>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_-[$€-2]\ * #,##0.00_-;\-[$€-2]\ * #,##0.00_-;_-[$€-2]\ * &quot;-&quot;??_-;_-@_-"/>
    <numFmt numFmtId="169" formatCode="_-* #,##0_-;\-* #,##0_-;_-* &quot;-&quot;??_-;_-@_-"/>
    <numFmt numFmtId="170" formatCode="_-* #,##0.00\ _R_$_-;\-* #,##0.00\ _R_$_-;_-* \-??\ _R_$_-;_-@_-"/>
    <numFmt numFmtId="171" formatCode="_-[$R$-416]\ * #,##0_-;\-[$R$-416]\ * #,##0_-;_-[$R$-416]\ 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5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40" borderId="0" applyNumberFormat="0" applyBorder="0" applyAlignment="0" applyProtection="0"/>
    <xf numFmtId="0" fontId="24" fillId="52" borderId="18" applyNumberFormat="0" applyAlignment="0" applyProtection="0"/>
    <xf numFmtId="0" fontId="25" fillId="53" borderId="19" applyNumberFormat="0" applyAlignment="0" applyProtection="0"/>
    <xf numFmtId="0" fontId="26" fillId="0" borderId="20" applyNumberFormat="0" applyFill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7" borderId="0" applyNumberFormat="0" applyBorder="0" applyAlignment="0" applyProtection="0"/>
    <xf numFmtId="0" fontId="27" fillId="43" borderId="18" applyNumberFormat="0" applyAlignment="0" applyProtection="0"/>
    <xf numFmtId="0" fontId="28" fillId="39" borderId="0" applyNumberFormat="0" applyBorder="0" applyAlignment="0" applyProtection="0"/>
    <xf numFmtId="164" fontId="1" fillId="0" borderId="0" applyFont="0" applyFill="0" applyBorder="0" applyAlignment="0" applyProtection="0"/>
    <xf numFmtId="0" fontId="29" fillId="58" borderId="0" applyNumberFormat="0" applyBorder="0" applyAlignment="0" applyProtection="0"/>
    <xf numFmtId="0" fontId="18" fillId="0" borderId="0"/>
    <xf numFmtId="0" fontId="1" fillId="0" borderId="0"/>
    <xf numFmtId="0" fontId="18" fillId="59" borderId="21" applyNumberFormat="0" applyAlignment="0" applyProtection="0"/>
    <xf numFmtId="9" fontId="18" fillId="0" borderId="0" applyFill="0" applyBorder="0" applyAlignment="0" applyProtection="0"/>
    <xf numFmtId="0" fontId="30" fillId="52" borderId="22" applyNumberFormat="0" applyAlignment="0" applyProtection="0"/>
    <xf numFmtId="165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6" applyNumberFormat="0" applyFill="0" applyAlignment="0" applyProtection="0"/>
    <xf numFmtId="170" fontId="18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13" fillId="34" borderId="0" xfId="0" applyFont="1" applyFill="1"/>
    <xf numFmtId="0" fontId="0" fillId="33" borderId="0" xfId="0" applyFill="1"/>
    <xf numFmtId="0" fontId="20" fillId="33" borderId="0" xfId="46" applyFill="1"/>
    <xf numFmtId="0" fontId="20" fillId="0" borderId="0" xfId="46"/>
    <xf numFmtId="0" fontId="0" fillId="37" borderId="0" xfId="0" applyFill="1"/>
    <xf numFmtId="165" fontId="0" fillId="37" borderId="0" xfId="45" applyFont="1" applyFill="1"/>
    <xf numFmtId="0" fontId="0" fillId="37" borderId="10" xfId="0" applyFill="1" applyBorder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7" borderId="11" xfId="0" applyFill="1" applyBorder="1" applyAlignment="1">
      <alignment vertical="center" wrapText="1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39" fillId="35" borderId="0" xfId="0" applyFont="1" applyFill="1" applyAlignment="1">
      <alignment horizontal="center" vertical="center" wrapText="1"/>
    </xf>
    <xf numFmtId="16" fontId="40" fillId="35" borderId="0" xfId="0" applyNumberFormat="1" applyFont="1" applyFill="1" applyAlignment="1">
      <alignment horizontal="center" vertical="center"/>
    </xf>
    <xf numFmtId="0" fontId="40" fillId="36" borderId="0" xfId="0" applyFont="1" applyFill="1"/>
    <xf numFmtId="166" fontId="40" fillId="0" borderId="0" xfId="0" applyNumberFormat="1" applyFont="1"/>
    <xf numFmtId="0" fontId="40" fillId="35" borderId="0" xfId="0" applyFont="1" applyFill="1"/>
    <xf numFmtId="0" fontId="40" fillId="36" borderId="0" xfId="45" applyNumberFormat="1" applyFont="1" applyFill="1"/>
    <xf numFmtId="169" fontId="40" fillId="36" borderId="0" xfId="45" applyNumberFormat="1" applyFont="1" applyFill="1"/>
    <xf numFmtId="167" fontId="40" fillId="36" borderId="0" xfId="45" applyNumberFormat="1" applyFont="1" applyFill="1"/>
    <xf numFmtId="167" fontId="40" fillId="36" borderId="0" xfId="0" applyNumberFormat="1" applyFont="1" applyFill="1"/>
    <xf numFmtId="167" fontId="40" fillId="36" borderId="0" xfId="44" applyNumberFormat="1" applyFont="1" applyFill="1"/>
    <xf numFmtId="167" fontId="40" fillId="35" borderId="0" xfId="0" applyNumberFormat="1" applyFont="1" applyFill="1"/>
    <xf numFmtId="0" fontId="40" fillId="36" borderId="0" xfId="44" applyNumberFormat="1" applyFont="1" applyFill="1"/>
    <xf numFmtId="165" fontId="40" fillId="36" borderId="0" xfId="45" applyFont="1" applyFill="1"/>
    <xf numFmtId="167" fontId="40" fillId="0" borderId="0" xfId="44" applyNumberFormat="1" applyFont="1"/>
    <xf numFmtId="167" fontId="40" fillId="0" borderId="0" xfId="0" applyNumberFormat="1" applyFont="1"/>
    <xf numFmtId="166" fontId="40" fillId="36" borderId="0" xfId="44" applyNumberFormat="1" applyFont="1" applyFill="1"/>
    <xf numFmtId="168" fontId="40" fillId="35" borderId="0" xfId="0" applyNumberFormat="1" applyFont="1" applyFill="1"/>
    <xf numFmtId="164" fontId="40" fillId="36" borderId="0" xfId="1" applyFont="1" applyFill="1"/>
    <xf numFmtId="2" fontId="0" fillId="37" borderId="0" xfId="0" applyNumberFormat="1" applyFill="1"/>
    <xf numFmtId="0" fontId="0" fillId="36" borderId="0" xfId="44" applyNumberFormat="1" applyFont="1" applyFill="1"/>
    <xf numFmtId="0" fontId="40" fillId="37" borderId="0" xfId="0" applyFont="1" applyFill="1"/>
    <xf numFmtId="166" fontId="40" fillId="37" borderId="0" xfId="1" applyNumberFormat="1" applyFont="1" applyFill="1"/>
    <xf numFmtId="0" fontId="40" fillId="37" borderId="0" xfId="45" applyNumberFormat="1" applyFont="1" applyFill="1"/>
    <xf numFmtId="169" fontId="40" fillId="37" borderId="0" xfId="45" applyNumberFormat="1" applyFont="1" applyFill="1"/>
    <xf numFmtId="166" fontId="40" fillId="37" borderId="0" xfId="0" applyNumberFormat="1" applyFont="1" applyFill="1"/>
    <xf numFmtId="166" fontId="40" fillId="37" borderId="0" xfId="45" applyNumberFormat="1" applyFont="1" applyFill="1"/>
    <xf numFmtId="167" fontId="40" fillId="37" borderId="0" xfId="0" applyNumberFormat="1" applyFont="1" applyFill="1"/>
    <xf numFmtId="0" fontId="40" fillId="37" borderId="0" xfId="44" applyNumberFormat="1" applyFont="1" applyFill="1"/>
    <xf numFmtId="167" fontId="40" fillId="37" borderId="0" xfId="44" applyNumberFormat="1" applyFont="1" applyFill="1"/>
    <xf numFmtId="0" fontId="40" fillId="37" borderId="0" xfId="44" applyNumberFormat="1" applyFont="1" applyFill="1" applyAlignment="1">
      <alignment horizontal="left"/>
    </xf>
    <xf numFmtId="166" fontId="40" fillId="37" borderId="0" xfId="44" applyNumberFormat="1" applyFont="1" applyFill="1"/>
    <xf numFmtId="10" fontId="40" fillId="37" borderId="0" xfId="44" applyNumberFormat="1" applyFont="1" applyFill="1"/>
    <xf numFmtId="0" fontId="0" fillId="37" borderId="0" xfId="44" applyNumberFormat="1" applyFont="1" applyFill="1"/>
    <xf numFmtId="164" fontId="40" fillId="37" borderId="0" xfId="1" applyFont="1" applyFill="1"/>
    <xf numFmtId="166" fontId="40" fillId="0" borderId="0" xfId="45" applyNumberFormat="1" applyFont="1"/>
    <xf numFmtId="169" fontId="40" fillId="0" borderId="0" xfId="45" applyNumberFormat="1" applyFont="1"/>
    <xf numFmtId="166" fontId="40" fillId="0" borderId="0" xfId="1" applyNumberFormat="1" applyFont="1"/>
    <xf numFmtId="167" fontId="40" fillId="0" borderId="0" xfId="45" applyNumberFormat="1" applyFont="1"/>
    <xf numFmtId="166" fontId="0" fillId="37" borderId="0" xfId="45" applyNumberFormat="1" applyFont="1" applyFill="1"/>
    <xf numFmtId="167" fontId="1" fillId="37" borderId="0" xfId="44" applyNumberFormat="1" applyFill="1"/>
    <xf numFmtId="166" fontId="0" fillId="37" borderId="0" xfId="0" applyNumberFormat="1" applyFill="1"/>
    <xf numFmtId="166" fontId="0" fillId="0" borderId="0" xfId="0" applyNumberFormat="1"/>
    <xf numFmtId="169" fontId="0" fillId="37" borderId="0" xfId="45" applyNumberFormat="1" applyFont="1" applyFill="1"/>
    <xf numFmtId="166" fontId="0" fillId="36" borderId="0" xfId="45" applyNumberFormat="1" applyFont="1" applyFill="1"/>
    <xf numFmtId="167" fontId="0" fillId="36" borderId="0" xfId="44" applyNumberFormat="1" applyFont="1" applyFill="1"/>
    <xf numFmtId="167" fontId="0" fillId="37" borderId="0" xfId="0" applyNumberFormat="1" applyFill="1"/>
    <xf numFmtId="167" fontId="0" fillId="35" borderId="0" xfId="0" applyNumberFormat="1" applyFill="1"/>
    <xf numFmtId="167" fontId="0" fillId="36" borderId="0" xfId="0" applyNumberFormat="1" applyFill="1"/>
    <xf numFmtId="167" fontId="0" fillId="37" borderId="0" xfId="44" applyNumberFormat="1" applyFont="1" applyFill="1"/>
    <xf numFmtId="166" fontId="0" fillId="36" borderId="0" xfId="44" applyNumberFormat="1" applyFont="1" applyFill="1"/>
    <xf numFmtId="168" fontId="0" fillId="35" borderId="0" xfId="0" applyNumberFormat="1" applyFill="1"/>
    <xf numFmtId="0" fontId="0" fillId="35" borderId="0" xfId="0" applyFill="1"/>
    <xf numFmtId="166" fontId="0" fillId="0" borderId="0" xfId="45" applyNumberFormat="1" applyFont="1"/>
    <xf numFmtId="169" fontId="0" fillId="0" borderId="0" xfId="45" applyNumberFormat="1" applyFont="1"/>
    <xf numFmtId="166" fontId="0" fillId="0" borderId="0" xfId="1" applyNumberFormat="1" applyFont="1"/>
    <xf numFmtId="167" fontId="0" fillId="0" borderId="0" xfId="45" applyNumberFormat="1" applyFont="1"/>
    <xf numFmtId="167" fontId="0" fillId="0" borderId="0" xfId="44" applyNumberFormat="1" applyFont="1"/>
    <xf numFmtId="167" fontId="0" fillId="0" borderId="0" xfId="0" applyNumberFormat="1"/>
    <xf numFmtId="0" fontId="0" fillId="36" borderId="0" xfId="0" applyFill="1"/>
    <xf numFmtId="167" fontId="1" fillId="36" borderId="0" xfId="44" applyNumberFormat="1" applyFill="1"/>
    <xf numFmtId="167" fontId="1" fillId="36" borderId="0" xfId="44" applyNumberFormat="1" applyFont="1" applyFill="1"/>
    <xf numFmtId="167" fontId="1" fillId="37" borderId="0" xfId="44" applyNumberFormat="1" applyFont="1" applyFill="1"/>
    <xf numFmtId="166" fontId="1" fillId="37" borderId="0" xfId="44" applyNumberFormat="1" applyFont="1" applyFill="1"/>
    <xf numFmtId="166" fontId="0" fillId="36" borderId="0" xfId="0" applyNumberFormat="1" applyFont="1" applyFill="1"/>
    <xf numFmtId="166" fontId="14" fillId="36" borderId="0" xfId="44" applyNumberFormat="1" applyFont="1" applyFill="1"/>
    <xf numFmtId="166" fontId="1" fillId="36" borderId="0" xfId="44" applyNumberFormat="1" applyFont="1" applyFill="1"/>
    <xf numFmtId="0" fontId="0" fillId="36" borderId="0" xfId="0" applyFont="1" applyFill="1"/>
    <xf numFmtId="0" fontId="0" fillId="0" borderId="0" xfId="0" applyFont="1"/>
    <xf numFmtId="0" fontId="0" fillId="37" borderId="0" xfId="0" applyFont="1" applyFill="1"/>
    <xf numFmtId="166" fontId="0" fillId="37" borderId="0" xfId="0" applyNumberFormat="1" applyFont="1" applyFill="1"/>
    <xf numFmtId="166" fontId="0" fillId="0" borderId="0" xfId="0" applyNumberFormat="1" applyFont="1"/>
    <xf numFmtId="0" fontId="0" fillId="35" borderId="0" xfId="0" applyFont="1" applyFill="1"/>
    <xf numFmtId="166" fontId="0" fillId="35" borderId="0" xfId="0" applyNumberFormat="1" applyFont="1" applyFill="1"/>
    <xf numFmtId="0" fontId="0" fillId="37" borderId="0" xfId="45" applyNumberFormat="1" applyFont="1" applyFill="1"/>
    <xf numFmtId="167" fontId="0" fillId="36" borderId="0" xfId="0" applyNumberFormat="1" applyFont="1" applyFill="1"/>
    <xf numFmtId="167" fontId="0" fillId="37" borderId="0" xfId="0" applyNumberFormat="1" applyFont="1" applyFill="1"/>
    <xf numFmtId="166" fontId="14" fillId="36" borderId="0" xfId="0" applyNumberFormat="1" applyFont="1" applyFill="1"/>
    <xf numFmtId="167" fontId="14" fillId="37" borderId="0" xfId="44" applyNumberFormat="1" applyFont="1" applyFill="1"/>
    <xf numFmtId="167" fontId="14" fillId="36" borderId="0" xfId="44" applyNumberFormat="1" applyFont="1" applyFill="1"/>
    <xf numFmtId="167" fontId="41" fillId="37" borderId="0" xfId="44" applyNumberFormat="1" applyFont="1" applyFill="1"/>
    <xf numFmtId="167" fontId="41" fillId="36" borderId="0" xfId="44" applyNumberFormat="1" applyFont="1" applyFill="1"/>
    <xf numFmtId="16" fontId="0" fillId="35" borderId="0" xfId="0" applyNumberFormat="1" applyFont="1" applyFill="1" applyAlignment="1">
      <alignment horizontal="center" vertical="center"/>
    </xf>
    <xf numFmtId="169" fontId="0" fillId="36" borderId="0" xfId="45" applyNumberFormat="1" applyFont="1" applyFill="1"/>
    <xf numFmtId="166" fontId="0" fillId="37" borderId="0" xfId="1" applyNumberFormat="1" applyFont="1" applyFill="1"/>
    <xf numFmtId="167" fontId="0" fillId="36" borderId="0" xfId="45" applyNumberFormat="1" applyFont="1" applyFill="1"/>
    <xf numFmtId="167" fontId="0" fillId="35" borderId="0" xfId="0" applyNumberFormat="1" applyFont="1" applyFill="1"/>
    <xf numFmtId="166" fontId="0" fillId="37" borderId="0" xfId="44" applyNumberFormat="1" applyFont="1" applyFill="1"/>
    <xf numFmtId="165" fontId="0" fillId="36" borderId="0" xfId="45" applyFont="1" applyFill="1"/>
    <xf numFmtId="10" fontId="0" fillId="37" borderId="0" xfId="44" applyNumberFormat="1" applyFont="1" applyFill="1"/>
    <xf numFmtId="171" fontId="40" fillId="36" borderId="0" xfId="44" applyNumberFormat="1" applyFont="1" applyFill="1"/>
    <xf numFmtId="164" fontId="40" fillId="37" borderId="0" xfId="1" applyNumberFormat="1" applyFont="1" applyFill="1"/>
    <xf numFmtId="164" fontId="40" fillId="36" borderId="0" xfId="1" applyNumberFormat="1" applyFont="1" applyFill="1"/>
    <xf numFmtId="44" fontId="40" fillId="36" borderId="0" xfId="44" applyNumberFormat="1" applyFont="1" applyFill="1"/>
    <xf numFmtId="166" fontId="41" fillId="36" borderId="0" xfId="44" applyNumberFormat="1" applyFont="1" applyFill="1"/>
    <xf numFmtId="0" fontId="16" fillId="36" borderId="15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</cellXfs>
  <cellStyles count="443">
    <cellStyle name="20% - Ênfase1" xfId="20" builtinId="30" customBuiltin="1"/>
    <cellStyle name="20% - Ênfase1 2" xfId="49"/>
    <cellStyle name="20% - Ênfase2" xfId="24" builtinId="34" customBuiltin="1"/>
    <cellStyle name="20% - Ênfase2 2" xfId="50"/>
    <cellStyle name="20% - Ênfase3" xfId="28" builtinId="38" customBuiltin="1"/>
    <cellStyle name="20% - Ênfase3 2" xfId="51"/>
    <cellStyle name="20% - Ênfase4" xfId="32" builtinId="42" customBuiltin="1"/>
    <cellStyle name="20% - Ênfase4 2" xfId="52"/>
    <cellStyle name="20% - Ênfase5" xfId="36" builtinId="46" customBuiltin="1"/>
    <cellStyle name="20% - Ênfase5 2" xfId="53"/>
    <cellStyle name="20% - Ênfase6" xfId="40" builtinId="50" customBuiltin="1"/>
    <cellStyle name="20% - Ênfase6 2" xfId="54"/>
    <cellStyle name="40% - Ênfase1" xfId="21" builtinId="31" customBuiltin="1"/>
    <cellStyle name="40% - Ênfase1 2" xfId="55"/>
    <cellStyle name="40% - Ênfase2" xfId="25" builtinId="35" customBuiltin="1"/>
    <cellStyle name="40% - Ênfase2 2" xfId="56"/>
    <cellStyle name="40% - Ênfase3" xfId="29" builtinId="39" customBuiltin="1"/>
    <cellStyle name="40% - Ênfase3 2" xfId="57"/>
    <cellStyle name="40% - Ênfase4" xfId="33" builtinId="43" customBuiltin="1"/>
    <cellStyle name="40% - Ênfase4 2" xfId="58"/>
    <cellStyle name="40% - Ênfase5" xfId="37" builtinId="47" customBuiltin="1"/>
    <cellStyle name="40% - Ênfase5 2" xfId="59"/>
    <cellStyle name="40% - Ênfase6" xfId="41" builtinId="51" customBuiltin="1"/>
    <cellStyle name="40% - Ênfase6 2" xfId="60"/>
    <cellStyle name="60% - Ênfase1" xfId="22" builtinId="32" customBuiltin="1"/>
    <cellStyle name="60% - Ênfase1 2" xfId="61"/>
    <cellStyle name="60% - Ênfase2" xfId="26" builtinId="36" customBuiltin="1"/>
    <cellStyle name="60% - Ênfase2 2" xfId="62"/>
    <cellStyle name="60% - Ênfase3" xfId="30" builtinId="40" customBuiltin="1"/>
    <cellStyle name="60% - Ênfase3 2" xfId="63"/>
    <cellStyle name="60% - Ênfase4" xfId="34" builtinId="44" customBuiltin="1"/>
    <cellStyle name="60% - Ênfase4 2" xfId="64"/>
    <cellStyle name="60% - Ênfase5" xfId="38" builtinId="48" customBuiltin="1"/>
    <cellStyle name="60% - Ênfase5 2" xfId="65"/>
    <cellStyle name="60% - Ênfase6" xfId="42" builtinId="52" customBuiltin="1"/>
    <cellStyle name="60% - Ênfase6 2" xfId="66"/>
    <cellStyle name="Bom" xfId="7" builtinId="26" customBuiltin="1"/>
    <cellStyle name="Bom 2" xfId="67"/>
    <cellStyle name="Cálculo" xfId="12" builtinId="22" customBuiltin="1"/>
    <cellStyle name="Cálculo 2" xfId="68"/>
    <cellStyle name="Célula de Verificação" xfId="14" builtinId="23" customBuiltin="1"/>
    <cellStyle name="Célula de Verificação 2" xfId="69"/>
    <cellStyle name="Célula Vinculada" xfId="13" builtinId="24" customBuiltin="1"/>
    <cellStyle name="Célula Vinculada 2" xfId="70"/>
    <cellStyle name="Ênfase1" xfId="19" builtinId="29" customBuiltin="1"/>
    <cellStyle name="Ênfase1 2" xfId="71"/>
    <cellStyle name="Ênfase2" xfId="23" builtinId="33" customBuiltin="1"/>
    <cellStyle name="Ênfase2 2" xfId="72"/>
    <cellStyle name="Ênfase3" xfId="27" builtinId="37" customBuiltin="1"/>
    <cellStyle name="Ênfase3 2" xfId="73"/>
    <cellStyle name="Ênfase4" xfId="31" builtinId="41" customBuiltin="1"/>
    <cellStyle name="Ênfase4 2" xfId="74"/>
    <cellStyle name="Ênfase5" xfId="35" builtinId="45" customBuiltin="1"/>
    <cellStyle name="Ênfase5 2" xfId="75"/>
    <cellStyle name="Ênfase6" xfId="39" builtinId="49" customBuiltin="1"/>
    <cellStyle name="Ênfase6 2" xfId="76"/>
    <cellStyle name="Entrada" xfId="10" builtinId="20" customBuiltin="1"/>
    <cellStyle name="Entrada 2" xfId="77"/>
    <cellStyle name="Hiperlink" xfId="46" builtinId="8"/>
    <cellStyle name="Incorreto" xfId="8" builtinId="27" customBuiltin="1"/>
    <cellStyle name="Incorreto 2" xfId="78"/>
    <cellStyle name="Moeda" xfId="1" builtinId="4"/>
    <cellStyle name="Moeda 10" xfId="123"/>
    <cellStyle name="Moeda 10 2" xfId="274"/>
    <cellStyle name="Moeda 11" xfId="127"/>
    <cellStyle name="Moeda 11 2" xfId="278"/>
    <cellStyle name="Moeda 12" xfId="131"/>
    <cellStyle name="Moeda 12 2" xfId="282"/>
    <cellStyle name="Moeda 13" xfId="135"/>
    <cellStyle name="Moeda 13 2" xfId="286"/>
    <cellStyle name="Moeda 14" xfId="139"/>
    <cellStyle name="Moeda 14 2" xfId="290"/>
    <cellStyle name="Moeda 15" xfId="143"/>
    <cellStyle name="Moeda 15 2" xfId="294"/>
    <cellStyle name="Moeda 16" xfId="147"/>
    <cellStyle name="Moeda 16 2" xfId="298"/>
    <cellStyle name="Moeda 17" xfId="151"/>
    <cellStyle name="Moeda 17 2" xfId="302"/>
    <cellStyle name="Moeda 18" xfId="155"/>
    <cellStyle name="Moeda 18 2" xfId="306"/>
    <cellStyle name="Moeda 19" xfId="159"/>
    <cellStyle name="Moeda 19 2" xfId="310"/>
    <cellStyle name="Moeda 2" xfId="79"/>
    <cellStyle name="Moeda 2 10" xfId="132"/>
    <cellStyle name="Moeda 2 10 2" xfId="283"/>
    <cellStyle name="Moeda 2 11" xfId="136"/>
    <cellStyle name="Moeda 2 11 2" xfId="287"/>
    <cellStyle name="Moeda 2 12" xfId="140"/>
    <cellStyle name="Moeda 2 12 2" xfId="291"/>
    <cellStyle name="Moeda 2 13" xfId="144"/>
    <cellStyle name="Moeda 2 13 2" xfId="295"/>
    <cellStyle name="Moeda 2 14" xfId="148"/>
    <cellStyle name="Moeda 2 14 2" xfId="299"/>
    <cellStyle name="Moeda 2 15" xfId="152"/>
    <cellStyle name="Moeda 2 15 2" xfId="303"/>
    <cellStyle name="Moeda 2 16" xfId="156"/>
    <cellStyle name="Moeda 2 16 2" xfId="307"/>
    <cellStyle name="Moeda 2 17" xfId="160"/>
    <cellStyle name="Moeda 2 17 2" xfId="311"/>
    <cellStyle name="Moeda 2 18" xfId="164"/>
    <cellStyle name="Moeda 2 18 2" xfId="315"/>
    <cellStyle name="Moeda 2 19" xfId="168"/>
    <cellStyle name="Moeda 2 19 2" xfId="319"/>
    <cellStyle name="Moeda 2 2" xfId="100"/>
    <cellStyle name="Moeda 2 2 2" xfId="251"/>
    <cellStyle name="Moeda 2 2 3" xfId="405"/>
    <cellStyle name="Moeda 2 2 4" xfId="414"/>
    <cellStyle name="Moeda 2 2 5" xfId="431"/>
    <cellStyle name="Moeda 2 2 6" xfId="440"/>
    <cellStyle name="Moeda 2 20" xfId="172"/>
    <cellStyle name="Moeda 2 20 2" xfId="323"/>
    <cellStyle name="Moeda 2 21" xfId="176"/>
    <cellStyle name="Moeda 2 21 2" xfId="327"/>
    <cellStyle name="Moeda 2 22" xfId="180"/>
    <cellStyle name="Moeda 2 22 2" xfId="331"/>
    <cellStyle name="Moeda 2 23" xfId="184"/>
    <cellStyle name="Moeda 2 23 2" xfId="335"/>
    <cellStyle name="Moeda 2 24" xfId="188"/>
    <cellStyle name="Moeda 2 24 2" xfId="339"/>
    <cellStyle name="Moeda 2 25" xfId="192"/>
    <cellStyle name="Moeda 2 25 2" xfId="343"/>
    <cellStyle name="Moeda 2 26" xfId="196"/>
    <cellStyle name="Moeda 2 26 2" xfId="347"/>
    <cellStyle name="Moeda 2 27" xfId="200"/>
    <cellStyle name="Moeda 2 27 2" xfId="351"/>
    <cellStyle name="Moeda 2 28" xfId="204"/>
    <cellStyle name="Moeda 2 28 2" xfId="355"/>
    <cellStyle name="Moeda 2 29" xfId="208"/>
    <cellStyle name="Moeda 2 29 2" xfId="359"/>
    <cellStyle name="Moeda 2 3" xfId="104"/>
    <cellStyle name="Moeda 2 3 2" xfId="255"/>
    <cellStyle name="Moeda 2 30" xfId="212"/>
    <cellStyle name="Moeda 2 30 2" xfId="363"/>
    <cellStyle name="Moeda 2 31" xfId="216"/>
    <cellStyle name="Moeda 2 31 2" xfId="367"/>
    <cellStyle name="Moeda 2 32" xfId="220"/>
    <cellStyle name="Moeda 2 32 2" xfId="371"/>
    <cellStyle name="Moeda 2 33" xfId="224"/>
    <cellStyle name="Moeda 2 33 2" xfId="375"/>
    <cellStyle name="Moeda 2 34" xfId="228"/>
    <cellStyle name="Moeda 2 34 2" xfId="379"/>
    <cellStyle name="Moeda 2 35" xfId="232"/>
    <cellStyle name="Moeda 2 35 2" xfId="383"/>
    <cellStyle name="Moeda 2 36" xfId="236"/>
    <cellStyle name="Moeda 2 36 2" xfId="387"/>
    <cellStyle name="Moeda 2 37" xfId="240"/>
    <cellStyle name="Moeda 2 37 2" xfId="391"/>
    <cellStyle name="Moeda 2 38" xfId="245"/>
    <cellStyle name="Moeda 2 38 2" xfId="396"/>
    <cellStyle name="Moeda 2 39" xfId="401"/>
    <cellStyle name="Moeda 2 4" xfId="108"/>
    <cellStyle name="Moeda 2 4 2" xfId="259"/>
    <cellStyle name="Moeda 2 40" xfId="410"/>
    <cellStyle name="Moeda 2 41" xfId="418"/>
    <cellStyle name="Moeda 2 42" xfId="420"/>
    <cellStyle name="Moeda 2 43" xfId="422"/>
    <cellStyle name="Moeda 2 44" xfId="424"/>
    <cellStyle name="Moeda 2 45" xfId="427"/>
    <cellStyle name="Moeda 2 46" xfId="437"/>
    <cellStyle name="Moeda 2 5" xfId="112"/>
    <cellStyle name="Moeda 2 5 2" xfId="263"/>
    <cellStyle name="Moeda 2 6" xfId="116"/>
    <cellStyle name="Moeda 2 6 2" xfId="267"/>
    <cellStyle name="Moeda 2 7" xfId="120"/>
    <cellStyle name="Moeda 2 7 2" xfId="271"/>
    <cellStyle name="Moeda 2 8" xfId="124"/>
    <cellStyle name="Moeda 2 8 2" xfId="275"/>
    <cellStyle name="Moeda 2 9" xfId="128"/>
    <cellStyle name="Moeda 2 9 2" xfId="279"/>
    <cellStyle name="Moeda 20" xfId="163"/>
    <cellStyle name="Moeda 20 2" xfId="314"/>
    <cellStyle name="Moeda 21" xfId="167"/>
    <cellStyle name="Moeda 21 2" xfId="318"/>
    <cellStyle name="Moeda 22" xfId="171"/>
    <cellStyle name="Moeda 22 2" xfId="322"/>
    <cellStyle name="Moeda 23" xfId="175"/>
    <cellStyle name="Moeda 23 2" xfId="326"/>
    <cellStyle name="Moeda 24" xfId="179"/>
    <cellStyle name="Moeda 24 2" xfId="330"/>
    <cellStyle name="Moeda 25" xfId="183"/>
    <cellStyle name="Moeda 25 2" xfId="334"/>
    <cellStyle name="Moeda 26" xfId="187"/>
    <cellStyle name="Moeda 26 2" xfId="338"/>
    <cellStyle name="Moeda 27" xfId="191"/>
    <cellStyle name="Moeda 27 2" xfId="342"/>
    <cellStyle name="Moeda 28" xfId="195"/>
    <cellStyle name="Moeda 28 2" xfId="346"/>
    <cellStyle name="Moeda 29" xfId="199"/>
    <cellStyle name="Moeda 29 2" xfId="350"/>
    <cellStyle name="Moeda 3" xfId="48"/>
    <cellStyle name="Moeda 3 2" xfId="248"/>
    <cellStyle name="Moeda 3 3" xfId="404"/>
    <cellStyle name="Moeda 3 4" xfId="413"/>
    <cellStyle name="Moeda 3 5" xfId="430"/>
    <cellStyle name="Moeda 3 6" xfId="439"/>
    <cellStyle name="Moeda 30" xfId="203"/>
    <cellStyle name="Moeda 30 2" xfId="354"/>
    <cellStyle name="Moeda 31" xfId="207"/>
    <cellStyle name="Moeda 31 2" xfId="358"/>
    <cellStyle name="Moeda 32" xfId="211"/>
    <cellStyle name="Moeda 32 2" xfId="362"/>
    <cellStyle name="Moeda 33" xfId="215"/>
    <cellStyle name="Moeda 33 2" xfId="366"/>
    <cellStyle name="Moeda 34" xfId="219"/>
    <cellStyle name="Moeda 34 2" xfId="370"/>
    <cellStyle name="Moeda 35" xfId="223"/>
    <cellStyle name="Moeda 35 2" xfId="374"/>
    <cellStyle name="Moeda 36" xfId="227"/>
    <cellStyle name="Moeda 36 2" xfId="378"/>
    <cellStyle name="Moeda 37" xfId="231"/>
    <cellStyle name="Moeda 37 2" xfId="382"/>
    <cellStyle name="Moeda 38" xfId="235"/>
    <cellStyle name="Moeda 38 2" xfId="386"/>
    <cellStyle name="Moeda 39" xfId="239"/>
    <cellStyle name="Moeda 39 2" xfId="390"/>
    <cellStyle name="Moeda 4" xfId="99"/>
    <cellStyle name="Moeda 4 2" xfId="250"/>
    <cellStyle name="Moeda 40" xfId="244"/>
    <cellStyle name="Moeda 40 2" xfId="395"/>
    <cellStyle name="Moeda 41" xfId="400"/>
    <cellStyle name="Moeda 42" xfId="409"/>
    <cellStyle name="Moeda 43" xfId="417"/>
    <cellStyle name="Moeda 44" xfId="419"/>
    <cellStyle name="Moeda 45" xfId="421"/>
    <cellStyle name="Moeda 46" xfId="423"/>
    <cellStyle name="Moeda 47" xfId="426"/>
    <cellStyle name="Moeda 48" xfId="434"/>
    <cellStyle name="Moeda 5" xfId="103"/>
    <cellStyle name="Moeda 5 2" xfId="254"/>
    <cellStyle name="Moeda 6" xfId="107"/>
    <cellStyle name="Moeda 6 2" xfId="258"/>
    <cellStyle name="Moeda 7" xfId="111"/>
    <cellStyle name="Moeda 7 2" xfId="262"/>
    <cellStyle name="Moeda 8" xfId="115"/>
    <cellStyle name="Moeda 8 2" xfId="266"/>
    <cellStyle name="Moeda 9" xfId="119"/>
    <cellStyle name="Moeda 9 2" xfId="270"/>
    <cellStyle name="Neutra" xfId="9" builtinId="28" customBuiltin="1"/>
    <cellStyle name="Neutra 2" xfId="80"/>
    <cellStyle name="Normal" xfId="0" builtinId="0"/>
    <cellStyle name="Normal 2" xfId="43"/>
    <cellStyle name="Normal 3" xfId="81"/>
    <cellStyle name="Normal 5" xfId="82"/>
    <cellStyle name="Nota" xfId="16" builtinId="10" customBuiltin="1"/>
    <cellStyle name="Nota 2" xfId="83"/>
    <cellStyle name="Porcentagem" xfId="44" builtinId="5"/>
    <cellStyle name="Porcentagem 2" xfId="84"/>
    <cellStyle name="Saída" xfId="11" builtinId="21" customBuiltin="1"/>
    <cellStyle name="Saída 2" xfId="85"/>
    <cellStyle name="Separador de milhares 2" xfId="86"/>
    <cellStyle name="Separador de milhares 2 2" xfId="241"/>
    <cellStyle name="Separador de milhares 2 2 2" xfId="392"/>
    <cellStyle name="Separador de milhares 2 2 3" xfId="406"/>
    <cellStyle name="Separador de milhares 2 2 4" xfId="415"/>
    <cellStyle name="Separador de milhares 2 2 5" xfId="432"/>
    <cellStyle name="Separador de milhares 2 2 6" xfId="441"/>
    <cellStyle name="Texto de Aviso" xfId="15" builtinId="11" customBuiltin="1"/>
    <cellStyle name="Texto de Aviso 2" xfId="87"/>
    <cellStyle name="Texto Explicativo" xfId="17" builtinId="53" customBuiltin="1"/>
    <cellStyle name="Texto Explicativo 2" xfId="88"/>
    <cellStyle name="Título" xfId="2" builtinId="15" customBuiltin="1"/>
    <cellStyle name="Título 1" xfId="3" builtinId="16" customBuiltin="1"/>
    <cellStyle name="Título 1 1" xfId="89"/>
    <cellStyle name="Título 1 1 1" xfId="90"/>
    <cellStyle name="Título 1 2" xfId="91"/>
    <cellStyle name="Título 2" xfId="4" builtinId="17" customBuiltin="1"/>
    <cellStyle name="Título 2 2" xfId="92"/>
    <cellStyle name="Título 3" xfId="5" builtinId="18" customBuiltin="1"/>
    <cellStyle name="Título 3 2" xfId="93"/>
    <cellStyle name="Título 4" xfId="6" builtinId="19" customBuiltin="1"/>
    <cellStyle name="Título 4 2" xfId="94"/>
    <cellStyle name="Total" xfId="18" builtinId="25" customBuiltin="1"/>
    <cellStyle name="Total 2" xfId="95"/>
    <cellStyle name="Vírgula" xfId="45" builtinId="3"/>
    <cellStyle name="Vírgula 10" xfId="122"/>
    <cellStyle name="Vírgula 10 2" xfId="273"/>
    <cellStyle name="Vírgula 11" xfId="126"/>
    <cellStyle name="Vírgula 11 2" xfId="277"/>
    <cellStyle name="Vírgula 12" xfId="130"/>
    <cellStyle name="Vírgula 12 2" xfId="281"/>
    <cellStyle name="Vírgula 13" xfId="134"/>
    <cellStyle name="Vírgula 13 2" xfId="285"/>
    <cellStyle name="Vírgula 14" xfId="138"/>
    <cellStyle name="Vírgula 14 2" xfId="289"/>
    <cellStyle name="Vírgula 15" xfId="142"/>
    <cellStyle name="Vírgula 15 2" xfId="293"/>
    <cellStyle name="Vírgula 16" xfId="146"/>
    <cellStyle name="Vírgula 16 2" xfId="297"/>
    <cellStyle name="Vírgula 17" xfId="150"/>
    <cellStyle name="Vírgula 17 2" xfId="301"/>
    <cellStyle name="Vírgula 18" xfId="154"/>
    <cellStyle name="Vírgula 18 2" xfId="305"/>
    <cellStyle name="Vírgula 19" xfId="158"/>
    <cellStyle name="Vírgula 19 2" xfId="309"/>
    <cellStyle name="Vírgula 2" xfId="96"/>
    <cellStyle name="Vírgula 2 2" xfId="97"/>
    <cellStyle name="Vírgula 2 2 10" xfId="133"/>
    <cellStyle name="Vírgula 2 2 10 2" xfId="284"/>
    <cellStyle name="Vírgula 2 2 11" xfId="137"/>
    <cellStyle name="Vírgula 2 2 11 2" xfId="288"/>
    <cellStyle name="Vírgula 2 2 12" xfId="141"/>
    <cellStyle name="Vírgula 2 2 12 2" xfId="292"/>
    <cellStyle name="Vírgula 2 2 13" xfId="145"/>
    <cellStyle name="Vírgula 2 2 13 2" xfId="296"/>
    <cellStyle name="Vírgula 2 2 14" xfId="149"/>
    <cellStyle name="Vírgula 2 2 14 2" xfId="300"/>
    <cellStyle name="Vírgula 2 2 15" xfId="153"/>
    <cellStyle name="Vírgula 2 2 15 2" xfId="304"/>
    <cellStyle name="Vírgula 2 2 16" xfId="157"/>
    <cellStyle name="Vírgula 2 2 16 2" xfId="308"/>
    <cellStyle name="Vírgula 2 2 17" xfId="161"/>
    <cellStyle name="Vírgula 2 2 17 2" xfId="312"/>
    <cellStyle name="Vírgula 2 2 18" xfId="165"/>
    <cellStyle name="Vírgula 2 2 18 2" xfId="316"/>
    <cellStyle name="Vírgula 2 2 19" xfId="169"/>
    <cellStyle name="Vírgula 2 2 19 2" xfId="320"/>
    <cellStyle name="Vírgula 2 2 2" xfId="101"/>
    <cellStyle name="Vírgula 2 2 2 2" xfId="252"/>
    <cellStyle name="Vírgula 2 2 2 3" xfId="407"/>
    <cellStyle name="Vírgula 2 2 2 4" xfId="416"/>
    <cellStyle name="Vírgula 2 2 2 5" xfId="433"/>
    <cellStyle name="Vírgula 2 2 2 6" xfId="442"/>
    <cellStyle name="Vírgula 2 2 20" xfId="173"/>
    <cellStyle name="Vírgula 2 2 20 2" xfId="324"/>
    <cellStyle name="Vírgula 2 2 21" xfId="177"/>
    <cellStyle name="Vírgula 2 2 21 2" xfId="328"/>
    <cellStyle name="Vírgula 2 2 22" xfId="181"/>
    <cellStyle name="Vírgula 2 2 22 2" xfId="332"/>
    <cellStyle name="Vírgula 2 2 23" xfId="185"/>
    <cellStyle name="Vírgula 2 2 23 2" xfId="336"/>
    <cellStyle name="Vírgula 2 2 24" xfId="189"/>
    <cellStyle name="Vírgula 2 2 24 2" xfId="340"/>
    <cellStyle name="Vírgula 2 2 25" xfId="193"/>
    <cellStyle name="Vírgula 2 2 25 2" xfId="344"/>
    <cellStyle name="Vírgula 2 2 26" xfId="197"/>
    <cellStyle name="Vírgula 2 2 26 2" xfId="348"/>
    <cellStyle name="Vírgula 2 2 27" xfId="201"/>
    <cellStyle name="Vírgula 2 2 27 2" xfId="352"/>
    <cellStyle name="Vírgula 2 2 28" xfId="205"/>
    <cellStyle name="Vírgula 2 2 28 2" xfId="356"/>
    <cellStyle name="Vírgula 2 2 29" xfId="209"/>
    <cellStyle name="Vírgula 2 2 29 2" xfId="360"/>
    <cellStyle name="Vírgula 2 2 3" xfId="105"/>
    <cellStyle name="Vírgula 2 2 3 2" xfId="256"/>
    <cellStyle name="Vírgula 2 2 30" xfId="213"/>
    <cellStyle name="Vírgula 2 2 30 2" xfId="364"/>
    <cellStyle name="Vírgula 2 2 31" xfId="217"/>
    <cellStyle name="Vírgula 2 2 31 2" xfId="368"/>
    <cellStyle name="Vírgula 2 2 32" xfId="221"/>
    <cellStyle name="Vírgula 2 2 32 2" xfId="372"/>
    <cellStyle name="Vírgula 2 2 33" xfId="225"/>
    <cellStyle name="Vírgula 2 2 33 2" xfId="376"/>
    <cellStyle name="Vírgula 2 2 34" xfId="229"/>
    <cellStyle name="Vírgula 2 2 34 2" xfId="380"/>
    <cellStyle name="Vírgula 2 2 35" xfId="233"/>
    <cellStyle name="Vírgula 2 2 35 2" xfId="384"/>
    <cellStyle name="Vírgula 2 2 36" xfId="237"/>
    <cellStyle name="Vírgula 2 2 36 2" xfId="388"/>
    <cellStyle name="Vírgula 2 2 37" xfId="242"/>
    <cellStyle name="Vírgula 2 2 37 2" xfId="393"/>
    <cellStyle name="Vírgula 2 2 38" xfId="246"/>
    <cellStyle name="Vírgula 2 2 38 2" xfId="397"/>
    <cellStyle name="Vírgula 2 2 39" xfId="402"/>
    <cellStyle name="Vírgula 2 2 4" xfId="109"/>
    <cellStyle name="Vírgula 2 2 4 2" xfId="260"/>
    <cellStyle name="Vírgula 2 2 40" xfId="411"/>
    <cellStyle name="Vírgula 2 2 41" xfId="428"/>
    <cellStyle name="Vírgula 2 2 42" xfId="436"/>
    <cellStyle name="Vírgula 2 2 5" xfId="113"/>
    <cellStyle name="Vírgula 2 2 5 2" xfId="264"/>
    <cellStyle name="Vírgula 2 2 6" xfId="117"/>
    <cellStyle name="Vírgula 2 2 6 2" xfId="268"/>
    <cellStyle name="Vírgula 2 2 7" xfId="121"/>
    <cellStyle name="Vírgula 2 2 7 2" xfId="272"/>
    <cellStyle name="Vírgula 2 2 8" xfId="125"/>
    <cellStyle name="Vírgula 2 2 8 2" xfId="276"/>
    <cellStyle name="Vírgula 2 2 9" xfId="129"/>
    <cellStyle name="Vírgula 2 2 9 2" xfId="280"/>
    <cellStyle name="Vírgula 20" xfId="162"/>
    <cellStyle name="Vírgula 20 2" xfId="313"/>
    <cellStyle name="Vírgula 21" xfId="166"/>
    <cellStyle name="Vírgula 21 2" xfId="317"/>
    <cellStyle name="Vírgula 22" xfId="170"/>
    <cellStyle name="Vírgula 22 2" xfId="321"/>
    <cellStyle name="Vírgula 23" xfId="174"/>
    <cellStyle name="Vírgula 23 2" xfId="325"/>
    <cellStyle name="Vírgula 24" xfId="178"/>
    <cellStyle name="Vírgula 24 2" xfId="329"/>
    <cellStyle name="Vírgula 25" xfId="182"/>
    <cellStyle name="Vírgula 25 2" xfId="333"/>
    <cellStyle name="Vírgula 26" xfId="186"/>
    <cellStyle name="Vírgula 26 2" xfId="337"/>
    <cellStyle name="Vírgula 27" xfId="190"/>
    <cellStyle name="Vírgula 27 2" xfId="341"/>
    <cellStyle name="Vírgula 28" xfId="194"/>
    <cellStyle name="Vírgula 28 2" xfId="345"/>
    <cellStyle name="Vírgula 29" xfId="198"/>
    <cellStyle name="Vírgula 29 2" xfId="349"/>
    <cellStyle name="Vírgula 3" xfId="47"/>
    <cellStyle name="Vírgula 3 2" xfId="247"/>
    <cellStyle name="Vírgula 3 3" xfId="398"/>
    <cellStyle name="Vírgula 3 4" xfId="403"/>
    <cellStyle name="Vírgula 3 5" xfId="412"/>
    <cellStyle name="Vírgula 3 6" xfId="429"/>
    <cellStyle name="Vírgula 3 7" xfId="435"/>
    <cellStyle name="Vírgula 30" xfId="202"/>
    <cellStyle name="Vírgula 30 2" xfId="353"/>
    <cellStyle name="Vírgula 31" xfId="206"/>
    <cellStyle name="Vírgula 31 2" xfId="357"/>
    <cellStyle name="Vírgula 32" xfId="210"/>
    <cellStyle name="Vírgula 32 2" xfId="361"/>
    <cellStyle name="Vírgula 33" xfId="214"/>
    <cellStyle name="Vírgula 33 2" xfId="365"/>
    <cellStyle name="Vírgula 34" xfId="218"/>
    <cellStyle name="Vírgula 34 2" xfId="369"/>
    <cellStyle name="Vírgula 35" xfId="222"/>
    <cellStyle name="Vírgula 35 2" xfId="373"/>
    <cellStyle name="Vírgula 36" xfId="226"/>
    <cellStyle name="Vírgula 36 2" xfId="377"/>
    <cellStyle name="Vírgula 37" xfId="230"/>
    <cellStyle name="Vírgula 37 2" xfId="381"/>
    <cellStyle name="Vírgula 38" xfId="234"/>
    <cellStyle name="Vírgula 38 2" xfId="385"/>
    <cellStyle name="Vírgula 39" xfId="238"/>
    <cellStyle name="Vírgula 39 2" xfId="389"/>
    <cellStyle name="Vírgula 4" xfId="98"/>
    <cellStyle name="Vírgula 4 2" xfId="249"/>
    <cellStyle name="Vírgula 40" xfId="243"/>
    <cellStyle name="Vírgula 40 2" xfId="394"/>
    <cellStyle name="Vírgula 41" xfId="399"/>
    <cellStyle name="Vírgula 42" xfId="408"/>
    <cellStyle name="Vírgula 43" xfId="425"/>
    <cellStyle name="Vírgula 44" xfId="438"/>
    <cellStyle name="Vírgula 5" xfId="102"/>
    <cellStyle name="Vírgula 5 2" xfId="253"/>
    <cellStyle name="Vírgula 6" xfId="106"/>
    <cellStyle name="Vírgula 6 2" xfId="257"/>
    <cellStyle name="Vírgula 7" xfId="110"/>
    <cellStyle name="Vírgula 7 2" xfId="261"/>
    <cellStyle name="Vírgula 8" xfId="114"/>
    <cellStyle name="Vírgula 8 2" xfId="265"/>
    <cellStyle name="Vírgula 9" xfId="118"/>
    <cellStyle name="Vírgula 9 2" xfId="2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05-4DA1-97DA-475F1E5E73A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05-4DA1-97DA-475F1E5E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06304"/>
        <c:axId val="118555392"/>
      </c:lineChart>
      <c:catAx>
        <c:axId val="118306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555392"/>
        <c:crosses val="autoZero"/>
        <c:auto val="1"/>
        <c:lblAlgn val="ctr"/>
        <c:lblOffset val="100"/>
        <c:noMultiLvlLbl val="1"/>
      </c:catAx>
      <c:valAx>
        <c:axId val="1185553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06304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C83-42BB-A3D2-944717B8BDF9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C83-42BB-A3D2-944717B8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7696"/>
        <c:axId val="179599232"/>
      </c:lineChart>
      <c:catAx>
        <c:axId val="17959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79599232"/>
        <c:crosses val="autoZero"/>
        <c:auto val="1"/>
        <c:lblAlgn val="ctr"/>
        <c:lblOffset val="100"/>
        <c:tickLblSkip val="1"/>
        <c:noMultiLvlLbl val="1"/>
      </c:catAx>
      <c:valAx>
        <c:axId val="1795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97696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150314384022E-2"/>
          <c:y val="2.3465697963139739E-2"/>
          <c:w val="0.89523147652826562"/>
          <c:h val="0.857783744526412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2F-42B3-9865-FCAE3070405A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2F-42B3-9865-FCAE3070405A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2F-42B3-9865-FCAE3070405A}"/>
            </c:ext>
          </c:extLst>
        </c:ser>
        <c:ser>
          <c:idx val="3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2F-42B3-9865-FCAE307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0064"/>
        <c:axId val="106201856"/>
      </c:lineChart>
      <c:catAx>
        <c:axId val="106200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6201856"/>
        <c:crosses val="autoZero"/>
        <c:auto val="1"/>
        <c:lblAlgn val="ctr"/>
        <c:lblOffset val="100"/>
        <c:noMultiLvlLbl val="1"/>
      </c:catAx>
      <c:valAx>
        <c:axId val="106201856"/>
        <c:scaling>
          <c:orientation val="minMax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00064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A9-4287-B6B9-F69EECD6322C}"/>
            </c:ext>
          </c:extLst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A9-4287-B6B9-F69EECD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5152"/>
        <c:axId val="107435136"/>
      </c:lineChart>
      <c:catAx>
        <c:axId val="107425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7435136"/>
        <c:crosses val="autoZero"/>
        <c:auto val="1"/>
        <c:lblAlgn val="ctr"/>
        <c:lblOffset val="100"/>
        <c:tickLblSkip val="1"/>
        <c:noMultiLvlLbl val="1"/>
      </c:catAx>
      <c:valAx>
        <c:axId val="1074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25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4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5"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6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áf9"/>
  <sheetViews>
    <sheetView zoomScale="94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ercial/MARCEL/Inf.%20Comerci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Gerais"/>
      <sheetName val="Resumo"/>
      <sheetName val="Projeção Farelo"/>
      <sheetName val="Farelo Bahia"/>
      <sheetName val="preço mercado"/>
      <sheetName val="Calculo"/>
      <sheetName val="Exportação"/>
      <sheetName val="Conta CBOT"/>
      <sheetName val="Histórico Resumo"/>
      <sheetName val="NÃO USAR"/>
      <sheetName val="Relação CBOT"/>
      <sheetName val="Grafico da Soja"/>
      <sheetName val="Preço Óleo MI x Expo"/>
      <sheetName val="Grafico Virtual"/>
      <sheetName val="Exportação + Moagem RGE"/>
      <sheetName val="Numeros BRASIL"/>
      <sheetName val="Numeros Safra"/>
      <sheetName val="Dolar PTAX"/>
      <sheetName val="Soja a fixar com premio"/>
      <sheetName val="Premio Soja RS"/>
      <sheetName val="Histórico de Safras"/>
    </sheetNames>
    <sheetDataSet>
      <sheetData sheetId="0">
        <row r="1">
          <cell r="BFV1">
            <v>44564</v>
          </cell>
        </row>
      </sheetData>
      <sheetData sheetId="1"/>
      <sheetData sheetId="2"/>
      <sheetData sheetId="3"/>
      <sheetData sheetId="4">
        <row r="26">
          <cell r="B26">
            <v>2540</v>
          </cell>
        </row>
        <row r="28">
          <cell r="B28">
            <v>7650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rancine Ferraro" id="{347B13F1-497C-4DE4-B40B-455F2C1A2318}" userId="S::francineferraro@oleoplan.onmicrosoft.com::713e83f3-3b18-4a6d-aad1-0b27f36162c6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W2" dT="2021-03-15T16:29:41.00" personId="{347B13F1-497C-4DE4-B40B-455F2C1A2318}" id="{E42E8EF9-6DDB-4122-AB18-3C9C355CB057}">
    <text>https://www.cmegroup.com/trading/energy/crude-oil/brent-crude-oil.html</text>
  </threadedComment>
  <threadedComment ref="BW9" dT="2021-03-15T16:29:50.52" personId="{347B13F1-497C-4DE4-B40B-455F2C1A2318}" id="{372F1997-BE5F-4186-8D7F-0C79DF057146}">
    <text>https://valor.globo.com/valor-data/commodities/</text>
  </threadedComment>
  <threadedComment ref="BT20" dT="2021-03-15T16:46:17.44" personId="{347B13F1-497C-4DE4-B40B-455F2C1A2318}" id="{9A167646-BED5-42D6-9FF1-163E639C784D}">
    <text>https://www.bcb.gov.br/</text>
  </threadedComment>
  <threadedComment ref="A22" dT="2021-03-15T16:35:42.62" personId="{347B13F1-497C-4DE4-B40B-455F2C1A2318}" id="{ABC8001D-A99B-4E00-A533-BC7264445C81}">
    <text>Passo Fundo</text>
  </threadedComment>
  <threadedComment ref="A23" dT="2021-03-15T16:35:48.03" personId="{347B13F1-497C-4DE4-B40B-455F2C1A2318}" id="{D03DD0B9-9149-46EC-BE1B-9CC5E51AAD1B}">
    <text>Barreiras</text>
  </threadedComment>
  <threadedComment ref="A24" dT="2021-03-15T16:35:56.05" personId="{347B13F1-497C-4DE4-B40B-455F2C1A2318}" id="{38BCEA16-5584-414E-9213-5290C6FB3357}">
    <text>Ponta Grossa</text>
  </threadedComment>
  <threadedComment ref="A25" dT="2021-03-15T16:36:06.49" personId="{347B13F1-497C-4DE4-B40B-455F2C1A2318}" id="{FDB72CFD-2ECB-4AF2-8B8C-95608768C70F}">
    <text>Rondonópolis</text>
  </threadedComment>
  <threadedComment ref="A26" dT="2021-03-15T16:36:13.59" personId="{347B13F1-497C-4DE4-B40B-455F2C1A2318}" id="{17DB6312-D743-4193-A93A-877397F44615}">
    <text>Rio Verde</text>
  </threadedComment>
  <threadedComment ref="BT36" dT="2021-03-15T16:30:45.09" personId="{347B13F1-497C-4DE4-B40B-455F2C1A2318}" id="{A8FCDE7B-4813-4B78-B0DC-F3BB84CBE5BE}">
    <text>https://cepea.esalq.usp.br/br/indicador/boi-gordo.aspx</text>
  </threadedComment>
  <threadedComment ref="F41" dT="2021-01-06T14:01:11.27" personId="{347B13F1-497C-4DE4-B40B-455F2C1A2318}" id="{49DA6AB5-FCE9-4942-800D-41FFD3CF7492}">
    <text>Óleo de palma - Vila Nova</text>
  </threadedComment>
  <threadedComment ref="AH41" dT="2021-02-03T12:00:59.01" personId="{347B13F1-497C-4DE4-B40B-455F2C1A2318}" id="{51F91E72-863B-4B75-96FC-BAA228AD37E7}">
    <text>Óleo de palma</text>
  </threadedComment>
  <threadedComment ref="BJ41" dT="2021-03-03T14:38:50.51" personId="{347B13F1-497C-4DE4-B40B-455F2C1A2318}" id="{3A7C74A8-206D-4D0F-B031-FEFBA41D77C3}">
    <text>BBF</text>
  </threadedComment>
  <threadedComment ref="LD43" dT="2021-11-12T12:01:59.96" personId="{347B13F1-497C-4DE4-B40B-455F2C1A2318}" id="{FD571FDD-EA14-4A81-A2F9-31FFA02E7EDE}">
    <text>Oldesa (óleo de palma bruto)</text>
  </threadedComment>
  <threadedComment ref="BW45" dT="2021-03-15T16:29:58.53" personId="{347B13F1-497C-4DE4-B40B-455F2C1A2318}" id="{6A8C3E5B-0C47-4BDF-80F9-92B6F3DEDF70}">
    <text>https://valor.globo.com/valor-data/commodities/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egroup.com/europe/products/energy/biofuels/european-gasoil-ice-calendar-future_quotes_settlements_futures.html?sector=AGRICULTURE&amp;clearingCode=0B" TargetMode="External"/><Relationship Id="rId13" Type="http://schemas.openxmlformats.org/officeDocument/2006/relationships/hyperlink" Target="http://www.safras.com.br/safrasprodutos/Safrasnet.aspx" TargetMode="External"/><Relationship Id="rId18" Type="http://schemas.openxmlformats.org/officeDocument/2006/relationships/hyperlink" Target="http://www.safras.com.br/safrasprodutos/Safrasnet.aspx" TargetMode="External"/><Relationship Id="rId3" Type="http://schemas.openxmlformats.org/officeDocument/2006/relationships/hyperlink" Target="http://www.valor.com.br/valor-data/commodities/minerais" TargetMode="External"/><Relationship Id="rId7" Type="http://schemas.openxmlformats.org/officeDocument/2006/relationships/hyperlink" Target="http://cepea.esalq.usp.br/boi/" TargetMode="External"/><Relationship Id="rId12" Type="http://schemas.openxmlformats.org/officeDocument/2006/relationships/hyperlink" Target="http://www.safras.com.br/safrasprodutos/Safrasnet.aspx" TargetMode="External"/><Relationship Id="rId17" Type="http://schemas.openxmlformats.org/officeDocument/2006/relationships/hyperlink" Target="http://www.cmegroup.com/europe/products/energy/biofuels/european-rme-biodiesel-fob-ara-red-compliant-argus-vs-european-gasoil-ice-spread-calendar-futures.html_quotes_settlements_futures.html" TargetMode="External"/><Relationship Id="rId2" Type="http://schemas.openxmlformats.org/officeDocument/2006/relationships/hyperlink" Target="http://www.valor.com.br/valor-data/commodities/agricolas" TargetMode="External"/><Relationship Id="rId16" Type="http://schemas.openxmlformats.org/officeDocument/2006/relationships/hyperlink" Target="http://www.cmegroup.com/europe/products/energy/biofuels/european-fame-0-biodiesel-fob-ara-red-compliant-argus-vs-european-gasoil-ice-spread-calendar-futures.html_quotes_settlements_futures.html" TargetMode="External"/><Relationship Id="rId1" Type="http://schemas.openxmlformats.org/officeDocument/2006/relationships/hyperlink" Target="http://www.valor.com.br/valor-data/commodities/agricolas" TargetMode="External"/><Relationship Id="rId6" Type="http://schemas.openxmlformats.org/officeDocument/2006/relationships/hyperlink" Target="http://www.safras.com.br/safrasprodutos/Safrasnet.aspx" TargetMode="External"/><Relationship Id="rId11" Type="http://schemas.openxmlformats.org/officeDocument/2006/relationships/hyperlink" Target="http://www.safras.com.br/safrasprodutos/Safrasnet.aspx" TargetMode="External"/><Relationship Id="rId5" Type="http://schemas.openxmlformats.org/officeDocument/2006/relationships/hyperlink" Target="http://www.bcb.gov.br/pt-br/paginas/default.aspx" TargetMode="External"/><Relationship Id="rId15" Type="http://schemas.openxmlformats.org/officeDocument/2006/relationships/hyperlink" Target="http://www.safras.com.br/safrasprodutos/Safrasnet.aspx" TargetMode="External"/><Relationship Id="rId10" Type="http://schemas.openxmlformats.org/officeDocument/2006/relationships/hyperlink" Target="http://www.safras.com.br/safrasprodutos/Safrasnet.aspx" TargetMode="External"/><Relationship Id="rId19" Type="http://schemas.openxmlformats.org/officeDocument/2006/relationships/hyperlink" Target="http://www.safras.com.br/safrasprodutos/Safrasnet.aspx" TargetMode="External"/><Relationship Id="rId4" Type="http://schemas.openxmlformats.org/officeDocument/2006/relationships/hyperlink" Target="http://www.safras.com.br/safrasprodutos/Safrasnet.aspx" TargetMode="External"/><Relationship Id="rId9" Type="http://schemas.openxmlformats.org/officeDocument/2006/relationships/hyperlink" Target="http://www.safras.com.br/safrasprodutos/Safrasnet.aspx" TargetMode="External"/><Relationship Id="rId14" Type="http://schemas.openxmlformats.org/officeDocument/2006/relationships/hyperlink" Target="http://www.safras.com.br/safrasprodutos/Safrasne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ND145"/>
  <sheetViews>
    <sheetView tabSelected="1" zoomScaleNormal="100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BB1" sqref="BB1:BM1"/>
    </sheetView>
  </sheetViews>
  <sheetFormatPr defaultColWidth="0" defaultRowHeight="15" zeroHeight="1" x14ac:dyDescent="0.25"/>
  <cols>
    <col min="1" max="1" width="36.28515625" bestFit="1" customWidth="1"/>
    <col min="2" max="15" width="12.7109375" bestFit="1" customWidth="1"/>
    <col min="16" max="16" width="13.85546875" bestFit="1" customWidth="1"/>
    <col min="17" max="88" width="12.7109375" bestFit="1" customWidth="1"/>
    <col min="89" max="89" width="13.85546875" bestFit="1" customWidth="1"/>
    <col min="90" max="102" width="12.7109375" bestFit="1" customWidth="1"/>
    <col min="103" max="103" width="15.140625" customWidth="1"/>
    <col min="104" max="104" width="15.5703125" customWidth="1"/>
    <col min="105" max="106" width="12.7109375" bestFit="1" customWidth="1"/>
    <col min="107" max="107" width="16.42578125" customWidth="1"/>
    <col min="108" max="272" width="12.7109375" bestFit="1" customWidth="1"/>
    <col min="273" max="273" width="14.7109375" customWidth="1"/>
    <col min="274" max="274" width="12.7109375" bestFit="1" customWidth="1"/>
    <col min="275" max="275" width="13.85546875" bestFit="1" customWidth="1"/>
    <col min="276" max="315" width="12.7109375" bestFit="1" customWidth="1"/>
    <col min="316" max="316" width="13.85546875" bestFit="1" customWidth="1"/>
    <col min="317" max="359" width="12.7109375" bestFit="1" customWidth="1"/>
    <col min="360" max="360" width="13.85546875" bestFit="1" customWidth="1"/>
    <col min="361" max="361" width="12.7109375" bestFit="1" customWidth="1"/>
    <col min="362" max="363" width="12.140625" bestFit="1" customWidth="1"/>
    <col min="364" max="366" width="12.7109375" bestFit="1" customWidth="1"/>
    <col min="367" max="367" width="9.140625" style="5" customWidth="1"/>
    <col min="368" max="368" width="0" hidden="1" customWidth="1"/>
    <col min="369" max="16384" width="9.140625" hidden="1"/>
  </cols>
  <sheetData>
    <row r="1" spans="1:367" ht="15.75" x14ac:dyDescent="0.25">
      <c r="A1" s="15"/>
      <c r="B1" s="96">
        <v>44197</v>
      </c>
      <c r="C1" s="96">
        <v>44198</v>
      </c>
      <c r="D1" s="96">
        <v>44199</v>
      </c>
      <c r="E1" s="96">
        <v>44200</v>
      </c>
      <c r="F1" s="96">
        <v>44201</v>
      </c>
      <c r="G1" s="96">
        <v>44202</v>
      </c>
      <c r="H1" s="96">
        <v>44203</v>
      </c>
      <c r="I1" s="96">
        <v>44204</v>
      </c>
      <c r="J1" s="96">
        <v>44205</v>
      </c>
      <c r="K1" s="96">
        <v>44206</v>
      </c>
      <c r="L1" s="96">
        <v>44207</v>
      </c>
      <c r="M1" s="96">
        <v>44208</v>
      </c>
      <c r="N1" s="96">
        <v>44209</v>
      </c>
      <c r="O1" s="96">
        <v>44210</v>
      </c>
      <c r="P1" s="96">
        <v>44211</v>
      </c>
      <c r="Q1" s="96">
        <v>44212</v>
      </c>
      <c r="R1" s="96">
        <v>44213</v>
      </c>
      <c r="S1" s="96">
        <v>44214</v>
      </c>
      <c r="T1" s="96">
        <v>44215</v>
      </c>
      <c r="U1" s="16">
        <v>44216</v>
      </c>
      <c r="V1" s="16">
        <v>44217</v>
      </c>
      <c r="W1" s="16">
        <v>44218</v>
      </c>
      <c r="X1" s="16">
        <v>44219</v>
      </c>
      <c r="Y1" s="16">
        <v>44220</v>
      </c>
      <c r="Z1" s="16">
        <v>44221</v>
      </c>
      <c r="AA1" s="16">
        <v>44222</v>
      </c>
      <c r="AB1" s="16">
        <v>44223</v>
      </c>
      <c r="AC1" s="16">
        <v>44224</v>
      </c>
      <c r="AD1" s="16">
        <v>44225</v>
      </c>
      <c r="AE1" s="16">
        <v>44226</v>
      </c>
      <c r="AF1" s="16">
        <v>44227</v>
      </c>
      <c r="AG1" s="16">
        <v>44228</v>
      </c>
      <c r="AH1" s="16">
        <v>44229</v>
      </c>
      <c r="AI1" s="16">
        <v>44230</v>
      </c>
      <c r="AJ1" s="16">
        <v>44231</v>
      </c>
      <c r="AK1" s="16">
        <v>44232</v>
      </c>
      <c r="AL1" s="16">
        <v>44233</v>
      </c>
      <c r="AM1" s="16">
        <v>44234</v>
      </c>
      <c r="AN1" s="16">
        <v>44235</v>
      </c>
      <c r="AO1" s="16">
        <v>44236</v>
      </c>
      <c r="AP1" s="16">
        <v>44237</v>
      </c>
      <c r="AQ1" s="16">
        <v>44238</v>
      </c>
      <c r="AR1" s="16">
        <v>44239</v>
      </c>
      <c r="AS1" s="16">
        <v>44240</v>
      </c>
      <c r="AT1" s="16">
        <v>44241</v>
      </c>
      <c r="AU1" s="16">
        <v>44242</v>
      </c>
      <c r="AV1" s="16">
        <v>44243</v>
      </c>
      <c r="AW1" s="16">
        <v>44244</v>
      </c>
      <c r="AX1" s="16">
        <v>44245</v>
      </c>
      <c r="AY1" s="16">
        <v>44246</v>
      </c>
      <c r="AZ1" s="16">
        <v>44247</v>
      </c>
      <c r="BA1" s="16">
        <v>44248</v>
      </c>
      <c r="BB1" s="16">
        <v>44249</v>
      </c>
      <c r="BC1" s="16">
        <v>44250</v>
      </c>
      <c r="BD1" s="16">
        <v>44251</v>
      </c>
      <c r="BE1" s="16">
        <v>44252</v>
      </c>
      <c r="BF1" s="16">
        <v>44253</v>
      </c>
      <c r="BG1" s="16">
        <v>44254</v>
      </c>
      <c r="BH1" s="16">
        <v>44255</v>
      </c>
      <c r="BI1" s="16">
        <v>44256</v>
      </c>
      <c r="BJ1" s="16">
        <v>44257</v>
      </c>
      <c r="BK1" s="16">
        <v>44258</v>
      </c>
      <c r="BL1" s="16">
        <v>44259</v>
      </c>
      <c r="BM1" s="16">
        <v>44260</v>
      </c>
      <c r="BN1" s="16">
        <v>44261</v>
      </c>
      <c r="BO1" s="16">
        <v>44262</v>
      </c>
      <c r="BP1" s="16">
        <v>44263</v>
      </c>
      <c r="BQ1" s="16">
        <v>44264</v>
      </c>
      <c r="BR1" s="16">
        <v>44265</v>
      </c>
      <c r="BS1" s="16">
        <v>44266</v>
      </c>
      <c r="BT1" s="16">
        <v>44267</v>
      </c>
      <c r="BU1" s="16">
        <v>44268</v>
      </c>
      <c r="BV1" s="16">
        <v>44269</v>
      </c>
      <c r="BW1" s="16">
        <v>44270</v>
      </c>
      <c r="BX1" s="16">
        <v>44271</v>
      </c>
      <c r="BY1" s="16">
        <v>44272</v>
      </c>
      <c r="BZ1" s="16">
        <v>44273</v>
      </c>
      <c r="CA1" s="16">
        <v>44274</v>
      </c>
      <c r="CB1" s="16">
        <v>44275</v>
      </c>
      <c r="CC1" s="16">
        <v>44276</v>
      </c>
      <c r="CD1" s="16">
        <v>44277</v>
      </c>
      <c r="CE1" s="16">
        <v>44278</v>
      </c>
      <c r="CF1" s="16">
        <v>44279</v>
      </c>
      <c r="CG1" s="16">
        <v>44280</v>
      </c>
      <c r="CH1" s="16">
        <v>44281</v>
      </c>
      <c r="CI1" s="16">
        <v>44282</v>
      </c>
      <c r="CJ1" s="16">
        <v>44283</v>
      </c>
      <c r="CK1" s="16">
        <v>44284</v>
      </c>
      <c r="CL1" s="16">
        <v>44285</v>
      </c>
      <c r="CM1" s="16">
        <v>44286</v>
      </c>
      <c r="CN1" s="16">
        <v>44287</v>
      </c>
      <c r="CO1" s="16">
        <v>44288</v>
      </c>
      <c r="CP1" s="16">
        <v>44289</v>
      </c>
      <c r="CQ1" s="16">
        <v>44290</v>
      </c>
      <c r="CR1" s="16">
        <v>44291</v>
      </c>
      <c r="CS1" s="16">
        <v>44292</v>
      </c>
      <c r="CT1" s="16">
        <v>44293</v>
      </c>
      <c r="CU1" s="16">
        <v>44294</v>
      </c>
      <c r="CV1" s="16">
        <v>44295</v>
      </c>
      <c r="CW1" s="16">
        <v>44296</v>
      </c>
      <c r="CX1" s="16">
        <v>44297</v>
      </c>
      <c r="CY1" s="16">
        <v>44298</v>
      </c>
      <c r="CZ1" s="16">
        <v>44299</v>
      </c>
      <c r="DA1" s="16">
        <v>44300</v>
      </c>
      <c r="DB1" s="16">
        <v>44301</v>
      </c>
      <c r="DC1" s="16">
        <v>44302</v>
      </c>
      <c r="DD1" s="16">
        <v>44303</v>
      </c>
      <c r="DE1" s="16">
        <v>44304</v>
      </c>
      <c r="DF1" s="16">
        <v>44305</v>
      </c>
      <c r="DG1" s="16">
        <v>44306</v>
      </c>
      <c r="DH1" s="16">
        <v>44307</v>
      </c>
      <c r="DI1" s="16">
        <v>44308</v>
      </c>
      <c r="DJ1" s="16">
        <v>44309</v>
      </c>
      <c r="DK1" s="16">
        <v>44310</v>
      </c>
      <c r="DL1" s="16">
        <v>44311</v>
      </c>
      <c r="DM1" s="16">
        <v>44312</v>
      </c>
      <c r="DN1" s="16">
        <v>44313</v>
      </c>
      <c r="DO1" s="16">
        <v>44314</v>
      </c>
      <c r="DP1" s="16">
        <v>44315</v>
      </c>
      <c r="DQ1" s="16">
        <v>44316</v>
      </c>
      <c r="DR1" s="16">
        <v>44317</v>
      </c>
      <c r="DS1" s="16">
        <v>44318</v>
      </c>
      <c r="DT1" s="16">
        <v>44319</v>
      </c>
      <c r="DU1" s="16">
        <v>44320</v>
      </c>
      <c r="DV1" s="16">
        <v>44321</v>
      </c>
      <c r="DW1" s="16">
        <v>44322</v>
      </c>
      <c r="DX1" s="16">
        <v>44323</v>
      </c>
      <c r="DY1" s="16">
        <v>44324</v>
      </c>
      <c r="DZ1" s="16">
        <v>44325</v>
      </c>
      <c r="EA1" s="16">
        <v>44326</v>
      </c>
      <c r="EB1" s="16">
        <v>44327</v>
      </c>
      <c r="EC1" s="16">
        <v>44328</v>
      </c>
      <c r="ED1" s="16">
        <v>44329</v>
      </c>
      <c r="EE1" s="16">
        <v>44330</v>
      </c>
      <c r="EF1" s="16">
        <v>44331</v>
      </c>
      <c r="EG1" s="16">
        <v>44332</v>
      </c>
      <c r="EH1" s="16">
        <v>44333</v>
      </c>
      <c r="EI1" s="16">
        <v>44334</v>
      </c>
      <c r="EJ1" s="16">
        <v>44335</v>
      </c>
      <c r="EK1" s="16">
        <v>44336</v>
      </c>
      <c r="EL1" s="16">
        <v>44337</v>
      </c>
      <c r="EM1" s="16">
        <v>44338</v>
      </c>
      <c r="EN1" s="16">
        <v>44339</v>
      </c>
      <c r="EO1" s="16">
        <v>44340</v>
      </c>
      <c r="EP1" s="16">
        <v>44341</v>
      </c>
      <c r="EQ1" s="16">
        <v>44342</v>
      </c>
      <c r="ER1" s="16">
        <v>44343</v>
      </c>
      <c r="ES1" s="16">
        <v>44344</v>
      </c>
      <c r="ET1" s="16">
        <v>44345</v>
      </c>
      <c r="EU1" s="16">
        <v>44346</v>
      </c>
      <c r="EV1" s="16">
        <v>44347</v>
      </c>
      <c r="EW1" s="16">
        <v>44348</v>
      </c>
      <c r="EX1" s="16">
        <v>44349</v>
      </c>
      <c r="EY1" s="16">
        <v>44350</v>
      </c>
      <c r="EZ1" s="16">
        <v>44351</v>
      </c>
      <c r="FA1" s="16">
        <v>44352</v>
      </c>
      <c r="FB1" s="16">
        <v>44353</v>
      </c>
      <c r="FC1" s="16">
        <v>44354</v>
      </c>
      <c r="FD1" s="16">
        <v>44355</v>
      </c>
      <c r="FE1" s="16">
        <v>44356</v>
      </c>
      <c r="FF1" s="16">
        <v>44357</v>
      </c>
      <c r="FG1" s="16">
        <v>44358</v>
      </c>
      <c r="FH1" s="16">
        <v>44359</v>
      </c>
      <c r="FI1" s="16">
        <v>44360</v>
      </c>
      <c r="FJ1" s="16">
        <v>44361</v>
      </c>
      <c r="FK1" s="16">
        <v>44362</v>
      </c>
      <c r="FL1" s="16">
        <v>44363</v>
      </c>
      <c r="FM1" s="16">
        <v>44364</v>
      </c>
      <c r="FN1" s="16">
        <v>44365</v>
      </c>
      <c r="FO1" s="16">
        <v>44366</v>
      </c>
      <c r="FP1" s="16">
        <v>44367</v>
      </c>
      <c r="FQ1" s="16">
        <v>44368</v>
      </c>
      <c r="FR1" s="16">
        <v>44369</v>
      </c>
      <c r="FS1" s="16">
        <v>44370</v>
      </c>
      <c r="FT1" s="16">
        <v>44371</v>
      </c>
      <c r="FU1" s="16">
        <v>44372</v>
      </c>
      <c r="FV1" s="16">
        <v>44373</v>
      </c>
      <c r="FW1" s="16">
        <v>44374</v>
      </c>
      <c r="FX1" s="16">
        <v>44375</v>
      </c>
      <c r="FY1" s="16">
        <v>44376</v>
      </c>
      <c r="FZ1" s="16">
        <v>44377</v>
      </c>
      <c r="GA1" s="16">
        <v>44378</v>
      </c>
      <c r="GB1" s="16">
        <v>44379</v>
      </c>
      <c r="GC1" s="16">
        <v>44380</v>
      </c>
      <c r="GD1" s="16">
        <v>44381</v>
      </c>
      <c r="GE1" s="16">
        <v>44382</v>
      </c>
      <c r="GF1" s="16">
        <v>44383</v>
      </c>
      <c r="GG1" s="16">
        <v>44384</v>
      </c>
      <c r="GH1" s="16">
        <v>44385</v>
      </c>
      <c r="GI1" s="16">
        <v>44386</v>
      </c>
      <c r="GJ1" s="16">
        <v>44387</v>
      </c>
      <c r="GK1" s="16">
        <v>44388</v>
      </c>
      <c r="GL1" s="16">
        <v>44389</v>
      </c>
      <c r="GM1" s="16">
        <v>44390</v>
      </c>
      <c r="GN1" s="16">
        <v>44391</v>
      </c>
      <c r="GO1" s="16">
        <v>44392</v>
      </c>
      <c r="GP1" s="16">
        <v>44393</v>
      </c>
      <c r="GQ1" s="16">
        <v>44394</v>
      </c>
      <c r="GR1" s="16">
        <v>44395</v>
      </c>
      <c r="GS1" s="16">
        <v>44396</v>
      </c>
      <c r="GT1" s="16">
        <v>44397</v>
      </c>
      <c r="GU1" s="16">
        <v>44398</v>
      </c>
      <c r="GV1" s="16">
        <v>44399</v>
      </c>
      <c r="GW1" s="16">
        <v>44400</v>
      </c>
      <c r="GX1" s="16">
        <v>44401</v>
      </c>
      <c r="GY1" s="16">
        <v>44402</v>
      </c>
      <c r="GZ1" s="16">
        <v>44403</v>
      </c>
      <c r="HA1" s="16">
        <v>44404</v>
      </c>
      <c r="HB1" s="16">
        <v>44405</v>
      </c>
      <c r="HC1" s="16">
        <v>44406</v>
      </c>
      <c r="HD1" s="16">
        <v>44407</v>
      </c>
      <c r="HE1" s="16">
        <v>44408</v>
      </c>
      <c r="HF1" s="16">
        <v>44409</v>
      </c>
      <c r="HG1" s="16">
        <v>44410</v>
      </c>
      <c r="HH1" s="16">
        <v>44411</v>
      </c>
      <c r="HI1" s="16">
        <v>44412</v>
      </c>
      <c r="HJ1" s="16">
        <v>44413</v>
      </c>
      <c r="HK1" s="16">
        <v>44414</v>
      </c>
      <c r="HL1" s="16">
        <v>44415</v>
      </c>
      <c r="HM1" s="16">
        <v>44416</v>
      </c>
      <c r="HN1" s="16">
        <v>44417</v>
      </c>
      <c r="HO1" s="16">
        <v>44418</v>
      </c>
      <c r="HP1" s="16">
        <v>44419</v>
      </c>
      <c r="HQ1" s="16">
        <v>44420</v>
      </c>
      <c r="HR1" s="16">
        <v>44421</v>
      </c>
      <c r="HS1" s="16">
        <v>44422</v>
      </c>
      <c r="HT1" s="16">
        <v>44423</v>
      </c>
      <c r="HU1" s="16">
        <v>44424</v>
      </c>
      <c r="HV1" s="16">
        <v>44425</v>
      </c>
      <c r="HW1" s="16">
        <v>44426</v>
      </c>
      <c r="HX1" s="16">
        <v>44427</v>
      </c>
      <c r="HY1" s="16">
        <v>44428</v>
      </c>
      <c r="HZ1" s="16">
        <v>44429</v>
      </c>
      <c r="IA1" s="16">
        <v>44430</v>
      </c>
      <c r="IB1" s="16">
        <v>44431</v>
      </c>
      <c r="IC1" s="16">
        <v>44432</v>
      </c>
      <c r="ID1" s="16">
        <v>44433</v>
      </c>
      <c r="IE1" s="16">
        <v>44434</v>
      </c>
      <c r="IF1" s="16">
        <v>44435</v>
      </c>
      <c r="IG1" s="16">
        <v>44436</v>
      </c>
      <c r="IH1" s="16">
        <v>44437</v>
      </c>
      <c r="II1" s="16">
        <v>44438</v>
      </c>
      <c r="IJ1" s="16">
        <v>44439</v>
      </c>
      <c r="IK1" s="16">
        <v>44440</v>
      </c>
      <c r="IL1" s="16">
        <v>44441</v>
      </c>
      <c r="IM1" s="16">
        <v>44442</v>
      </c>
      <c r="IN1" s="16">
        <v>44443</v>
      </c>
      <c r="IO1" s="16">
        <v>44444</v>
      </c>
      <c r="IP1" s="16">
        <v>44445</v>
      </c>
      <c r="IQ1" s="16">
        <v>44446</v>
      </c>
      <c r="IR1" s="16">
        <v>44447</v>
      </c>
      <c r="IS1" s="16">
        <v>44448</v>
      </c>
      <c r="IT1" s="16">
        <v>44449</v>
      </c>
      <c r="IU1" s="16">
        <v>44450</v>
      </c>
      <c r="IV1" s="16">
        <v>44451</v>
      </c>
      <c r="IW1" s="16">
        <v>44452</v>
      </c>
      <c r="IX1" s="16">
        <v>44453</v>
      </c>
      <c r="IY1" s="16">
        <v>44454</v>
      </c>
      <c r="IZ1" s="16">
        <v>44455</v>
      </c>
      <c r="JA1" s="16">
        <v>44456</v>
      </c>
      <c r="JB1" s="16">
        <v>44457</v>
      </c>
      <c r="JC1" s="16">
        <v>44458</v>
      </c>
      <c r="JD1" s="16">
        <v>44459</v>
      </c>
      <c r="JE1" s="16">
        <v>44460</v>
      </c>
      <c r="JF1" s="16">
        <v>44461</v>
      </c>
      <c r="JG1" s="16">
        <v>44462</v>
      </c>
      <c r="JH1" s="16">
        <v>44463</v>
      </c>
      <c r="JI1" s="16">
        <v>44464</v>
      </c>
      <c r="JJ1" s="16">
        <v>44465</v>
      </c>
      <c r="JK1" s="16">
        <v>44466</v>
      </c>
      <c r="JL1" s="16">
        <v>44467</v>
      </c>
      <c r="JM1" s="16">
        <v>44468</v>
      </c>
      <c r="JN1" s="16">
        <v>44469</v>
      </c>
      <c r="JO1" s="16">
        <v>44470</v>
      </c>
      <c r="JP1" s="16">
        <v>44471</v>
      </c>
      <c r="JQ1" s="16">
        <v>44472</v>
      </c>
      <c r="JR1" s="16">
        <v>44473</v>
      </c>
      <c r="JS1" s="16">
        <v>44474</v>
      </c>
      <c r="JT1" s="16">
        <v>44475</v>
      </c>
      <c r="JU1" s="16">
        <v>44476</v>
      </c>
      <c r="JV1" s="16">
        <v>44477</v>
      </c>
      <c r="JW1" s="16">
        <v>44478</v>
      </c>
      <c r="JX1" s="16">
        <v>44479</v>
      </c>
      <c r="JY1" s="16">
        <v>44480</v>
      </c>
      <c r="JZ1" s="16">
        <v>44481</v>
      </c>
      <c r="KA1" s="16">
        <v>44482</v>
      </c>
      <c r="KB1" s="16">
        <v>44483</v>
      </c>
      <c r="KC1" s="16">
        <v>44484</v>
      </c>
      <c r="KD1" s="16">
        <v>44485</v>
      </c>
      <c r="KE1" s="16">
        <v>44486</v>
      </c>
      <c r="KF1" s="16">
        <v>44487</v>
      </c>
      <c r="KG1" s="16">
        <v>44488</v>
      </c>
      <c r="KH1" s="16">
        <v>44489</v>
      </c>
      <c r="KI1" s="16">
        <v>44490</v>
      </c>
      <c r="KJ1" s="16">
        <v>44491</v>
      </c>
      <c r="KK1" s="16">
        <v>44492</v>
      </c>
      <c r="KL1" s="16">
        <v>44493</v>
      </c>
      <c r="KM1" s="16">
        <v>44494</v>
      </c>
      <c r="KN1" s="16">
        <v>44495</v>
      </c>
      <c r="KO1" s="16">
        <v>44496</v>
      </c>
      <c r="KP1" s="16">
        <v>44497</v>
      </c>
      <c r="KQ1" s="16">
        <v>44498</v>
      </c>
      <c r="KR1" s="16">
        <v>44499</v>
      </c>
      <c r="KS1" s="16">
        <v>44500</v>
      </c>
      <c r="KT1" s="16">
        <v>44501</v>
      </c>
      <c r="KU1" s="16">
        <v>44502</v>
      </c>
      <c r="KV1" s="16">
        <v>44503</v>
      </c>
      <c r="KW1" s="16">
        <v>44504</v>
      </c>
      <c r="KX1" s="16">
        <v>44505</v>
      </c>
      <c r="KY1" s="16">
        <v>44506</v>
      </c>
      <c r="KZ1" s="16">
        <v>44507</v>
      </c>
      <c r="LA1" s="16">
        <v>44508</v>
      </c>
      <c r="LB1" s="16">
        <v>44509</v>
      </c>
      <c r="LC1" s="16">
        <v>44510</v>
      </c>
      <c r="LD1" s="16">
        <v>44511</v>
      </c>
      <c r="LE1" s="16">
        <v>44512</v>
      </c>
      <c r="LF1" s="16">
        <v>44513</v>
      </c>
      <c r="LG1" s="16">
        <v>44514</v>
      </c>
      <c r="LH1" s="16">
        <v>44515</v>
      </c>
      <c r="LI1" s="16">
        <v>44516</v>
      </c>
      <c r="LJ1" s="16">
        <v>44517</v>
      </c>
      <c r="LK1" s="16">
        <v>44518</v>
      </c>
      <c r="LL1" s="16">
        <v>44519</v>
      </c>
      <c r="LM1" s="16">
        <v>44520</v>
      </c>
      <c r="LN1" s="16">
        <v>44521</v>
      </c>
      <c r="LO1" s="16">
        <v>44522</v>
      </c>
      <c r="LP1" s="16">
        <v>44523</v>
      </c>
      <c r="LQ1" s="16">
        <v>44524</v>
      </c>
      <c r="LR1" s="16">
        <v>44525</v>
      </c>
      <c r="LS1" s="16">
        <v>44526</v>
      </c>
      <c r="LT1" s="16">
        <v>44527</v>
      </c>
      <c r="LU1" s="16">
        <v>44528</v>
      </c>
      <c r="LV1" s="16">
        <v>44529</v>
      </c>
      <c r="LW1" s="16">
        <v>44530</v>
      </c>
      <c r="LX1" s="16">
        <v>44531</v>
      </c>
      <c r="LY1" s="16">
        <v>44532</v>
      </c>
      <c r="LZ1" s="16">
        <v>44533</v>
      </c>
      <c r="MA1" s="16">
        <v>44534</v>
      </c>
      <c r="MB1" s="16">
        <v>44535</v>
      </c>
      <c r="MC1" s="16">
        <v>44536</v>
      </c>
      <c r="MD1" s="16">
        <v>44537</v>
      </c>
      <c r="ME1" s="16">
        <v>44538</v>
      </c>
      <c r="MF1" s="16">
        <v>44539</v>
      </c>
      <c r="MG1" s="16">
        <v>44540</v>
      </c>
      <c r="MH1" s="16">
        <v>44541</v>
      </c>
      <c r="MI1" s="16">
        <v>44542</v>
      </c>
      <c r="MJ1" s="16">
        <v>44543</v>
      </c>
      <c r="MK1" s="16">
        <v>44544</v>
      </c>
      <c r="ML1" s="16">
        <v>44545</v>
      </c>
      <c r="MM1" s="16">
        <v>44546</v>
      </c>
      <c r="MN1" s="16">
        <v>44547</v>
      </c>
      <c r="MO1" s="16">
        <v>44548</v>
      </c>
      <c r="MP1" s="16">
        <v>44549</v>
      </c>
      <c r="MQ1" s="16">
        <v>44550</v>
      </c>
      <c r="MR1" s="16">
        <v>44551</v>
      </c>
      <c r="MS1" s="16">
        <v>44552</v>
      </c>
      <c r="MT1" s="16">
        <v>44553</v>
      </c>
      <c r="MU1" s="16">
        <v>44554</v>
      </c>
      <c r="MV1" s="16">
        <v>44555</v>
      </c>
      <c r="MW1" s="16">
        <v>44556</v>
      </c>
      <c r="MX1" s="16">
        <v>44557</v>
      </c>
      <c r="MY1" s="16">
        <v>44558</v>
      </c>
      <c r="MZ1" s="16">
        <v>44559</v>
      </c>
      <c r="NA1" s="16">
        <v>44560</v>
      </c>
      <c r="NB1" s="16">
        <v>44561</v>
      </c>
    </row>
    <row r="2" spans="1:367" s="82" customFormat="1" x14ac:dyDescent="0.25">
      <c r="A2" s="81" t="s">
        <v>147</v>
      </c>
      <c r="B2" s="78"/>
      <c r="C2" s="78"/>
      <c r="D2" s="78"/>
      <c r="E2" s="78">
        <v>51.09</v>
      </c>
      <c r="F2" s="78">
        <v>53.6</v>
      </c>
      <c r="G2" s="78">
        <v>54.3</v>
      </c>
      <c r="H2" s="78">
        <v>54.38</v>
      </c>
      <c r="I2" s="78">
        <v>55.99</v>
      </c>
      <c r="J2" s="78"/>
      <c r="K2" s="78"/>
      <c r="L2" s="78">
        <v>55.66</v>
      </c>
      <c r="M2" s="78">
        <v>56.58</v>
      </c>
      <c r="N2" s="78">
        <v>56.06</v>
      </c>
      <c r="O2" s="78">
        <v>56.42</v>
      </c>
      <c r="P2" s="78">
        <v>55.1</v>
      </c>
      <c r="Q2" s="78"/>
      <c r="R2" s="78"/>
      <c r="S2" s="78">
        <v>55.1</v>
      </c>
      <c r="T2" s="78">
        <v>55.9</v>
      </c>
      <c r="U2" s="78">
        <v>56.08</v>
      </c>
      <c r="V2" s="78">
        <v>56.1</v>
      </c>
      <c r="W2" s="78">
        <v>55.41</v>
      </c>
      <c r="X2" s="78"/>
      <c r="Y2" s="78"/>
      <c r="Z2" s="78">
        <v>55.88</v>
      </c>
      <c r="AA2" s="78">
        <v>55.91</v>
      </c>
      <c r="AB2" s="78">
        <v>55.81</v>
      </c>
      <c r="AC2" s="78">
        <v>55.1</v>
      </c>
      <c r="AD2" s="78">
        <v>55.04</v>
      </c>
      <c r="AE2" s="78"/>
      <c r="AF2" s="78"/>
      <c r="AG2" s="78">
        <v>56.35</v>
      </c>
      <c r="AH2" s="78">
        <v>57.46</v>
      </c>
      <c r="AI2" s="78">
        <v>58.46</v>
      </c>
      <c r="AJ2" s="78">
        <v>58.84</v>
      </c>
      <c r="AK2" s="78">
        <v>59.34</v>
      </c>
      <c r="AL2" s="78"/>
      <c r="AM2" s="78"/>
      <c r="AN2" s="78">
        <v>60.56</v>
      </c>
      <c r="AO2" s="78">
        <v>61.09</v>
      </c>
      <c r="AP2" s="78">
        <v>61.47</v>
      </c>
      <c r="AQ2" s="78">
        <v>61.14</v>
      </c>
      <c r="AR2" s="78">
        <v>63.35</v>
      </c>
      <c r="AS2" s="78"/>
      <c r="AT2" s="78"/>
      <c r="AU2" s="78">
        <v>60.56</v>
      </c>
      <c r="AV2" s="78">
        <v>61.09</v>
      </c>
      <c r="AW2" s="91">
        <v>63.93</v>
      </c>
      <c r="AX2" s="78">
        <v>63.93</v>
      </c>
      <c r="AY2" s="78">
        <v>62.91</v>
      </c>
      <c r="AZ2" s="78"/>
      <c r="BA2" s="78"/>
      <c r="BB2" s="78">
        <v>65.239999999999995</v>
      </c>
      <c r="BC2" s="78">
        <v>65.37</v>
      </c>
      <c r="BD2" s="78">
        <v>67.040000000000006</v>
      </c>
      <c r="BE2" s="78">
        <v>66.11</v>
      </c>
      <c r="BF2" s="78">
        <v>64.42</v>
      </c>
      <c r="BG2" s="78"/>
      <c r="BH2" s="78"/>
      <c r="BI2" s="78">
        <v>63.69</v>
      </c>
      <c r="BJ2" s="78">
        <v>62.7</v>
      </c>
      <c r="BK2" s="78">
        <v>64.069999999999993</v>
      </c>
      <c r="BL2" s="78">
        <v>66.739999999999995</v>
      </c>
      <c r="BM2" s="78">
        <v>69.36</v>
      </c>
      <c r="BN2" s="78"/>
      <c r="BO2" s="78"/>
      <c r="BP2" s="78">
        <v>68.239999999999995</v>
      </c>
      <c r="BQ2" s="78">
        <v>67.52</v>
      </c>
      <c r="BR2" s="78">
        <v>67.900000000000006</v>
      </c>
      <c r="BS2" s="78">
        <v>69.63</v>
      </c>
      <c r="BT2" s="78">
        <v>69.22</v>
      </c>
      <c r="BU2" s="78"/>
      <c r="BV2" s="78"/>
      <c r="BW2" s="78">
        <v>68.88</v>
      </c>
      <c r="BX2" s="78">
        <v>68.39</v>
      </c>
      <c r="BY2" s="78">
        <v>68</v>
      </c>
      <c r="BZ2" s="78">
        <v>63.28</v>
      </c>
      <c r="CA2" s="78">
        <v>64.53</v>
      </c>
      <c r="CB2" s="78"/>
      <c r="CC2" s="78"/>
      <c r="CD2" s="78">
        <v>64.62</v>
      </c>
      <c r="CE2" s="78">
        <v>60.79</v>
      </c>
      <c r="CF2" s="78">
        <v>64.41</v>
      </c>
      <c r="CG2" s="78">
        <v>61.95</v>
      </c>
      <c r="CH2" s="78">
        <v>64.569999999999993</v>
      </c>
      <c r="CI2" s="78"/>
      <c r="CJ2" s="78"/>
      <c r="CK2" s="78">
        <v>64.98</v>
      </c>
      <c r="CL2" s="78">
        <v>64.17</v>
      </c>
      <c r="CM2" s="78">
        <v>62.74</v>
      </c>
      <c r="CN2" s="78">
        <v>64.86</v>
      </c>
      <c r="CO2" s="78">
        <v>64.86</v>
      </c>
      <c r="CP2" s="78"/>
      <c r="CQ2" s="78"/>
      <c r="CR2" s="78">
        <v>62.15</v>
      </c>
      <c r="CS2" s="78">
        <v>62.74</v>
      </c>
      <c r="CT2" s="78">
        <v>63.16</v>
      </c>
      <c r="CU2" s="78">
        <v>63.2</v>
      </c>
      <c r="CV2" s="78">
        <v>62.95</v>
      </c>
      <c r="CW2" s="78"/>
      <c r="CX2" s="78"/>
      <c r="CY2" s="78">
        <v>63.28</v>
      </c>
      <c r="CZ2" s="78">
        <v>63.67</v>
      </c>
      <c r="DA2" s="78">
        <v>66.58</v>
      </c>
      <c r="DB2" s="78">
        <v>66.94</v>
      </c>
      <c r="DC2" s="78">
        <v>66.77</v>
      </c>
      <c r="DD2" s="78"/>
      <c r="DE2" s="78"/>
      <c r="DF2" s="78">
        <v>67.05</v>
      </c>
      <c r="DG2" s="78">
        <v>65.319999999999993</v>
      </c>
      <c r="DH2" s="78">
        <v>65.319999999999993</v>
      </c>
      <c r="DI2" s="78">
        <v>65.400000000000006</v>
      </c>
      <c r="DJ2" s="78">
        <v>66.11</v>
      </c>
      <c r="DK2" s="78"/>
      <c r="DL2" s="78"/>
      <c r="DM2" s="78">
        <v>65.650000000000006</v>
      </c>
      <c r="DN2" s="78">
        <v>66.42</v>
      </c>
      <c r="DO2" s="78">
        <v>67.27</v>
      </c>
      <c r="DP2" s="78">
        <v>68.05</v>
      </c>
      <c r="DQ2" s="78">
        <v>66.760000000000005</v>
      </c>
      <c r="DR2" s="78"/>
      <c r="DS2" s="78"/>
      <c r="DT2" s="78">
        <v>67.56</v>
      </c>
      <c r="DU2" s="78">
        <v>68.88</v>
      </c>
      <c r="DV2" s="78">
        <v>68.959999999999994</v>
      </c>
      <c r="DW2" s="78">
        <v>68.09</v>
      </c>
      <c r="DX2" s="78">
        <v>68.28</v>
      </c>
      <c r="DY2" s="78"/>
      <c r="DZ2" s="78"/>
      <c r="EA2" s="78">
        <v>68.319999999999993</v>
      </c>
      <c r="EB2" s="78">
        <v>68.55</v>
      </c>
      <c r="EC2" s="78">
        <v>69.319999999999993</v>
      </c>
      <c r="ED2" s="78">
        <v>67.05</v>
      </c>
      <c r="EE2" s="78">
        <v>68.709999999999994</v>
      </c>
      <c r="EF2" s="78"/>
      <c r="EG2" s="78"/>
      <c r="EH2" s="78">
        <v>69.459999999999994</v>
      </c>
      <c r="EI2" s="78">
        <v>68.709999999999994</v>
      </c>
      <c r="EJ2" s="78">
        <v>66.66</v>
      </c>
      <c r="EK2" s="78">
        <v>65.11</v>
      </c>
      <c r="EL2" s="78">
        <v>66.44</v>
      </c>
      <c r="EM2" s="78"/>
      <c r="EN2" s="78"/>
      <c r="EO2" s="78">
        <v>68.459999999999994</v>
      </c>
      <c r="EP2" s="78">
        <v>68.650000000000006</v>
      </c>
      <c r="EQ2" s="78">
        <v>68.87</v>
      </c>
      <c r="ER2" s="78">
        <v>69.2</v>
      </c>
      <c r="ES2" s="78">
        <v>68.72</v>
      </c>
      <c r="ET2" s="78"/>
      <c r="EU2" s="78"/>
      <c r="EV2" s="78">
        <v>68.72</v>
      </c>
      <c r="EW2" s="78">
        <v>70.25</v>
      </c>
      <c r="EX2" s="78">
        <v>71.31</v>
      </c>
      <c r="EY2" s="78">
        <v>71.31</v>
      </c>
      <c r="EZ2" s="78">
        <v>71.89</v>
      </c>
      <c r="FA2" s="78"/>
      <c r="FB2" s="78"/>
      <c r="FC2" s="78">
        <v>71.489999999999995</v>
      </c>
      <c r="FD2" s="78">
        <v>72.22</v>
      </c>
      <c r="FE2" s="78">
        <v>72.22</v>
      </c>
      <c r="FF2" s="78">
        <v>72.52</v>
      </c>
      <c r="FG2" s="78">
        <v>72.69</v>
      </c>
      <c r="FH2" s="78"/>
      <c r="FI2" s="78"/>
      <c r="FJ2" s="78">
        <v>72.86</v>
      </c>
      <c r="FK2" s="78">
        <v>73.989999999999995</v>
      </c>
      <c r="FL2" s="78">
        <v>74.39</v>
      </c>
      <c r="FM2" s="78">
        <v>73.08</v>
      </c>
      <c r="FN2" s="78">
        <v>73.510000000000005</v>
      </c>
      <c r="FO2" s="78"/>
      <c r="FP2" s="78"/>
      <c r="FQ2" s="78">
        <v>74.900000000000006</v>
      </c>
      <c r="FR2" s="78">
        <v>74.81</v>
      </c>
      <c r="FS2" s="78">
        <v>75.19</v>
      </c>
      <c r="FT2" s="78">
        <v>75.56</v>
      </c>
      <c r="FU2" s="78">
        <v>76.180000000000007</v>
      </c>
      <c r="FV2" s="78"/>
      <c r="FW2" s="78"/>
      <c r="FX2" s="78">
        <v>74.680000000000007</v>
      </c>
      <c r="FY2" s="78">
        <v>74.760000000000005</v>
      </c>
      <c r="FZ2" s="78">
        <v>74.760000000000005</v>
      </c>
      <c r="GA2" s="78">
        <v>74.760000000000005</v>
      </c>
      <c r="GB2" s="78">
        <v>76.17</v>
      </c>
      <c r="GC2" s="78"/>
      <c r="GD2" s="78"/>
      <c r="GE2" s="78">
        <v>76.17</v>
      </c>
      <c r="GF2" s="78">
        <v>74.53</v>
      </c>
      <c r="GG2" s="78">
        <v>73.430000000000007</v>
      </c>
      <c r="GH2" s="78">
        <v>74.12</v>
      </c>
      <c r="GI2" s="78">
        <v>75.55</v>
      </c>
      <c r="GJ2" s="78"/>
      <c r="GK2" s="78"/>
      <c r="GL2" s="78">
        <v>75.16</v>
      </c>
      <c r="GM2" s="78">
        <v>76.489999999999995</v>
      </c>
      <c r="GN2" s="78">
        <v>74.760000000000005</v>
      </c>
      <c r="GO2" s="78">
        <v>73.47</v>
      </c>
      <c r="GP2" s="78">
        <v>73.59</v>
      </c>
      <c r="GQ2" s="78"/>
      <c r="GR2" s="78"/>
      <c r="GS2" s="78">
        <v>68.62</v>
      </c>
      <c r="GT2" s="78">
        <v>69.349999999999994</v>
      </c>
      <c r="GU2" s="78">
        <v>72.23</v>
      </c>
      <c r="GV2" s="78">
        <v>73.790000000000006</v>
      </c>
      <c r="GW2" s="78">
        <v>74.099999999999994</v>
      </c>
      <c r="GX2" s="78"/>
      <c r="GY2" s="78"/>
      <c r="GZ2" s="78">
        <v>74.5</v>
      </c>
      <c r="HA2" s="78">
        <v>74.48</v>
      </c>
      <c r="HB2" s="78">
        <v>74.739999999999995</v>
      </c>
      <c r="HC2" s="78">
        <v>76.05</v>
      </c>
      <c r="HD2" s="78">
        <v>76.05</v>
      </c>
      <c r="HE2" s="78"/>
      <c r="HF2" s="78"/>
      <c r="HG2" s="78">
        <v>76.05</v>
      </c>
      <c r="HH2" s="78">
        <v>72.41</v>
      </c>
      <c r="HI2" s="78">
        <v>70.38</v>
      </c>
      <c r="HJ2" s="78">
        <v>71.290000000000006</v>
      </c>
      <c r="HK2" s="78">
        <v>70.7</v>
      </c>
      <c r="HL2" s="78"/>
      <c r="HM2" s="78"/>
      <c r="HN2" s="78">
        <v>69.040000000000006</v>
      </c>
      <c r="HO2" s="78">
        <v>70.63</v>
      </c>
      <c r="HP2" s="78">
        <v>71.44</v>
      </c>
      <c r="HQ2" s="78">
        <v>71.31</v>
      </c>
      <c r="HR2" s="78">
        <v>70.59</v>
      </c>
      <c r="HS2" s="78"/>
      <c r="HT2" s="78"/>
      <c r="HU2" s="78">
        <v>69.510000000000005</v>
      </c>
      <c r="HV2" s="78">
        <v>69.03</v>
      </c>
      <c r="HW2" s="78">
        <v>68.23</v>
      </c>
      <c r="HX2" s="78">
        <v>66.45</v>
      </c>
      <c r="HY2" s="78">
        <v>65.180000000000007</v>
      </c>
      <c r="HZ2" s="78"/>
      <c r="IA2" s="78"/>
      <c r="IB2" s="78">
        <v>68.75</v>
      </c>
      <c r="IC2" s="78">
        <v>71.05</v>
      </c>
      <c r="ID2" s="78">
        <v>72.25</v>
      </c>
      <c r="IE2" s="78">
        <v>71.069999999999993</v>
      </c>
      <c r="IF2" s="78">
        <v>72.7</v>
      </c>
      <c r="IG2" s="78"/>
      <c r="IH2" s="78"/>
      <c r="II2" s="78">
        <v>72.23</v>
      </c>
      <c r="IJ2" s="78">
        <v>71.63</v>
      </c>
      <c r="IK2" s="78">
        <v>71.59</v>
      </c>
      <c r="IL2" s="78">
        <v>73.03</v>
      </c>
      <c r="IM2" s="78">
        <v>72.61</v>
      </c>
      <c r="IN2" s="78"/>
      <c r="IO2" s="78"/>
      <c r="IP2" s="78">
        <v>71.69</v>
      </c>
      <c r="IQ2" s="78">
        <v>71.69</v>
      </c>
      <c r="IR2" s="78">
        <v>72.599999999999994</v>
      </c>
      <c r="IS2" s="78">
        <v>71.45</v>
      </c>
      <c r="IT2" s="78">
        <v>72.92</v>
      </c>
      <c r="IU2" s="78"/>
      <c r="IV2" s="78"/>
      <c r="IW2" s="78">
        <v>73.510000000000005</v>
      </c>
      <c r="IX2" s="78">
        <v>73.599999999999994</v>
      </c>
      <c r="IY2" s="78">
        <v>75.459999999999994</v>
      </c>
      <c r="IZ2" s="78">
        <v>75.67</v>
      </c>
      <c r="JA2" s="78">
        <v>73.92</v>
      </c>
      <c r="JB2" s="78"/>
      <c r="JC2" s="78"/>
      <c r="JD2" s="78">
        <v>73.92</v>
      </c>
      <c r="JE2" s="78">
        <v>74.36</v>
      </c>
      <c r="JF2" s="78">
        <v>76.19</v>
      </c>
      <c r="JG2" s="78">
        <v>77.25</v>
      </c>
      <c r="JH2" s="78">
        <v>78.09</v>
      </c>
      <c r="JI2" s="78"/>
      <c r="JJ2" s="78"/>
      <c r="JK2" s="78">
        <v>79.53</v>
      </c>
      <c r="JL2" s="78">
        <v>79.09</v>
      </c>
      <c r="JM2" s="78">
        <v>78.09</v>
      </c>
      <c r="JN2" s="78">
        <v>78.31</v>
      </c>
      <c r="JO2" s="78">
        <v>79.28</v>
      </c>
      <c r="JP2" s="78"/>
      <c r="JQ2" s="78"/>
      <c r="JR2" s="78">
        <v>81.260000000000005</v>
      </c>
      <c r="JS2" s="78">
        <v>82.56</v>
      </c>
      <c r="JT2" s="78">
        <v>81.08</v>
      </c>
      <c r="JU2" s="78">
        <v>81.95</v>
      </c>
      <c r="JV2" s="78">
        <v>82.39</v>
      </c>
      <c r="JW2" s="78"/>
      <c r="JX2" s="78"/>
      <c r="JY2" s="78">
        <v>83.42</v>
      </c>
      <c r="JZ2" s="78">
        <v>83.42</v>
      </c>
      <c r="KA2" s="78">
        <v>83.18</v>
      </c>
      <c r="KB2" s="78">
        <v>84</v>
      </c>
      <c r="KC2" s="78">
        <v>84.86</v>
      </c>
      <c r="KD2" s="78"/>
      <c r="KE2" s="78"/>
      <c r="KF2" s="78">
        <v>84.33</v>
      </c>
      <c r="KG2" s="78">
        <v>84.33</v>
      </c>
      <c r="KH2" s="78">
        <v>85.82</v>
      </c>
      <c r="KI2" s="78">
        <v>84.61</v>
      </c>
      <c r="KJ2" s="78">
        <v>85.53</v>
      </c>
      <c r="KK2" s="78"/>
      <c r="KL2" s="78"/>
      <c r="KM2" s="78">
        <v>85.99</v>
      </c>
      <c r="KN2" s="78">
        <v>86.4</v>
      </c>
      <c r="KO2" s="78">
        <v>84.58</v>
      </c>
      <c r="KP2" s="78">
        <v>84.32</v>
      </c>
      <c r="KQ2" s="78">
        <v>84.32</v>
      </c>
      <c r="KR2" s="78"/>
      <c r="KS2" s="78"/>
      <c r="KT2" s="78">
        <v>84.72</v>
      </c>
      <c r="KU2" s="78">
        <v>84.72</v>
      </c>
      <c r="KV2" s="78">
        <v>81.99</v>
      </c>
      <c r="KW2" s="78">
        <v>80.540000000000006</v>
      </c>
      <c r="KX2" s="78">
        <v>82.74</v>
      </c>
      <c r="KY2" s="78"/>
      <c r="KZ2" s="78"/>
      <c r="LA2" s="78">
        <v>83.43</v>
      </c>
      <c r="LB2" s="78">
        <v>84.78</v>
      </c>
      <c r="LC2" s="78">
        <v>82.64</v>
      </c>
      <c r="LD2" s="78">
        <v>82.87</v>
      </c>
      <c r="LE2" s="78">
        <v>82.17</v>
      </c>
      <c r="LF2" s="78"/>
      <c r="LG2" s="78"/>
      <c r="LH2" s="78">
        <v>82.05</v>
      </c>
      <c r="LI2" s="78">
        <v>82.43</v>
      </c>
      <c r="LJ2" s="78">
        <v>80.28</v>
      </c>
      <c r="LK2" s="78">
        <v>81.239999999999995</v>
      </c>
      <c r="LL2" s="78">
        <v>78.89</v>
      </c>
      <c r="LM2" s="78"/>
      <c r="LN2" s="78"/>
      <c r="LO2" s="78">
        <v>79.7</v>
      </c>
      <c r="LP2" s="78">
        <v>82.31</v>
      </c>
      <c r="LQ2" s="78">
        <v>82.25</v>
      </c>
      <c r="LR2" s="78">
        <v>82.25</v>
      </c>
      <c r="LS2" s="78">
        <v>72.72</v>
      </c>
      <c r="LT2" s="78"/>
      <c r="LU2" s="78"/>
      <c r="LV2" s="78">
        <v>73.44</v>
      </c>
      <c r="LW2" s="78">
        <v>73.44</v>
      </c>
      <c r="LX2" s="78">
        <v>73.44</v>
      </c>
      <c r="LY2" s="78">
        <v>69.67</v>
      </c>
      <c r="LZ2" s="78">
        <v>69.88</v>
      </c>
      <c r="MA2" s="78"/>
      <c r="MB2" s="78"/>
      <c r="MC2" s="78">
        <v>73.08</v>
      </c>
      <c r="MD2" s="78">
        <v>75.44</v>
      </c>
      <c r="ME2" s="78">
        <v>75.819999999999993</v>
      </c>
      <c r="MF2" s="78">
        <v>74.42</v>
      </c>
      <c r="MG2" s="78">
        <v>75.150000000000006</v>
      </c>
      <c r="MH2" s="78"/>
      <c r="MI2" s="78"/>
      <c r="MJ2" s="78">
        <v>74.39</v>
      </c>
      <c r="MK2" s="78">
        <v>73.7</v>
      </c>
      <c r="ML2" s="78">
        <v>73.88</v>
      </c>
      <c r="MM2" s="78">
        <v>75.02</v>
      </c>
      <c r="MN2" s="78">
        <v>73.52</v>
      </c>
      <c r="MO2" s="78"/>
      <c r="MP2" s="78"/>
      <c r="MQ2" s="78">
        <v>71.52</v>
      </c>
      <c r="MR2" s="78">
        <v>73.98</v>
      </c>
      <c r="MS2" s="78">
        <v>75.290000000000006</v>
      </c>
      <c r="MT2" s="78">
        <v>76.849999999999994</v>
      </c>
      <c r="MU2" s="78">
        <v>76.849999999999994</v>
      </c>
      <c r="MV2" s="78"/>
      <c r="MW2" s="78"/>
      <c r="MX2" s="78">
        <v>78.599999999999994</v>
      </c>
      <c r="MY2" s="78">
        <v>78.94</v>
      </c>
      <c r="MZ2" s="78">
        <v>79.23</v>
      </c>
      <c r="NA2" s="78">
        <v>79.23</v>
      </c>
      <c r="NB2" s="78">
        <v>79.23</v>
      </c>
      <c r="NC2" s="83"/>
    </row>
    <row r="3" spans="1:367" s="82" customFormat="1" x14ac:dyDescent="0.25">
      <c r="A3" s="83" t="s">
        <v>161</v>
      </c>
      <c r="B3" s="84"/>
      <c r="C3" s="84"/>
      <c r="D3" s="84"/>
      <c r="E3" s="84">
        <f>E2*7.33</f>
        <v>374.48970000000003</v>
      </c>
      <c r="F3" s="84">
        <f>F2*7.33</f>
        <v>392.88800000000003</v>
      </c>
      <c r="G3" s="84">
        <f>G2*7.33</f>
        <v>398.01900000000001</v>
      </c>
      <c r="H3" s="84">
        <f>H2*7.33</f>
        <v>398.60540000000003</v>
      </c>
      <c r="I3" s="84">
        <f>I2*7.33</f>
        <v>410.4067</v>
      </c>
      <c r="J3" s="84"/>
      <c r="K3" s="84"/>
      <c r="L3" s="84">
        <f>L2*7.33</f>
        <v>407.98779999999999</v>
      </c>
      <c r="M3" s="84">
        <f>M2*7.33</f>
        <v>414.73140000000001</v>
      </c>
      <c r="N3" s="84">
        <f>N2*7.33</f>
        <v>410.91980000000001</v>
      </c>
      <c r="O3" s="84">
        <f>O2*7.33</f>
        <v>413.55860000000001</v>
      </c>
      <c r="P3" s="84">
        <f>P2*7.33</f>
        <v>403.88300000000004</v>
      </c>
      <c r="Q3" s="84"/>
      <c r="R3" s="84"/>
      <c r="S3" s="84">
        <f>S2*7.33</f>
        <v>403.88300000000004</v>
      </c>
      <c r="T3" s="84">
        <f>T2*7.33</f>
        <v>409.74700000000001</v>
      </c>
      <c r="U3" s="84">
        <f>U2*7.33</f>
        <v>411.06639999999999</v>
      </c>
      <c r="V3" s="84">
        <f>V2*7.33</f>
        <v>411.21300000000002</v>
      </c>
      <c r="W3" s="84">
        <f>W2*7.33</f>
        <v>406.15529999999995</v>
      </c>
      <c r="X3" s="84"/>
      <c r="Y3" s="84"/>
      <c r="Z3" s="84">
        <f>Z2*7.33</f>
        <v>409.60040000000004</v>
      </c>
      <c r="AA3" s="84">
        <f>AA2*7.33</f>
        <v>409.82029999999997</v>
      </c>
      <c r="AB3" s="84">
        <f>AB2*7.33</f>
        <v>409.08730000000003</v>
      </c>
      <c r="AC3" s="84">
        <f>AC2*7.33</f>
        <v>403.88300000000004</v>
      </c>
      <c r="AD3" s="84">
        <f>AD2*7.33</f>
        <v>403.44319999999999</v>
      </c>
      <c r="AE3" s="84"/>
      <c r="AF3" s="84"/>
      <c r="AG3" s="84">
        <f>AG2*7.33</f>
        <v>413.0455</v>
      </c>
      <c r="AH3" s="84">
        <f>AH2*7.33</f>
        <v>421.18180000000001</v>
      </c>
      <c r="AI3" s="84">
        <f>AI2*7.33</f>
        <v>428.51179999999999</v>
      </c>
      <c r="AJ3" s="84">
        <f>AJ2*7.33</f>
        <v>431.29720000000003</v>
      </c>
      <c r="AK3" s="84">
        <f>AK2*7.33</f>
        <v>434.96220000000005</v>
      </c>
      <c r="AL3" s="84"/>
      <c r="AM3" s="84"/>
      <c r="AN3" s="84">
        <f>AN2*7.33</f>
        <v>443.90480000000002</v>
      </c>
      <c r="AO3" s="84">
        <f>AO2*7.33</f>
        <v>447.78970000000004</v>
      </c>
      <c r="AP3" s="84">
        <f>AP2*7.33</f>
        <v>450.57510000000002</v>
      </c>
      <c r="AQ3" s="84">
        <f>AQ2*7.33</f>
        <v>448.15620000000001</v>
      </c>
      <c r="AR3" s="84">
        <f>AR2*7.33</f>
        <v>464.35550000000001</v>
      </c>
      <c r="AS3" s="84"/>
      <c r="AT3" s="84"/>
      <c r="AU3" s="84">
        <v>443.90480000000002</v>
      </c>
      <c r="AV3" s="84">
        <v>447.78970000000004</v>
      </c>
      <c r="AW3" s="84">
        <f>AW2*7.33</f>
        <v>468.6069</v>
      </c>
      <c r="AX3" s="84">
        <f>AX2*7.33</f>
        <v>468.6069</v>
      </c>
      <c r="AY3" s="84">
        <f>AY2*7.33</f>
        <v>461.13029999999998</v>
      </c>
      <c r="AZ3" s="84"/>
      <c r="BA3" s="84"/>
      <c r="BB3" s="84">
        <f>BB2*7.33</f>
        <v>478.20919999999995</v>
      </c>
      <c r="BC3" s="84">
        <f>BC2*7.33</f>
        <v>479.16210000000007</v>
      </c>
      <c r="BD3" s="84">
        <f>BD2*7.33</f>
        <v>491.40320000000003</v>
      </c>
      <c r="BE3" s="84">
        <f>BE2*7.33</f>
        <v>484.58629999999999</v>
      </c>
      <c r="BF3" s="84">
        <f>BF2*7.33</f>
        <v>472.1986</v>
      </c>
      <c r="BG3" s="84"/>
      <c r="BH3" s="84"/>
      <c r="BI3" s="84">
        <f>BI2*7.33</f>
        <v>466.84769999999997</v>
      </c>
      <c r="BJ3" s="84">
        <f>BJ2*7.33</f>
        <v>459.59100000000001</v>
      </c>
      <c r="BK3" s="84">
        <f>BK2*7.33</f>
        <v>469.63309999999996</v>
      </c>
      <c r="BL3" s="84">
        <f>BL2*7.33</f>
        <v>489.20419999999996</v>
      </c>
      <c r="BM3" s="84">
        <f>BM2*7.33</f>
        <v>508.40879999999999</v>
      </c>
      <c r="BN3" s="84"/>
      <c r="BO3" s="84"/>
      <c r="BP3" s="84">
        <f>BP2*7.33</f>
        <v>500.19919999999996</v>
      </c>
      <c r="BQ3" s="84">
        <f>BQ2*7.33</f>
        <v>494.92159999999996</v>
      </c>
      <c r="BR3" s="84">
        <f>BR2*7.33</f>
        <v>497.70700000000005</v>
      </c>
      <c r="BS3" s="84">
        <f>BS2*7.33</f>
        <v>510.38789999999995</v>
      </c>
      <c r="BT3" s="84">
        <f>BT2*7.33</f>
        <v>507.38260000000002</v>
      </c>
      <c r="BU3" s="84"/>
      <c r="BV3" s="84"/>
      <c r="BW3" s="84">
        <f>BW2*7.33</f>
        <v>504.8904</v>
      </c>
      <c r="BX3" s="84">
        <f>BX2*7.33</f>
        <v>501.2987</v>
      </c>
      <c r="BY3" s="84">
        <f>BY2*7.33</f>
        <v>498.44</v>
      </c>
      <c r="BZ3" s="84">
        <f>BZ2*7.33</f>
        <v>463.8424</v>
      </c>
      <c r="CA3" s="84">
        <f>CA2*7.33</f>
        <v>473.00490000000002</v>
      </c>
      <c r="CB3" s="84"/>
      <c r="CC3" s="84"/>
      <c r="CD3" s="84">
        <f>CD2*7.33</f>
        <v>473.66460000000006</v>
      </c>
      <c r="CE3" s="84">
        <f>CE2*7.33</f>
        <v>445.59069999999997</v>
      </c>
      <c r="CF3" s="84">
        <f>CF2*7.33</f>
        <v>472.12529999999998</v>
      </c>
      <c r="CG3" s="84">
        <f>CG2*7.33</f>
        <v>454.09350000000001</v>
      </c>
      <c r="CH3" s="84">
        <f>CH2*7.33</f>
        <v>473.29809999999998</v>
      </c>
      <c r="CI3" s="84"/>
      <c r="CJ3" s="84"/>
      <c r="CK3" s="84">
        <f>CK2*7.33</f>
        <v>476.30340000000001</v>
      </c>
      <c r="CL3" s="84">
        <f>CL2*7.33</f>
        <v>470.36610000000002</v>
      </c>
      <c r="CM3" s="84">
        <f>CM2*7.33</f>
        <v>459.88420000000002</v>
      </c>
      <c r="CN3" s="84">
        <f>CN2*7.33</f>
        <v>475.42380000000003</v>
      </c>
      <c r="CO3" s="84">
        <v>475.42380000000003</v>
      </c>
      <c r="CP3" s="84"/>
      <c r="CQ3" s="84"/>
      <c r="CR3" s="84">
        <f>CR2*7.33</f>
        <v>455.55950000000001</v>
      </c>
      <c r="CS3" s="84">
        <f>CS2*7.33</f>
        <v>459.88420000000002</v>
      </c>
      <c r="CT3" s="84">
        <f>CT2*7.33</f>
        <v>462.96279999999996</v>
      </c>
      <c r="CU3" s="84">
        <f>CU2*7.33</f>
        <v>463.25600000000003</v>
      </c>
      <c r="CV3" s="84">
        <f>CV2*7.33</f>
        <v>461.42350000000005</v>
      </c>
      <c r="CW3" s="84"/>
      <c r="CX3" s="84"/>
      <c r="CY3" s="84">
        <f>CY2*7.33</f>
        <v>463.8424</v>
      </c>
      <c r="CZ3" s="84">
        <f>CZ2*7.33</f>
        <v>466.7011</v>
      </c>
      <c r="DA3" s="84">
        <f>DA2*7.33</f>
        <v>488.03140000000002</v>
      </c>
      <c r="DB3" s="84">
        <f>DB2*7.33</f>
        <v>490.67019999999997</v>
      </c>
      <c r="DC3" s="84">
        <f>DC2*7.33</f>
        <v>489.42409999999995</v>
      </c>
      <c r="DD3" s="84"/>
      <c r="DE3" s="84"/>
      <c r="DF3" s="84">
        <f>DF2*7.33</f>
        <v>491.47649999999999</v>
      </c>
      <c r="DG3" s="84">
        <f>DG2*7.33</f>
        <v>478.79559999999998</v>
      </c>
      <c r="DH3" s="84">
        <f>DH2*7.33</f>
        <v>478.79559999999998</v>
      </c>
      <c r="DI3" s="84">
        <f>DI2*7.33</f>
        <v>479.38200000000006</v>
      </c>
      <c r="DJ3" s="84">
        <f>DJ2*7.33</f>
        <v>484.58629999999999</v>
      </c>
      <c r="DK3" s="84"/>
      <c r="DL3" s="84"/>
      <c r="DM3" s="84">
        <f>DM2*7.33</f>
        <v>481.21450000000004</v>
      </c>
      <c r="DN3" s="84">
        <f>DN2*7.33</f>
        <v>486.85860000000002</v>
      </c>
      <c r="DO3" s="84">
        <f>DO2*7.33</f>
        <v>493.08909999999997</v>
      </c>
      <c r="DP3" s="84">
        <f>DP2*7.33</f>
        <v>498.80649999999997</v>
      </c>
      <c r="DQ3" s="84">
        <f>DQ2*7.33</f>
        <v>489.35080000000005</v>
      </c>
      <c r="DR3" s="84"/>
      <c r="DS3" s="84"/>
      <c r="DT3" s="84">
        <f>DT2*7.33</f>
        <v>495.21480000000003</v>
      </c>
      <c r="DU3" s="84">
        <f>DU2*7.33</f>
        <v>504.8904</v>
      </c>
      <c r="DV3" s="84">
        <f>DV2*7.33</f>
        <v>505.47679999999997</v>
      </c>
      <c r="DW3" s="84">
        <f>DW2*7.33</f>
        <v>499.09970000000004</v>
      </c>
      <c r="DX3" s="84">
        <f>DX2*7.33</f>
        <v>500.49240000000003</v>
      </c>
      <c r="DY3" s="84"/>
      <c r="DZ3" s="84"/>
      <c r="EA3" s="84">
        <f>EA2*7.33</f>
        <v>500.78559999999993</v>
      </c>
      <c r="EB3" s="84">
        <f>EB2*7.33</f>
        <v>502.47149999999999</v>
      </c>
      <c r="EC3" s="84">
        <f>EC2*7.33</f>
        <v>508.11559999999997</v>
      </c>
      <c r="ED3" s="84">
        <f>ED2*7.33</f>
        <v>491.47649999999999</v>
      </c>
      <c r="EE3" s="84">
        <f>EE2*7.33</f>
        <v>503.64429999999999</v>
      </c>
      <c r="EF3" s="84"/>
      <c r="EG3" s="84"/>
      <c r="EH3" s="84">
        <f>EH2*7.33</f>
        <v>509.14179999999993</v>
      </c>
      <c r="EI3" s="84">
        <f>EI2*7.33</f>
        <v>503.64429999999999</v>
      </c>
      <c r="EJ3" s="84">
        <f>EJ2*7.33</f>
        <v>488.61779999999999</v>
      </c>
      <c r="EK3" s="84">
        <f>EK2*7.33</f>
        <v>477.25630000000001</v>
      </c>
      <c r="EL3" s="84">
        <f>EL2*7.33</f>
        <v>487.0052</v>
      </c>
      <c r="EM3" s="84"/>
      <c r="EN3" s="84"/>
      <c r="EO3" s="84">
        <f>EO2*7.33</f>
        <v>501.81179999999995</v>
      </c>
      <c r="EP3" s="84">
        <f>EP2*7.33</f>
        <v>503.20450000000005</v>
      </c>
      <c r="EQ3" s="84">
        <f>EQ2*7.33</f>
        <v>504.81710000000004</v>
      </c>
      <c r="ER3" s="84">
        <f>ER2*7.33</f>
        <v>507.23600000000005</v>
      </c>
      <c r="ES3" s="84">
        <f>ES2*7.33</f>
        <v>503.7176</v>
      </c>
      <c r="ET3" s="84"/>
      <c r="EU3" s="84"/>
      <c r="EV3" s="84">
        <f>EV2*7.33</f>
        <v>503.7176</v>
      </c>
      <c r="EW3" s="84">
        <f>EW2*7.33</f>
        <v>514.9325</v>
      </c>
      <c r="EX3" s="84">
        <f>EX2*7.33</f>
        <v>522.70230000000004</v>
      </c>
      <c r="EY3" s="84">
        <v>522.70230000000004</v>
      </c>
      <c r="EZ3" s="84">
        <f>EZ2*7.33</f>
        <v>526.95370000000003</v>
      </c>
      <c r="FA3" s="84"/>
      <c r="FB3" s="84"/>
      <c r="FC3" s="84">
        <f>FC2*7.33</f>
        <v>524.02170000000001</v>
      </c>
      <c r="FD3" s="84">
        <f>FD2*7.33</f>
        <v>529.37260000000003</v>
      </c>
      <c r="FE3" s="84">
        <f>FE2*7.33</f>
        <v>529.37260000000003</v>
      </c>
      <c r="FF3" s="84">
        <f>FF2*7.33</f>
        <v>531.57159999999999</v>
      </c>
      <c r="FG3" s="84">
        <f>FG2*7.33</f>
        <v>532.81769999999995</v>
      </c>
      <c r="FH3" s="84"/>
      <c r="FI3" s="84"/>
      <c r="FJ3" s="84">
        <f>FJ2*7.33</f>
        <v>534.06380000000001</v>
      </c>
      <c r="FK3" s="84">
        <f>FK2*7.33</f>
        <v>542.34669999999994</v>
      </c>
      <c r="FL3" s="84">
        <f>FL2*7.33</f>
        <v>545.27869999999996</v>
      </c>
      <c r="FM3" s="84">
        <f>FM2*7.33</f>
        <v>535.67639999999994</v>
      </c>
      <c r="FN3" s="84">
        <f>FN2*7.33</f>
        <v>538.82830000000001</v>
      </c>
      <c r="FO3" s="84"/>
      <c r="FP3" s="84"/>
      <c r="FQ3" s="84">
        <f>FQ2*7.33</f>
        <v>549.01700000000005</v>
      </c>
      <c r="FR3" s="84">
        <f>FR2*7.33</f>
        <v>548.35730000000001</v>
      </c>
      <c r="FS3" s="84">
        <f>FS2*7.33</f>
        <v>551.14269999999999</v>
      </c>
      <c r="FT3" s="84">
        <f>FT2*7.33</f>
        <v>553.85480000000007</v>
      </c>
      <c r="FU3" s="84">
        <f>FU2*7.33</f>
        <v>558.39940000000001</v>
      </c>
      <c r="FV3" s="84"/>
      <c r="FW3" s="84"/>
      <c r="FX3" s="84">
        <f>FX2*7.33</f>
        <v>547.40440000000001</v>
      </c>
      <c r="FY3" s="84">
        <f>FY2*7.33</f>
        <v>547.99080000000004</v>
      </c>
      <c r="FZ3" s="84">
        <f>FZ2*7.33</f>
        <v>547.99080000000004</v>
      </c>
      <c r="GA3" s="84">
        <f>GA2*7.33</f>
        <v>547.99080000000004</v>
      </c>
      <c r="GB3" s="84">
        <f>GB2*7.33</f>
        <v>558.3261</v>
      </c>
      <c r="GC3" s="84"/>
      <c r="GD3" s="84"/>
      <c r="GE3" s="84">
        <f>GE2*7.33</f>
        <v>558.3261</v>
      </c>
      <c r="GF3" s="84">
        <f>GF2*7.33</f>
        <v>546.30489999999998</v>
      </c>
      <c r="GG3" s="84">
        <f>GG2*7.33</f>
        <v>538.2419000000001</v>
      </c>
      <c r="GH3" s="84">
        <f>GH2*7.33</f>
        <v>543.29960000000005</v>
      </c>
      <c r="GI3" s="84">
        <f>GI2*7.33</f>
        <v>553.78149999999994</v>
      </c>
      <c r="GJ3" s="84"/>
      <c r="GK3" s="84"/>
      <c r="GL3" s="84">
        <f>GL2*7.33</f>
        <v>550.92279999999994</v>
      </c>
      <c r="GM3" s="84">
        <f>GM2*7.33</f>
        <v>560.67169999999999</v>
      </c>
      <c r="GN3" s="84">
        <f>GN2*7.33</f>
        <v>547.99080000000004</v>
      </c>
      <c r="GO3" s="84">
        <f>GO2*7.33</f>
        <v>538.53509999999994</v>
      </c>
      <c r="GP3" s="84">
        <f>GP2*7.33</f>
        <v>539.41470000000004</v>
      </c>
      <c r="GQ3" s="84"/>
      <c r="GR3" s="84"/>
      <c r="GS3" s="84">
        <f>GS2*7.33</f>
        <v>502.98460000000006</v>
      </c>
      <c r="GT3" s="84">
        <f>GT2*7.33</f>
        <v>508.33549999999997</v>
      </c>
      <c r="GU3" s="84">
        <f>GU2*7.33</f>
        <v>529.44590000000005</v>
      </c>
      <c r="GV3" s="84">
        <f>GV2*7.33</f>
        <v>540.88070000000005</v>
      </c>
      <c r="GW3" s="84">
        <f>GW2*7.33</f>
        <v>543.15300000000002</v>
      </c>
      <c r="GX3" s="84"/>
      <c r="GY3" s="84"/>
      <c r="GZ3" s="84">
        <f>GZ2*7.33</f>
        <v>546.08500000000004</v>
      </c>
      <c r="HA3" s="84">
        <f>HA2*7.33</f>
        <v>545.9384</v>
      </c>
      <c r="HB3" s="84">
        <f>HB2*7.33</f>
        <v>547.8442</v>
      </c>
      <c r="HC3" s="84">
        <f>HC2*7.33</f>
        <v>557.44650000000001</v>
      </c>
      <c r="HD3" s="84">
        <f>HD2*7.33</f>
        <v>557.44650000000001</v>
      </c>
      <c r="HE3" s="84"/>
      <c r="HF3" s="84"/>
      <c r="HG3" s="84">
        <f>HG2*7.33</f>
        <v>557.44650000000001</v>
      </c>
      <c r="HH3" s="84">
        <f>HH2*7.33</f>
        <v>530.76530000000002</v>
      </c>
      <c r="HI3" s="84">
        <f>HI2*7.33</f>
        <v>515.8854</v>
      </c>
      <c r="HJ3" s="84">
        <f>HJ2*7.33</f>
        <v>522.5557</v>
      </c>
      <c r="HK3" s="84">
        <f>HK2*7.33</f>
        <v>518.23099999999999</v>
      </c>
      <c r="HL3" s="84"/>
      <c r="HM3" s="84"/>
      <c r="HN3" s="84">
        <f>HN2*7.33</f>
        <v>506.06320000000005</v>
      </c>
      <c r="HO3" s="84">
        <f>HO2*7.33</f>
        <v>517.71789999999999</v>
      </c>
      <c r="HP3" s="84">
        <f>HP2*7.33</f>
        <v>523.65520000000004</v>
      </c>
      <c r="HQ3" s="84">
        <f>HQ2*7.33</f>
        <v>522.70230000000004</v>
      </c>
      <c r="HR3" s="84">
        <f>HR2*7.33</f>
        <v>517.42470000000003</v>
      </c>
      <c r="HS3" s="84"/>
      <c r="HT3" s="84"/>
      <c r="HU3" s="84">
        <f>HU2*7.33</f>
        <v>509.50830000000002</v>
      </c>
      <c r="HV3" s="84">
        <f>HV2*7.33</f>
        <v>505.98990000000003</v>
      </c>
      <c r="HW3" s="84">
        <f>HW2*7.33</f>
        <v>500.12590000000006</v>
      </c>
      <c r="HX3" s="84">
        <f>HX2*7.33</f>
        <v>487.07850000000002</v>
      </c>
      <c r="HY3" s="84">
        <f>HY2*7.33</f>
        <v>477.76940000000008</v>
      </c>
      <c r="HZ3" s="84"/>
      <c r="IA3" s="84"/>
      <c r="IB3" s="84">
        <f>IB2*7.33</f>
        <v>503.9375</v>
      </c>
      <c r="IC3" s="84">
        <f>IC2*7.33</f>
        <v>520.79650000000004</v>
      </c>
      <c r="ID3" s="84">
        <f>ID2*7.33</f>
        <v>529.59249999999997</v>
      </c>
      <c r="IE3" s="84">
        <f>IE2*7.33</f>
        <v>520.94309999999996</v>
      </c>
      <c r="IF3" s="84">
        <f>IF2*7.33</f>
        <v>532.89100000000008</v>
      </c>
      <c r="IG3" s="84"/>
      <c r="IH3" s="84"/>
      <c r="II3" s="84">
        <f>II2*7.33</f>
        <v>529.44590000000005</v>
      </c>
      <c r="IJ3" s="84">
        <f>IJ2*7.33</f>
        <v>525.04790000000003</v>
      </c>
      <c r="IK3" s="84">
        <f>IK2*7.33</f>
        <v>524.75470000000007</v>
      </c>
      <c r="IL3" s="84">
        <f>IL2*7.33</f>
        <v>535.30989999999997</v>
      </c>
      <c r="IM3" s="84">
        <f>IM2*7.33</f>
        <v>532.23130000000003</v>
      </c>
      <c r="IN3" s="84"/>
      <c r="IO3" s="84"/>
      <c r="IP3" s="84">
        <f>IP2*7.33</f>
        <v>525.48770000000002</v>
      </c>
      <c r="IQ3" s="84">
        <f>IQ2*7.33</f>
        <v>525.48770000000002</v>
      </c>
      <c r="IR3" s="84">
        <f>IR2*7.33</f>
        <v>532.15800000000002</v>
      </c>
      <c r="IS3" s="84">
        <f>IS2*7.33</f>
        <v>523.72850000000005</v>
      </c>
      <c r="IT3" s="84">
        <f>IT2*7.33</f>
        <v>534.50360000000001</v>
      </c>
      <c r="IU3" s="84"/>
      <c r="IV3" s="84"/>
      <c r="IW3" s="84">
        <f>IW2*7.33</f>
        <v>538.82830000000001</v>
      </c>
      <c r="IX3" s="84">
        <f>IX2*7.33</f>
        <v>539.48799999999994</v>
      </c>
      <c r="IY3" s="84">
        <f>IY2*7.33</f>
        <v>553.12180000000001</v>
      </c>
      <c r="IZ3" s="84">
        <f>IZ2*7.33</f>
        <v>554.66110000000003</v>
      </c>
      <c r="JA3" s="84">
        <f>JA2*7.33</f>
        <v>541.83360000000005</v>
      </c>
      <c r="JB3" s="84"/>
      <c r="JC3" s="84"/>
      <c r="JD3" s="84">
        <f>JD2*7.33</f>
        <v>541.83360000000005</v>
      </c>
      <c r="JE3" s="84">
        <f>JE2*7.33</f>
        <v>545.05880000000002</v>
      </c>
      <c r="JF3" s="84">
        <f>JF2*7.33</f>
        <v>558.47270000000003</v>
      </c>
      <c r="JG3" s="84">
        <f>JG2*7.33</f>
        <v>566.24249999999995</v>
      </c>
      <c r="JH3" s="84">
        <f>JH2*7.33</f>
        <v>572.39970000000005</v>
      </c>
      <c r="JI3" s="84"/>
      <c r="JJ3" s="84"/>
      <c r="JK3" s="84">
        <f>JK2*7.33</f>
        <v>582.95490000000007</v>
      </c>
      <c r="JL3" s="84">
        <f>JL2*7.33</f>
        <v>579.72969999999998</v>
      </c>
      <c r="JM3" s="84">
        <f>JM2*7.33</f>
        <v>572.39970000000005</v>
      </c>
      <c r="JN3" s="84">
        <f>JN2*7.33</f>
        <v>574.01229999999998</v>
      </c>
      <c r="JO3" s="84">
        <f>JO2*7.33</f>
        <v>581.12239999999997</v>
      </c>
      <c r="JP3" s="84"/>
      <c r="JQ3" s="84"/>
      <c r="JR3" s="84">
        <f>JR2*7.33</f>
        <v>595.63580000000002</v>
      </c>
      <c r="JS3" s="84">
        <f>JS2*7.33</f>
        <v>605.16480000000001</v>
      </c>
      <c r="JT3" s="84">
        <f>JT2*7.33</f>
        <v>594.31640000000004</v>
      </c>
      <c r="JU3" s="84">
        <f>JU2*7.33</f>
        <v>600.69349999999997</v>
      </c>
      <c r="JV3" s="84">
        <f>JV2*7.33</f>
        <v>603.91870000000006</v>
      </c>
      <c r="JW3" s="84"/>
      <c r="JX3" s="84"/>
      <c r="JY3" s="84">
        <f>JY2*7.33</f>
        <v>611.46860000000004</v>
      </c>
      <c r="JZ3" s="84">
        <f>JZ2*7.33</f>
        <v>611.46860000000004</v>
      </c>
      <c r="KA3" s="84">
        <f>KA2*7.33</f>
        <v>609.70940000000007</v>
      </c>
      <c r="KB3" s="84">
        <f>KB2*7.33</f>
        <v>615.72</v>
      </c>
      <c r="KC3" s="84">
        <f>KC2*7.33</f>
        <v>622.02380000000005</v>
      </c>
      <c r="KD3" s="84"/>
      <c r="KE3" s="84"/>
      <c r="KF3" s="84">
        <f>KF2*7.33</f>
        <v>618.13890000000004</v>
      </c>
      <c r="KG3" s="84">
        <f>KG2*7.33</f>
        <v>618.13890000000004</v>
      </c>
      <c r="KH3" s="84">
        <f>KH2*7.33</f>
        <v>629.06059999999991</v>
      </c>
      <c r="KI3" s="84">
        <f>KI2*7.33</f>
        <v>620.19129999999996</v>
      </c>
      <c r="KJ3" s="84">
        <f>KJ2*7.33</f>
        <v>626.93489999999997</v>
      </c>
      <c r="KK3" s="84"/>
      <c r="KL3" s="84"/>
      <c r="KM3" s="84">
        <f>KM2*7.33</f>
        <v>630.30669999999998</v>
      </c>
      <c r="KN3" s="84">
        <f>KN2*7.33</f>
        <v>633.31200000000001</v>
      </c>
      <c r="KO3" s="84">
        <f>KO2*7.33</f>
        <v>619.97140000000002</v>
      </c>
      <c r="KP3" s="84">
        <f>KP2*7.33</f>
        <v>618.0655999999999</v>
      </c>
      <c r="KQ3" s="84">
        <f>KQ2*7.33</f>
        <v>618.0655999999999</v>
      </c>
      <c r="KR3" s="84"/>
      <c r="KS3" s="84"/>
      <c r="KT3" s="84">
        <f>KT2*7.33</f>
        <v>620.99760000000003</v>
      </c>
      <c r="KU3" s="84">
        <f>KU2*7.33</f>
        <v>620.99760000000003</v>
      </c>
      <c r="KV3" s="84">
        <f>KV2*7.33</f>
        <v>600.98669999999993</v>
      </c>
      <c r="KW3" s="84">
        <f>KW2*7.33</f>
        <v>590.35820000000001</v>
      </c>
      <c r="KX3" s="84">
        <f>KX2*7.33</f>
        <v>606.48419999999999</v>
      </c>
      <c r="KY3" s="84"/>
      <c r="KZ3" s="84"/>
      <c r="LA3" s="84">
        <f>LA2*7.33</f>
        <v>611.54190000000006</v>
      </c>
      <c r="LB3" s="84">
        <f>LB2*7.33</f>
        <v>621.43740000000003</v>
      </c>
      <c r="LC3" s="84">
        <f>LC2*7.33</f>
        <v>605.75120000000004</v>
      </c>
      <c r="LD3" s="84">
        <f>LD2*7.33</f>
        <v>607.43709999999999</v>
      </c>
      <c r="LE3" s="84">
        <f>LE2*7.33</f>
        <v>602.30610000000001</v>
      </c>
      <c r="LF3" s="84"/>
      <c r="LG3" s="84"/>
      <c r="LH3" s="84">
        <f>LH2*7.33</f>
        <v>601.42650000000003</v>
      </c>
      <c r="LI3" s="84">
        <f>LI2*7.33</f>
        <v>604.21190000000001</v>
      </c>
      <c r="LJ3" s="84">
        <f>LJ2*7.33</f>
        <v>588.45240000000001</v>
      </c>
      <c r="LK3" s="84">
        <f>LK2*7.33</f>
        <v>595.48919999999998</v>
      </c>
      <c r="LL3" s="84">
        <f>LL2*7.33</f>
        <v>578.26369999999997</v>
      </c>
      <c r="LM3" s="84"/>
      <c r="LN3" s="84"/>
      <c r="LO3" s="84">
        <f>LO2*7.33</f>
        <v>584.20100000000002</v>
      </c>
      <c r="LP3" s="84">
        <f>LP2*7.33</f>
        <v>603.33230000000003</v>
      </c>
      <c r="LQ3" s="84">
        <f>LQ2*7.33</f>
        <v>602.89250000000004</v>
      </c>
      <c r="LR3" s="84">
        <f>LR2*7.33</f>
        <v>602.89250000000004</v>
      </c>
      <c r="LS3" s="84">
        <f>LS2*7.33</f>
        <v>533.0376</v>
      </c>
      <c r="LT3" s="84"/>
      <c r="LU3" s="84"/>
      <c r="LV3" s="84">
        <f>LV2*7.33</f>
        <v>538.3152</v>
      </c>
      <c r="LW3" s="84">
        <f>LW2*7.33</f>
        <v>538.3152</v>
      </c>
      <c r="LX3" s="84">
        <f>LX2*7.33</f>
        <v>538.3152</v>
      </c>
      <c r="LY3" s="84">
        <f>LY2*7.33</f>
        <v>510.68110000000001</v>
      </c>
      <c r="LZ3" s="84">
        <f>LZ2*7.33</f>
        <v>512.22039999999993</v>
      </c>
      <c r="MA3" s="84"/>
      <c r="MB3" s="84"/>
      <c r="MC3" s="84">
        <f>MC2*7.33</f>
        <v>535.67639999999994</v>
      </c>
      <c r="MD3" s="84">
        <f>MD2*7.33</f>
        <v>552.97519999999997</v>
      </c>
      <c r="ME3" s="84">
        <f>ME2*7.33</f>
        <v>555.76059999999995</v>
      </c>
      <c r="MF3" s="84">
        <f>MF2*7.33</f>
        <v>545.49860000000001</v>
      </c>
      <c r="MG3" s="84">
        <f>MG2*7.33</f>
        <v>550.84950000000003</v>
      </c>
      <c r="MH3" s="84"/>
      <c r="MI3" s="84"/>
      <c r="MJ3" s="84">
        <f>MJ2*7.33</f>
        <v>545.27869999999996</v>
      </c>
      <c r="MK3" s="84">
        <f>MK2*7.33</f>
        <v>540.221</v>
      </c>
      <c r="ML3" s="84">
        <f>ML2*7.33</f>
        <v>541.54039999999998</v>
      </c>
      <c r="MM3" s="84">
        <f>MM2*7.33</f>
        <v>549.89659999999992</v>
      </c>
      <c r="MN3" s="84">
        <f>MN2*7.33</f>
        <v>538.90160000000003</v>
      </c>
      <c r="MO3" s="84"/>
      <c r="MP3" s="84"/>
      <c r="MQ3" s="84">
        <f>MQ2*7.33</f>
        <v>524.24159999999995</v>
      </c>
      <c r="MR3" s="84">
        <f>MR2*7.33</f>
        <v>542.27340000000004</v>
      </c>
      <c r="MS3" s="84">
        <f>MS2*7.33</f>
        <v>551.87570000000005</v>
      </c>
      <c r="MT3" s="84">
        <f>MT2*7.33</f>
        <v>563.31049999999993</v>
      </c>
      <c r="MU3" s="84">
        <f>MU2*7.33</f>
        <v>563.31049999999993</v>
      </c>
      <c r="MV3" s="84"/>
      <c r="MW3" s="84"/>
      <c r="MX3" s="84">
        <f>MX2*7.33</f>
        <v>576.13799999999992</v>
      </c>
      <c r="MY3" s="84">
        <f>MY2*7.33</f>
        <v>578.63019999999995</v>
      </c>
      <c r="MZ3" s="84">
        <f>MZ2*7.33</f>
        <v>580.7559</v>
      </c>
      <c r="NA3" s="84">
        <f>NA2*7.33</f>
        <v>580.7559</v>
      </c>
      <c r="NB3" s="84">
        <f>NB2*7.33</f>
        <v>580.7559</v>
      </c>
      <c r="NC3" s="83"/>
    </row>
    <row r="4" spans="1:367" s="82" customFormat="1" hidden="1" x14ac:dyDescent="0.25">
      <c r="A4" s="81" t="s">
        <v>174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/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8"/>
      <c r="JN4" s="78"/>
      <c r="JO4" s="78"/>
      <c r="JP4" s="78"/>
      <c r="JQ4" s="78"/>
      <c r="JR4" s="78"/>
      <c r="JS4" s="78"/>
      <c r="JT4" s="78"/>
      <c r="JU4" s="78"/>
      <c r="JV4" s="78"/>
      <c r="JW4" s="78"/>
      <c r="JX4" s="78"/>
      <c r="JY4" s="78"/>
      <c r="JZ4" s="78"/>
      <c r="KA4" s="78"/>
      <c r="KB4" s="78"/>
      <c r="KC4" s="78"/>
      <c r="KD4" s="78"/>
      <c r="KE4" s="78"/>
      <c r="KF4" s="78"/>
      <c r="KG4" s="78"/>
      <c r="KH4" s="78"/>
      <c r="KI4" s="78"/>
      <c r="KJ4" s="78"/>
      <c r="KK4" s="78"/>
      <c r="KL4" s="78"/>
      <c r="KM4" s="78"/>
      <c r="KN4" s="78"/>
      <c r="KO4" s="78"/>
      <c r="KP4" s="78"/>
      <c r="KQ4" s="78"/>
      <c r="KR4" s="78"/>
      <c r="KS4" s="78"/>
      <c r="KT4" s="78"/>
      <c r="KU4" s="78"/>
      <c r="KV4" s="78"/>
      <c r="KW4" s="78"/>
      <c r="KX4" s="78"/>
      <c r="KY4" s="78"/>
      <c r="KZ4" s="78"/>
      <c r="LA4" s="78"/>
      <c r="LB4" s="78"/>
      <c r="LC4" s="78"/>
      <c r="LD4" s="78"/>
      <c r="LE4" s="78"/>
      <c r="LF4" s="78"/>
      <c r="LG4" s="78"/>
      <c r="LH4" s="78"/>
      <c r="LI4" s="78"/>
      <c r="LJ4" s="78"/>
      <c r="LK4" s="78"/>
      <c r="LL4" s="78"/>
      <c r="LM4" s="78"/>
      <c r="LN4" s="78"/>
      <c r="LO4" s="78"/>
      <c r="LP4" s="78"/>
      <c r="LQ4" s="78"/>
      <c r="LR4" s="78"/>
      <c r="LS4" s="78"/>
      <c r="LT4" s="78"/>
      <c r="LU4" s="78"/>
      <c r="LV4" s="78"/>
      <c r="LW4" s="78"/>
      <c r="LX4" s="78"/>
      <c r="LY4" s="78"/>
      <c r="LZ4" s="78"/>
      <c r="MA4" s="78"/>
      <c r="MB4" s="78"/>
      <c r="MC4" s="78"/>
      <c r="MD4" s="78"/>
      <c r="ME4" s="78"/>
      <c r="MF4" s="78"/>
      <c r="MG4" s="78"/>
      <c r="MH4" s="78"/>
      <c r="MI4" s="78"/>
      <c r="MJ4" s="78"/>
      <c r="MK4" s="78"/>
      <c r="ML4" s="78"/>
      <c r="MM4" s="78"/>
      <c r="MN4" s="78"/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83"/>
    </row>
    <row r="5" spans="1:367" s="82" customFormat="1" hidden="1" x14ac:dyDescent="0.25">
      <c r="A5" s="82" t="s">
        <v>173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85"/>
      <c r="EU5" s="85"/>
      <c r="EV5" s="85"/>
      <c r="EW5" s="85"/>
      <c r="EX5" s="85"/>
      <c r="EY5" s="85"/>
      <c r="EZ5" s="85"/>
      <c r="FA5" s="85"/>
      <c r="FB5" s="85"/>
      <c r="FC5" s="85"/>
      <c r="FD5" s="85"/>
      <c r="FE5" s="85"/>
      <c r="FF5" s="85"/>
      <c r="FG5" s="85"/>
      <c r="FH5" s="85"/>
      <c r="FI5" s="85"/>
      <c r="FJ5" s="85"/>
      <c r="FK5" s="85"/>
      <c r="FL5" s="85"/>
      <c r="FM5" s="85"/>
      <c r="FN5" s="85"/>
      <c r="FO5" s="85"/>
      <c r="FP5" s="85"/>
      <c r="FQ5" s="85"/>
      <c r="FR5" s="85"/>
      <c r="FS5" s="85"/>
      <c r="FT5" s="85"/>
      <c r="FU5" s="85"/>
      <c r="FV5" s="85"/>
      <c r="FW5" s="85"/>
      <c r="FX5" s="85"/>
      <c r="FY5" s="85"/>
      <c r="FZ5" s="85"/>
      <c r="GA5" s="85"/>
      <c r="GB5" s="85"/>
      <c r="GC5" s="85"/>
      <c r="GD5" s="85"/>
      <c r="GE5" s="85"/>
      <c r="GF5" s="85"/>
      <c r="GG5" s="85"/>
      <c r="GH5" s="85"/>
      <c r="GI5" s="85"/>
      <c r="GJ5" s="85"/>
      <c r="GK5" s="85"/>
      <c r="GL5" s="85"/>
      <c r="GM5" s="85"/>
      <c r="GN5" s="85"/>
      <c r="GO5" s="85"/>
      <c r="GP5" s="85"/>
      <c r="GQ5" s="85"/>
      <c r="GR5" s="85"/>
      <c r="GS5" s="85"/>
      <c r="GT5" s="85"/>
      <c r="GU5" s="85"/>
      <c r="GV5" s="85"/>
      <c r="GW5" s="85"/>
      <c r="GX5" s="85"/>
      <c r="GY5" s="85"/>
      <c r="GZ5" s="85"/>
      <c r="HA5" s="85"/>
      <c r="HB5" s="85"/>
      <c r="HC5" s="85"/>
      <c r="HD5" s="85"/>
      <c r="HE5" s="85"/>
      <c r="HF5" s="85"/>
      <c r="HG5" s="85"/>
      <c r="HH5" s="85"/>
      <c r="HI5" s="85"/>
      <c r="HJ5" s="85"/>
      <c r="HK5" s="85"/>
      <c r="HL5" s="85"/>
      <c r="HM5" s="85"/>
      <c r="HN5" s="85"/>
      <c r="HO5" s="85"/>
      <c r="HP5" s="85"/>
      <c r="HQ5" s="85"/>
      <c r="HR5" s="85"/>
      <c r="HS5" s="85"/>
      <c r="HT5" s="85"/>
      <c r="HU5" s="85"/>
      <c r="HV5" s="85"/>
      <c r="HW5" s="85"/>
      <c r="HX5" s="85"/>
      <c r="HY5" s="85"/>
      <c r="HZ5" s="85"/>
      <c r="IA5" s="85"/>
      <c r="IB5" s="85"/>
      <c r="IC5" s="85"/>
      <c r="ID5" s="85"/>
      <c r="IE5" s="85"/>
      <c r="IF5" s="85"/>
      <c r="IG5" s="85"/>
      <c r="IH5" s="85"/>
      <c r="II5" s="85"/>
      <c r="IJ5" s="85"/>
      <c r="IK5" s="85"/>
      <c r="IL5" s="85"/>
      <c r="IM5" s="85"/>
      <c r="IN5" s="85"/>
      <c r="IO5" s="85"/>
      <c r="IP5" s="85"/>
      <c r="IQ5" s="85"/>
      <c r="IR5" s="85"/>
      <c r="IS5" s="85"/>
      <c r="IT5" s="85"/>
      <c r="IU5" s="85"/>
      <c r="IV5" s="85"/>
      <c r="IW5" s="85"/>
      <c r="IX5" s="85"/>
      <c r="IY5" s="85"/>
      <c r="IZ5" s="85"/>
      <c r="JA5" s="85"/>
      <c r="JB5" s="85"/>
      <c r="JC5" s="85"/>
      <c r="JD5" s="85"/>
      <c r="JE5" s="85"/>
      <c r="JF5" s="85"/>
      <c r="JG5" s="85"/>
      <c r="JH5" s="85"/>
      <c r="JI5" s="85"/>
      <c r="JJ5" s="85"/>
      <c r="JK5" s="85"/>
      <c r="JL5" s="85"/>
      <c r="JM5" s="85"/>
      <c r="JN5" s="85"/>
      <c r="JO5" s="85"/>
      <c r="JP5" s="85"/>
      <c r="JQ5" s="85"/>
      <c r="JR5" s="85"/>
      <c r="JS5" s="85"/>
      <c r="JT5" s="85"/>
      <c r="JU5" s="85"/>
      <c r="JV5" s="85"/>
      <c r="JW5" s="85"/>
      <c r="JX5" s="85"/>
      <c r="JY5" s="85"/>
      <c r="JZ5" s="85"/>
      <c r="KA5" s="85"/>
      <c r="KB5" s="85"/>
      <c r="KC5" s="85"/>
      <c r="KD5" s="85"/>
      <c r="KE5" s="85"/>
      <c r="KF5" s="85"/>
      <c r="KG5" s="85"/>
      <c r="KH5" s="85"/>
      <c r="KI5" s="85"/>
      <c r="KJ5" s="85"/>
      <c r="KK5" s="85"/>
      <c r="KL5" s="85"/>
      <c r="KM5" s="85"/>
      <c r="KN5" s="85"/>
      <c r="KO5" s="85"/>
      <c r="KP5" s="85"/>
      <c r="KQ5" s="85"/>
      <c r="KR5" s="85"/>
      <c r="KS5" s="85"/>
      <c r="KT5" s="85"/>
      <c r="KU5" s="85"/>
      <c r="KV5" s="85"/>
      <c r="KW5" s="85"/>
      <c r="KX5" s="85"/>
      <c r="KY5" s="85"/>
      <c r="KZ5" s="85"/>
      <c r="LA5" s="85"/>
      <c r="LB5" s="85"/>
      <c r="LC5" s="85"/>
      <c r="LD5" s="85"/>
      <c r="LE5" s="85"/>
      <c r="LF5" s="85"/>
      <c r="LG5" s="85"/>
      <c r="LH5" s="85"/>
      <c r="LI5" s="85"/>
      <c r="LJ5" s="85"/>
      <c r="LK5" s="85"/>
      <c r="LL5" s="85"/>
      <c r="LM5" s="85"/>
      <c r="LN5" s="85"/>
      <c r="LO5" s="85"/>
      <c r="LP5" s="85"/>
      <c r="LQ5" s="85"/>
      <c r="LR5" s="85"/>
      <c r="LS5" s="85"/>
      <c r="LT5" s="85"/>
      <c r="LU5" s="85"/>
      <c r="LV5" s="85"/>
      <c r="LW5" s="85"/>
      <c r="LX5" s="85"/>
      <c r="LY5" s="85"/>
      <c r="LZ5" s="85"/>
      <c r="MA5" s="85"/>
      <c r="MB5" s="85"/>
      <c r="MC5" s="85"/>
      <c r="MD5" s="85"/>
      <c r="ME5" s="85"/>
      <c r="MF5" s="85"/>
      <c r="MG5" s="85"/>
      <c r="MH5" s="85"/>
      <c r="MI5" s="85"/>
      <c r="MJ5" s="85"/>
      <c r="MK5" s="85"/>
      <c r="ML5" s="85"/>
      <c r="MM5" s="85"/>
      <c r="MN5" s="85"/>
      <c r="MO5" s="85"/>
      <c r="MP5" s="85"/>
      <c r="MQ5" s="85"/>
      <c r="MR5" s="85"/>
      <c r="MS5" s="85"/>
      <c r="MT5" s="85"/>
      <c r="MU5" s="85"/>
      <c r="MV5" s="85"/>
      <c r="MW5" s="85"/>
      <c r="MX5" s="85"/>
      <c r="MY5" s="85"/>
      <c r="MZ5" s="85"/>
      <c r="NA5" s="85"/>
      <c r="NB5" s="85"/>
      <c r="NC5" s="83"/>
    </row>
    <row r="6" spans="1:367" s="82" customFormat="1" hidden="1" x14ac:dyDescent="0.25">
      <c r="A6" s="81" t="s">
        <v>172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  <c r="IX6" s="78"/>
      <c r="IY6" s="78"/>
      <c r="IZ6" s="78"/>
      <c r="JA6" s="78"/>
      <c r="JB6" s="78"/>
      <c r="JC6" s="78"/>
      <c r="JD6" s="78"/>
      <c r="JE6" s="78"/>
      <c r="JF6" s="78"/>
      <c r="JG6" s="78"/>
      <c r="JH6" s="78"/>
      <c r="JI6" s="78"/>
      <c r="JJ6" s="78"/>
      <c r="JK6" s="78"/>
      <c r="JL6" s="78"/>
      <c r="JM6" s="78"/>
      <c r="JN6" s="78"/>
      <c r="JO6" s="78"/>
      <c r="JP6" s="78"/>
      <c r="JQ6" s="78"/>
      <c r="JR6" s="78"/>
      <c r="JS6" s="78"/>
      <c r="JT6" s="78"/>
      <c r="JU6" s="78"/>
      <c r="JV6" s="78"/>
      <c r="JW6" s="78"/>
      <c r="JX6" s="78"/>
      <c r="JY6" s="78"/>
      <c r="JZ6" s="78"/>
      <c r="KA6" s="78"/>
      <c r="KB6" s="78"/>
      <c r="KC6" s="78"/>
      <c r="KD6" s="78"/>
      <c r="KE6" s="78"/>
      <c r="KF6" s="78"/>
      <c r="KG6" s="78"/>
      <c r="KH6" s="78"/>
      <c r="KI6" s="78"/>
      <c r="KJ6" s="78"/>
      <c r="KK6" s="78"/>
      <c r="KL6" s="78"/>
      <c r="KM6" s="78"/>
      <c r="KN6" s="78"/>
      <c r="KO6" s="78"/>
      <c r="KP6" s="78"/>
      <c r="KQ6" s="78"/>
      <c r="KR6" s="78"/>
      <c r="KS6" s="78"/>
      <c r="KT6" s="78"/>
      <c r="KU6" s="78"/>
      <c r="KV6" s="78"/>
      <c r="KW6" s="78"/>
      <c r="KX6" s="78"/>
      <c r="KY6" s="78"/>
      <c r="KZ6" s="78"/>
      <c r="LA6" s="78"/>
      <c r="LB6" s="78"/>
      <c r="LC6" s="78"/>
      <c r="LD6" s="78"/>
      <c r="LE6" s="78"/>
      <c r="LF6" s="78"/>
      <c r="LG6" s="78"/>
      <c r="LH6" s="78"/>
      <c r="LI6" s="78"/>
      <c r="LJ6" s="78"/>
      <c r="LK6" s="78"/>
      <c r="LL6" s="78"/>
      <c r="LM6" s="78"/>
      <c r="LN6" s="78"/>
      <c r="LO6" s="78"/>
      <c r="LP6" s="78"/>
      <c r="LQ6" s="78"/>
      <c r="LR6" s="78"/>
      <c r="LS6" s="78"/>
      <c r="LT6" s="78"/>
      <c r="LU6" s="78"/>
      <c r="LV6" s="78"/>
      <c r="LW6" s="78"/>
      <c r="LX6" s="78"/>
      <c r="LY6" s="78"/>
      <c r="LZ6" s="78"/>
      <c r="MA6" s="78"/>
      <c r="MB6" s="78"/>
      <c r="MC6" s="78"/>
      <c r="MD6" s="78"/>
      <c r="ME6" s="78"/>
      <c r="MF6" s="78"/>
      <c r="MG6" s="78"/>
      <c r="MH6" s="78"/>
      <c r="MI6" s="78"/>
      <c r="MJ6" s="78"/>
      <c r="MK6" s="78"/>
      <c r="ML6" s="78"/>
      <c r="MM6" s="78"/>
      <c r="MN6" s="78"/>
      <c r="MO6" s="78"/>
      <c r="MP6" s="78"/>
      <c r="MQ6" s="78"/>
      <c r="MR6" s="78"/>
      <c r="MS6" s="78"/>
      <c r="MT6" s="78"/>
      <c r="MU6" s="78"/>
      <c r="MV6" s="78"/>
      <c r="MW6" s="78"/>
      <c r="MX6" s="78"/>
      <c r="MY6" s="78"/>
      <c r="MZ6" s="78"/>
      <c r="NA6" s="78"/>
      <c r="NB6" s="78"/>
      <c r="NC6" s="83"/>
    </row>
    <row r="7" spans="1:367" s="82" customFormat="1" x14ac:dyDescent="0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  <c r="IW7" s="87"/>
      <c r="IX7" s="87"/>
      <c r="IY7" s="87"/>
      <c r="IZ7" s="87"/>
      <c r="JA7" s="87"/>
      <c r="JB7" s="87"/>
      <c r="JC7" s="87"/>
      <c r="JD7" s="87"/>
      <c r="JE7" s="87"/>
      <c r="JF7" s="87"/>
      <c r="JG7" s="87"/>
      <c r="JH7" s="87"/>
      <c r="JI7" s="87"/>
      <c r="JJ7" s="87"/>
      <c r="JK7" s="87"/>
      <c r="JL7" s="87"/>
      <c r="JM7" s="87"/>
      <c r="JN7" s="87"/>
      <c r="JO7" s="87"/>
      <c r="JP7" s="87"/>
      <c r="JQ7" s="87"/>
      <c r="JR7" s="87"/>
      <c r="JS7" s="87"/>
      <c r="JT7" s="87"/>
      <c r="JU7" s="87"/>
      <c r="JV7" s="87"/>
      <c r="JW7" s="87"/>
      <c r="JX7" s="87"/>
      <c r="JY7" s="87"/>
      <c r="JZ7" s="87"/>
      <c r="KA7" s="87"/>
      <c r="KB7" s="87"/>
      <c r="KC7" s="87"/>
      <c r="KD7" s="87"/>
      <c r="KE7" s="87"/>
      <c r="KF7" s="87"/>
      <c r="KG7" s="87"/>
      <c r="KH7" s="87"/>
      <c r="KI7" s="87"/>
      <c r="KJ7" s="87"/>
      <c r="KK7" s="87"/>
      <c r="KL7" s="87"/>
      <c r="KM7" s="87"/>
      <c r="KN7" s="87"/>
      <c r="KO7" s="87"/>
      <c r="KP7" s="87"/>
      <c r="KQ7" s="87"/>
      <c r="KR7" s="87"/>
      <c r="KS7" s="87"/>
      <c r="KT7" s="87"/>
      <c r="KU7" s="87"/>
      <c r="KV7" s="87"/>
      <c r="KW7" s="87"/>
      <c r="KX7" s="87"/>
      <c r="KY7" s="87"/>
      <c r="KZ7" s="87"/>
      <c r="LA7" s="87"/>
      <c r="LB7" s="87"/>
      <c r="LC7" s="87"/>
      <c r="LD7" s="87"/>
      <c r="LE7" s="87"/>
      <c r="LF7" s="87"/>
      <c r="LG7" s="87"/>
      <c r="LH7" s="87"/>
      <c r="LI7" s="87"/>
      <c r="LJ7" s="87"/>
      <c r="LK7" s="87"/>
      <c r="LL7" s="87"/>
      <c r="LM7" s="87"/>
      <c r="LN7" s="87"/>
      <c r="LO7" s="87"/>
      <c r="LP7" s="87"/>
      <c r="LQ7" s="87"/>
      <c r="LR7" s="87"/>
      <c r="LS7" s="87"/>
      <c r="LT7" s="87"/>
      <c r="LU7" s="87"/>
      <c r="LV7" s="87"/>
      <c r="LW7" s="87"/>
      <c r="LX7" s="87"/>
      <c r="LY7" s="87"/>
      <c r="LZ7" s="87"/>
      <c r="MA7" s="87"/>
      <c r="MB7" s="87"/>
      <c r="MC7" s="87"/>
      <c r="MD7" s="87"/>
      <c r="ME7" s="87"/>
      <c r="MF7" s="87"/>
      <c r="MG7" s="87"/>
      <c r="MH7" s="87"/>
      <c r="MI7" s="87"/>
      <c r="MJ7" s="87"/>
      <c r="MK7" s="87"/>
      <c r="ML7" s="87"/>
      <c r="MM7" s="87"/>
      <c r="MN7" s="87"/>
      <c r="MO7" s="87"/>
      <c r="MP7" s="87"/>
      <c r="MQ7" s="87"/>
      <c r="MR7" s="87"/>
      <c r="MS7" s="87"/>
      <c r="MT7" s="87"/>
      <c r="MU7" s="87"/>
      <c r="MV7" s="87"/>
      <c r="MW7" s="87"/>
      <c r="MX7" s="87"/>
      <c r="MY7" s="87"/>
      <c r="MZ7" s="87"/>
      <c r="NA7" s="87"/>
      <c r="NB7" s="87"/>
      <c r="NC7" s="83"/>
    </row>
    <row r="8" spans="1:367" s="82" customFormat="1" x14ac:dyDescent="0.25">
      <c r="A8" s="83" t="s">
        <v>77</v>
      </c>
      <c r="B8" s="84"/>
      <c r="C8" s="84"/>
      <c r="D8" s="53"/>
      <c r="E8" s="53">
        <f>((1316.5*60)/27.2155)/100</f>
        <v>29.023901820653673</v>
      </c>
      <c r="F8" s="53">
        <f>((1350*60)/27.2155)/100</f>
        <v>29.762451544156825</v>
      </c>
      <c r="G8" s="53">
        <f>((1365.25*60)/27.2155)/100</f>
        <v>30.098657015303779</v>
      </c>
      <c r="H8" s="53">
        <f>((1360.5*60)/27.2155)/100</f>
        <v>29.993937278389154</v>
      </c>
      <c r="I8" s="53">
        <f>((1375.75*60)/27.2155)/100</f>
        <v>30.330142749536112</v>
      </c>
      <c r="J8" s="53"/>
      <c r="K8" s="53"/>
      <c r="L8" s="53">
        <f>((1374.5*60)/27.2155)/100</f>
        <v>30.302584924032264</v>
      </c>
      <c r="M8" s="53">
        <f>((1422*60)/27.2155)/100</f>
        <v>31.349782293178524</v>
      </c>
      <c r="N8" s="53">
        <f>((1411*60)/27.2155)/100</f>
        <v>31.107273428744652</v>
      </c>
      <c r="O8" s="53">
        <f>((1436.5*60)/27.2155)/100</f>
        <v>31.66945306902317</v>
      </c>
      <c r="P8" s="53">
        <f>((1416.75*60)/27.2155)/100</f>
        <v>31.234039426062353</v>
      </c>
      <c r="Q8" s="53"/>
      <c r="R8" s="53"/>
      <c r="S8" s="53">
        <f>((1416.75*60)/27.2155)/100</f>
        <v>31.234039426062353</v>
      </c>
      <c r="T8" s="53">
        <f>((1385.75*60)/27.2155)/100</f>
        <v>30.550605353566901</v>
      </c>
      <c r="U8" s="53">
        <f>((1369.5*60)/27.2155)/100</f>
        <v>30.192353622016867</v>
      </c>
      <c r="V8" s="53">
        <f>((1370.25*60)/27.2155)/100</f>
        <v>30.208888317319175</v>
      </c>
      <c r="W8" s="53">
        <f>((1311.75*60)/27.2155)/100</f>
        <v>28.919182083739045</v>
      </c>
      <c r="X8" s="53"/>
      <c r="Y8" s="53"/>
      <c r="Z8" s="53">
        <f>((1343.5*60)/27.2155)/100</f>
        <v>29.619150851536812</v>
      </c>
      <c r="AA8" s="53">
        <f>((1370.25*60)/27.2155)/100</f>
        <v>30.208888317319175</v>
      </c>
      <c r="AB8" s="53">
        <f>((1374.75*60)/27.2155)/100</f>
        <v>30.308096489133032</v>
      </c>
      <c r="AC8" s="53">
        <f>((1353.25*60)/27.2155)/100</f>
        <v>29.834101890466833</v>
      </c>
      <c r="AD8" s="53">
        <f>((1370*60)/27.2155)/100</f>
        <v>30.203376752218404</v>
      </c>
      <c r="AE8" s="53"/>
      <c r="AF8" s="53"/>
      <c r="AG8" s="53">
        <f>((1365.25*60)/27.2155)/100</f>
        <v>30.098657015303779</v>
      </c>
      <c r="AH8" s="53">
        <f>((1354.75*60)/27.2155)/100</f>
        <v>29.86717128107145</v>
      </c>
      <c r="AI8" s="53">
        <f>((1371.25*60)/27.2155)/100</f>
        <v>30.230934577722255</v>
      </c>
      <c r="AJ8" s="53">
        <f>((1372.5*60)/27.2155)/100</f>
        <v>30.258492403226104</v>
      </c>
      <c r="AK8" s="53">
        <f>((1366.75*60)/27.2155)/100</f>
        <v>30.131726405908399</v>
      </c>
      <c r="AL8" s="53"/>
      <c r="AM8" s="53"/>
      <c r="AN8" s="53">
        <f>((1387.75*60)/27.2155)/100</f>
        <v>30.594697874373061</v>
      </c>
      <c r="AO8" s="53">
        <f>((1401.75*60)/27.2155)/100</f>
        <v>30.90334552001617</v>
      </c>
      <c r="AP8" s="53">
        <f>((1354*60)/27.2155)/100</f>
        <v>29.850636585769138</v>
      </c>
      <c r="AQ8" s="53">
        <f>((1367.5*60)/27.2155)/100</f>
        <v>30.148261101210711</v>
      </c>
      <c r="AR8" s="53">
        <f>((1372*60)/27.2155)/100</f>
        <v>30.247469273024564</v>
      </c>
      <c r="AS8" s="53"/>
      <c r="AT8" s="53"/>
      <c r="AU8" s="53">
        <v>30.594697874373061</v>
      </c>
      <c r="AV8" s="53">
        <v>30.90334552001617</v>
      </c>
      <c r="AW8" s="53">
        <f>((1383.75*60)/27.2155)/100</f>
        <v>30.506512832760745</v>
      </c>
      <c r="AX8" s="53">
        <f>((1375*60)/27.2155)/100</f>
        <v>30.3136080542338</v>
      </c>
      <c r="AY8" s="53">
        <f>((1377.25*60)/27.2155)/100</f>
        <v>30.363212140140732</v>
      </c>
      <c r="AZ8" s="53"/>
      <c r="BA8" s="53"/>
      <c r="BB8" s="53">
        <f>((1383.75*60)/27.2155)/100</f>
        <v>30.506512832760745</v>
      </c>
      <c r="BC8" s="53">
        <f>((1406*60)/27.2155)/100</f>
        <v>30.997042126729255</v>
      </c>
      <c r="BD8" s="53">
        <f>((1423.75*60)/27.2155)/100</f>
        <v>31.388363248883913</v>
      </c>
      <c r="BE8" s="53">
        <f>((1406*60)/27.2155)/100</f>
        <v>30.997042126729255</v>
      </c>
      <c r="BF8" s="53">
        <f>((1405.25*60)/27.2155)/100</f>
        <v>30.980507431426943</v>
      </c>
      <c r="BG8" s="53"/>
      <c r="BH8" s="53"/>
      <c r="BI8" s="53">
        <f>((1392.5*60)/27.2155)/100</f>
        <v>30.699417611287686</v>
      </c>
      <c r="BJ8" s="53">
        <f>((1414*60)/27.2155)/100</f>
        <v>31.173412209953892</v>
      </c>
      <c r="BK8" s="53">
        <f>((1410.75*60)/27.2155)/100</f>
        <v>31.101761863643883</v>
      </c>
      <c r="BL8" s="53">
        <f>((1415.25*60)/27.2155)/100</f>
        <v>31.200970035457736</v>
      </c>
      <c r="BM8" s="53">
        <f>((1434.25*60)/27.2155)/100</f>
        <v>31.619848983116238</v>
      </c>
      <c r="BN8" s="53"/>
      <c r="BO8" s="53"/>
      <c r="BP8" s="53">
        <f>((1437.75*60)/27.2155)/100</f>
        <v>31.697010894527015</v>
      </c>
      <c r="BQ8" s="53">
        <f>((1441.25*60)/27.2155)/100</f>
        <v>31.774172805937795</v>
      </c>
      <c r="BR8" s="53">
        <f>((1411.5*60)/27.2155)/100</f>
        <v>31.118296558946192</v>
      </c>
      <c r="BS8" s="53">
        <f>((1415.5*60)/27.2155)/100</f>
        <v>31.206481600558508</v>
      </c>
      <c r="BT8" s="53">
        <f>((1415.75*60)/27.2155)/100</f>
        <v>31.21199316565928</v>
      </c>
      <c r="BU8" s="53"/>
      <c r="BV8" s="53"/>
      <c r="BW8" s="53">
        <f>((1415.75*60)/27.2155)/100</f>
        <v>31.21199316565928</v>
      </c>
      <c r="BX8" s="53">
        <f>((1419.5*60)/27.2155)/100</f>
        <v>31.294666642170824</v>
      </c>
      <c r="BY8" s="53">
        <f>((1423.25*60)/27.2155)/100</f>
        <v>31.377340118682369</v>
      </c>
      <c r="BZ8" s="53">
        <f>((1417.75*60)/27.2155)/100</f>
        <v>31.256085686465436</v>
      </c>
      <c r="CA8" s="53">
        <f>((1392.25*60)/27.2155)/100</f>
        <v>30.693906046186918</v>
      </c>
      <c r="CB8" s="53"/>
      <c r="CC8" s="53"/>
      <c r="CD8" s="53">
        <f>((1417.5*60)/27.2155)/100</f>
        <v>31.250574121364664</v>
      </c>
      <c r="CE8" s="53">
        <f>((1423.25*60)/27.2155)/100</f>
        <v>31.377340118682369</v>
      </c>
      <c r="CF8" s="53">
        <f>((1432.75*60)/27.2155)/100</f>
        <v>31.586779592511622</v>
      </c>
      <c r="CG8" s="53">
        <f>((1414.25*60)/27.2155)/100</f>
        <v>31.17892377505466</v>
      </c>
      <c r="CH8" s="53">
        <f>((1400.5*60)/27.2155)/100</f>
        <v>30.875787694512319</v>
      </c>
      <c r="CI8" s="53"/>
      <c r="CJ8" s="53"/>
      <c r="CK8" s="53">
        <f>((1393*60)/27.2155)/100</f>
        <v>30.710440741489229</v>
      </c>
      <c r="CL8" s="53">
        <f>((1366.75*60)/27.2155)/100</f>
        <v>30.131726405908399</v>
      </c>
      <c r="CM8" s="53">
        <f>((1436.75*60)/27.2155)/100</f>
        <v>31.674964634123938</v>
      </c>
      <c r="CN8" s="53">
        <f>((1402*60)/27.2155)/100</f>
        <v>30.908857085116939</v>
      </c>
      <c r="CO8" s="53">
        <v>30.908857085116939</v>
      </c>
      <c r="CP8" s="53"/>
      <c r="CQ8" s="53"/>
      <c r="CR8" s="53">
        <f>((1412.75*60)/27.2155)/100</f>
        <v>31.14585438445004</v>
      </c>
      <c r="CS8" s="53">
        <f>((1418.75*60)/27.2155)/100</f>
        <v>31.278131946868516</v>
      </c>
      <c r="CT8" s="53">
        <f>((1408.75*60)/27.2155)/100</f>
        <v>31.05766934283772</v>
      </c>
      <c r="CU8" s="53">
        <f>((1415.25*60)/27.2155)/100</f>
        <v>31.200970035457736</v>
      </c>
      <c r="CV8" s="53">
        <f>((1403*60)/27.2155)/100</f>
        <v>30.930903345520019</v>
      </c>
      <c r="CW8" s="53"/>
      <c r="CX8" s="53"/>
      <c r="CY8" s="53">
        <f>((1382*60)/27.2155)/100</f>
        <v>30.467931877055356</v>
      </c>
      <c r="CZ8" s="53">
        <f>((1389.5*60)/27.2155)/100</f>
        <v>30.633278830078449</v>
      </c>
      <c r="DA8" s="53">
        <f>((1410*60)/27.2155)/100</f>
        <v>31.085227168341572</v>
      </c>
      <c r="DB8" s="53">
        <f>((1418.25*60)/27.2155)/100</f>
        <v>31.267108816666973</v>
      </c>
      <c r="DC8" s="53">
        <f>((1433.25*60)/27.2155)/100</f>
        <v>31.597802722713162</v>
      </c>
      <c r="DD8" s="53"/>
      <c r="DE8" s="53"/>
      <c r="DF8" s="53">
        <f>((1449.75*60)/27.2155)/100</f>
        <v>31.961566019363968</v>
      </c>
      <c r="DG8" s="53">
        <f>((1472*60)/27.2155)/100</f>
        <v>32.452095313332478</v>
      </c>
      <c r="DH8" s="53">
        <f>((1472*60)/27.2155)/100</f>
        <v>32.452095313332478</v>
      </c>
      <c r="DI8" s="53">
        <f>((1533.25*60)/27.2155)/100</f>
        <v>33.802428763021076</v>
      </c>
      <c r="DJ8" s="53">
        <f>((1539.75*60)/27.2155)/100</f>
        <v>33.945729455641093</v>
      </c>
      <c r="DK8" s="53"/>
      <c r="DL8" s="53"/>
      <c r="DM8" s="53">
        <f>((1569*60)/27.2155)/100</f>
        <v>34.590582572431153</v>
      </c>
      <c r="DN8" s="53">
        <f>((1549.75*60)/27.2155)/100</f>
        <v>34.166192059671879</v>
      </c>
      <c r="DO8" s="53">
        <f>((1557.75*60)/27.2155)/100</f>
        <v>34.342562142896512</v>
      </c>
      <c r="DP8" s="53">
        <f>((1542.5*60)/27.2155)/100</f>
        <v>34.006356671749558</v>
      </c>
      <c r="DQ8" s="53">
        <f>((1571*60)/27.2155)/100</f>
        <v>34.634675093237313</v>
      </c>
      <c r="DR8" s="53"/>
      <c r="DS8" s="53"/>
      <c r="DT8" s="53">
        <f>((1560.25*60)/27.2155)/100</f>
        <v>34.397677793904208</v>
      </c>
      <c r="DU8" s="53">
        <f>((1577*60)/27.2155)/100</f>
        <v>34.766952655655786</v>
      </c>
      <c r="DV8" s="53">
        <f>((1582*60)/27.2155)/100</f>
        <v>34.877183957671178</v>
      </c>
      <c r="DW8" s="53">
        <f>((1605.5*60)/27.2155)/100</f>
        <v>35.395271077143541</v>
      </c>
      <c r="DX8" s="53">
        <f>((1621*60)/27.2155)/100</f>
        <v>35.73698811339127</v>
      </c>
      <c r="DY8" s="53"/>
      <c r="DZ8" s="53"/>
      <c r="EA8" s="53">
        <f>((1620*60)/27.2155)/100</f>
        <v>35.71494185298819</v>
      </c>
      <c r="EB8" s="53">
        <f>((1637.5*60)/27.2155)/100</f>
        <v>36.100751410042072</v>
      </c>
      <c r="EC8" s="53">
        <f>((1660.5*60)/27.2155)/100</f>
        <v>36.607815399312898</v>
      </c>
      <c r="ED8" s="53">
        <f>((1612.25*60)/27.2155)/100</f>
        <v>35.544083334864325</v>
      </c>
      <c r="EE8" s="53">
        <f>((1603.75*60)/27.2155)/100</f>
        <v>35.356690121438149</v>
      </c>
      <c r="EF8" s="53"/>
      <c r="EG8" s="53"/>
      <c r="EH8" s="53">
        <f>((1587.5*60)/27.2155)/100</f>
        <v>34.998438389888115</v>
      </c>
      <c r="EI8" s="53">
        <f>((1574.25*60)/27.2155)/100</f>
        <v>34.706325439547321</v>
      </c>
      <c r="EJ8" s="53">
        <f>((1538.25*60)/27.2155)/100</f>
        <v>33.912660065036469</v>
      </c>
      <c r="EK8" s="53">
        <f>((1533.25*60)/27.2155)/100</f>
        <v>33.802428763021076</v>
      </c>
      <c r="EL8" s="53">
        <f>((1526.25*60)/27.2155)/100</f>
        <v>33.648104940199516</v>
      </c>
      <c r="EM8" s="53"/>
      <c r="EN8" s="53"/>
      <c r="EO8" s="53">
        <f>((1522.75*60)/27.2155)/100</f>
        <v>33.57094302878874</v>
      </c>
      <c r="EP8" s="53">
        <f>((1511.75*60)/27.2155)/100</f>
        <v>33.328434164354874</v>
      </c>
      <c r="EQ8" s="53">
        <f>((1503.5*60)/27.2155)/100</f>
        <v>33.146552516029466</v>
      </c>
      <c r="ER8" s="53">
        <f>((1537*60)/27.2155)/100</f>
        <v>33.885102239532621</v>
      </c>
      <c r="ES8" s="53">
        <f>((1530.5*60)/27.2155)/100</f>
        <v>33.741801546912605</v>
      </c>
      <c r="ET8" s="53"/>
      <c r="EU8" s="53"/>
      <c r="EV8" s="53">
        <f>((1530.5*60)/27.2155)/100</f>
        <v>33.741801546912605</v>
      </c>
      <c r="EW8" s="53">
        <f>((1548.5*60)/27.2155)/100</f>
        <v>34.13863423416803</v>
      </c>
      <c r="EX8" s="53">
        <f>((1562.5*60)/27.2155)/100</f>
        <v>34.447281879811136</v>
      </c>
      <c r="EY8" s="53">
        <v>34.447281879811136</v>
      </c>
      <c r="EZ8" s="53">
        <f>((1583.75*60)/27.2155)/100</f>
        <v>34.91576491337657</v>
      </c>
      <c r="FA8" s="53"/>
      <c r="FB8" s="53"/>
      <c r="FC8" s="53">
        <f>((1560.25*60)/27.2155)/100</f>
        <v>34.397677793904208</v>
      </c>
      <c r="FD8" s="53">
        <f>((1580*60)/27.2155)/100</f>
        <v>34.833091436865026</v>
      </c>
      <c r="FE8" s="53">
        <f>((1562.5*60)/27.2155)/100</f>
        <v>34.447281879811136</v>
      </c>
      <c r="FF8" s="53">
        <f>((1544*60)/27.2155)/100</f>
        <v>34.039426062354174</v>
      </c>
      <c r="FG8" s="53">
        <f>((1508.5*60)/27.2155)/100</f>
        <v>33.256783818044866</v>
      </c>
      <c r="FH8" s="53"/>
      <c r="FI8" s="53"/>
      <c r="FJ8" s="53">
        <f>((1472.25*60)/27.2155)/100</f>
        <v>32.457606878433246</v>
      </c>
      <c r="FK8" s="53">
        <f>((1465.75*60)/27.2155)/100</f>
        <v>32.314306185813237</v>
      </c>
      <c r="FL8" s="53">
        <f>((1444.5*60)/27.2155)/100</f>
        <v>31.845823152247803</v>
      </c>
      <c r="FM8" s="53">
        <f>((1329.75*60)/27.2155)/100</f>
        <v>29.316014770994471</v>
      </c>
      <c r="FN8" s="53">
        <f>((1396*60)/27.2155)/100</f>
        <v>30.776579522698462</v>
      </c>
      <c r="FO8" s="53"/>
      <c r="FP8" s="53"/>
      <c r="FQ8" s="53">
        <f>((1415*60)/27.2155)/100</f>
        <v>31.195458470356968</v>
      </c>
      <c r="FR8" s="53">
        <f>((1394.5*60)/27.2155)/100</f>
        <v>30.743510132093842</v>
      </c>
      <c r="FS8" s="53">
        <f>((1385*60)/27.2155)/100</f>
        <v>30.534070658264596</v>
      </c>
      <c r="FT8" s="53">
        <f>((1371.25*60)/27.2155)/100</f>
        <v>30.230934577722255</v>
      </c>
      <c r="FU8" s="53">
        <f>((1329.75*60)/27.2155)/100</f>
        <v>29.316014770994471</v>
      </c>
      <c r="FV8" s="53"/>
      <c r="FW8" s="53"/>
      <c r="FX8" s="53">
        <f>((1357*60)/27.2155)/100</f>
        <v>29.916775366978378</v>
      </c>
      <c r="FY8" s="53">
        <f>((1359.75*60)/27.2155)/100</f>
        <v>29.977402583086846</v>
      </c>
      <c r="FZ8" s="53">
        <f>((1450.75*60)/27.2155)/100</f>
        <v>31.983612279767044</v>
      </c>
      <c r="GA8" s="53">
        <f>((1446.75*60)/27.2155)/100</f>
        <v>31.895427238154731</v>
      </c>
      <c r="GB8" s="53">
        <f>((1451.75*60)/27.2155)/100</f>
        <v>32.005658540170124</v>
      </c>
      <c r="GC8" s="53"/>
      <c r="GD8" s="53"/>
      <c r="GE8" s="53">
        <f>((1451.75*60)/27.2155)/100</f>
        <v>32.005658540170124</v>
      </c>
      <c r="GF8" s="53">
        <f>((1363.75*60)/27.2155)/100</f>
        <v>30.065587624699159</v>
      </c>
      <c r="GG8" s="53">
        <f>((1386.5*60)/27.2155)/100</f>
        <v>30.567140048869213</v>
      </c>
      <c r="GH8" s="53">
        <f>((1390.25*60)/27.2155)/100</f>
        <v>30.649813525380761</v>
      </c>
      <c r="GI8" s="53">
        <f>((1404*60)/27.2155)/100</f>
        <v>30.952949605923095</v>
      </c>
      <c r="GJ8" s="53"/>
      <c r="GK8" s="53"/>
      <c r="GL8" s="53">
        <f>((1432.5*60)/27.2155)/100</f>
        <v>31.58126802741085</v>
      </c>
      <c r="GM8" s="53">
        <f>((1438*60)/27.2155)/100</f>
        <v>31.70252245962779</v>
      </c>
      <c r="GN8" s="53">
        <f>((1467.75*60)/27.2155)/100</f>
        <v>32.35839870661939</v>
      </c>
      <c r="GO8" s="53">
        <f>((1447.5*60)/27.2155)/100</f>
        <v>31.911961933457036</v>
      </c>
      <c r="GP8" s="53">
        <f>((1454.75*60)/27.2155)/100</f>
        <v>32.071797321379364</v>
      </c>
      <c r="GQ8" s="53"/>
      <c r="GR8" s="53"/>
      <c r="GS8" s="53">
        <f>((1428*60)/27.2155)/100</f>
        <v>31.482059855596994</v>
      </c>
      <c r="GT8" s="53">
        <f>((1443.5*60)/27.2155)/100</f>
        <v>31.823776891844723</v>
      </c>
      <c r="GU8" s="53">
        <f>((1439.25*60)/27.2155)/100</f>
        <v>31.730080285131635</v>
      </c>
      <c r="GV8" s="53">
        <f>((1416.25*60)/27.2155)/100</f>
        <v>31.223016295860816</v>
      </c>
      <c r="GW8" s="53">
        <f>((1401*60)/27.2155)/100</f>
        <v>30.886810824713862</v>
      </c>
      <c r="GX8" s="53"/>
      <c r="GY8" s="53"/>
      <c r="GZ8" s="53">
        <f>((1412.75*60)/27.2155)/100</f>
        <v>31.14585438445004</v>
      </c>
      <c r="HA8" s="53">
        <f>((1418.25*60)/27.2155)/100</f>
        <v>31.267108816666973</v>
      </c>
      <c r="HB8" s="53">
        <f>((1432*60)/27.2155)/100</f>
        <v>31.570244897209314</v>
      </c>
      <c r="HC8" s="53">
        <f>((1434.25*60)/27.2155)/100</f>
        <v>31.619848983116238</v>
      </c>
      <c r="HD8" s="53">
        <f>((1414.75*60)/27.2155)/100</f>
        <v>31.189946905256196</v>
      </c>
      <c r="HE8" s="53"/>
      <c r="HF8" s="53"/>
      <c r="HG8" s="53">
        <f>((1418.75*60)/27.2155)/100</f>
        <v>31.278131946868516</v>
      </c>
      <c r="HH8" s="53">
        <f>((1392.25*60)/27.2155)/100</f>
        <v>30.693906046186918</v>
      </c>
      <c r="HI8" s="53">
        <f>((1403.5*60)/27.2155)/100</f>
        <v>30.941926475721559</v>
      </c>
      <c r="HJ8" s="53">
        <f>((1402.5*60)/27.2155)/100</f>
        <v>30.919880215318475</v>
      </c>
      <c r="HK8" s="53">
        <f>((1422.25*60)/27.2155)/100</f>
        <v>31.355293858279293</v>
      </c>
      <c r="HL8" s="53"/>
      <c r="HM8" s="53"/>
      <c r="HN8" s="53">
        <f>((1433.75*60)/27.2155)/100</f>
        <v>31.608825852914702</v>
      </c>
      <c r="HO8" s="53">
        <f>((1447.5*60)/27.2155)/100</f>
        <v>31.911961933457036</v>
      </c>
      <c r="HP8" s="53">
        <f>((1405.5*60)/27.2155)/100</f>
        <v>30.986018996527715</v>
      </c>
      <c r="HQ8" s="53">
        <f>((1401.5*60)/27.2155)/100</f>
        <v>30.897833954915399</v>
      </c>
      <c r="HR8" s="53">
        <f>((1424.25*60)/27.2155)/100</f>
        <v>31.399386379085449</v>
      </c>
      <c r="HS8" s="53"/>
      <c r="HT8" s="53"/>
      <c r="HU8" s="53">
        <f>((1376*60)/27.2155)/100</f>
        <v>30.33565431463688</v>
      </c>
      <c r="HV8" s="53">
        <f>((1369*60)/27.2155)/100</f>
        <v>30.181330491815331</v>
      </c>
      <c r="HW8" s="53">
        <f>((1358.25*60)/27.2155)/100</f>
        <v>29.944333192482226</v>
      </c>
      <c r="HX8" s="53">
        <f>((1323*60)/27.2155)/100</f>
        <v>29.167202513273686</v>
      </c>
      <c r="HY8" s="53">
        <f>((1293.75*60)/27.2155)/100</f>
        <v>28.522349396483623</v>
      </c>
      <c r="HZ8" s="53"/>
      <c r="IA8" s="53"/>
      <c r="IB8" s="53">
        <f>((1294*60)/27.2155)/100</f>
        <v>28.527860961584391</v>
      </c>
      <c r="IC8" s="53">
        <f>((1337*60)/27.2155)/100</f>
        <v>29.475850158916796</v>
      </c>
      <c r="ID8" s="53">
        <f>((1346*60)/27.2155)/100</f>
        <v>29.674266502544505</v>
      </c>
      <c r="IE8" s="53">
        <f>((1367.5*60)/27.2155)/100</f>
        <v>30.148261101210711</v>
      </c>
      <c r="IF8" s="53">
        <f>((1359.25*60)/27.2155)/100</f>
        <v>29.966379452885306</v>
      </c>
      <c r="IG8" s="53"/>
      <c r="IH8" s="53"/>
      <c r="II8" s="53">
        <f>((1304.75*60)/27.2155)/100</f>
        <v>28.764858260917496</v>
      </c>
      <c r="IJ8" s="53">
        <f>((1298.75*60)/27.2155)/100</f>
        <v>28.632580698499019</v>
      </c>
      <c r="IK8" s="53">
        <f>((1277.75*60)/27.2155)/100</f>
        <v>28.169609230034357</v>
      </c>
      <c r="IL8" s="53">
        <f>((1279.25*60)/27.2155)/100</f>
        <v>28.202678620638977</v>
      </c>
      <c r="IM8" s="53">
        <f>((1283*60)/27.2155)/100</f>
        <v>28.285352097150522</v>
      </c>
      <c r="IN8" s="53"/>
      <c r="IO8" s="53"/>
      <c r="IP8" s="53">
        <f>((1283*60)/27.2155)/100</f>
        <v>28.285352097150522</v>
      </c>
      <c r="IQ8" s="53">
        <f>((1283*60)/27.2155)/100</f>
        <v>28.285352097150522</v>
      </c>
      <c r="IR8" s="53">
        <f>((1270.75*60)/27.2155)/100</f>
        <v>28.015285407212804</v>
      </c>
      <c r="IS8" s="53">
        <f>((1258.75*60)/27.2155)/100</f>
        <v>27.750730282375851</v>
      </c>
      <c r="IT8" s="53">
        <f>((1275.25*60)/27.2155)/100</f>
        <v>28.114493579026657</v>
      </c>
      <c r="IU8" s="53"/>
      <c r="IV8" s="53"/>
      <c r="IW8" s="53">
        <f>((1272.5*60)/27.2155)/100</f>
        <v>28.053866362918193</v>
      </c>
      <c r="IX8" s="53">
        <f>((1276.5*60)/27.2155)/100</f>
        <v>28.142051404530505</v>
      </c>
      <c r="IY8" s="53">
        <f>((1294.5*60)/27.2155)/100</f>
        <v>28.538884091785931</v>
      </c>
      <c r="IZ8" s="53">
        <f>((1296*60)/27.2155)/100</f>
        <v>28.571953482390551</v>
      </c>
      <c r="JA8" s="53">
        <f>((1284*60)/27.2155)/100</f>
        <v>28.307398357553602</v>
      </c>
      <c r="JB8" s="53"/>
      <c r="JC8" s="53"/>
      <c r="JD8" s="53">
        <f>((1262.5*60)/27.2155)/100</f>
        <v>27.8334037588874</v>
      </c>
      <c r="JE8" s="53">
        <f>((1274*60)/27.2155)/100</f>
        <v>28.086935753522813</v>
      </c>
      <c r="JF8" s="53">
        <f>((1282.75*60)/27.2155)/100</f>
        <v>28.279840532049754</v>
      </c>
      <c r="JG8" s="53">
        <f>((1284.25*60)/27.2155)/100</f>
        <v>28.31290992265437</v>
      </c>
      <c r="JH8" s="53">
        <f>((1285*60)/27.2155)/100</f>
        <v>28.329444617956678</v>
      </c>
      <c r="JI8" s="53"/>
      <c r="JJ8" s="53"/>
      <c r="JK8" s="53">
        <f>((1287.5*60)/27.2155)/100</f>
        <v>28.384560268964378</v>
      </c>
      <c r="JL8" s="53">
        <f>((1277*60)/27.2155)/100</f>
        <v>28.153074534732045</v>
      </c>
      <c r="JM8" s="53">
        <f>((1283.75*60)/27.2155)/100</f>
        <v>28.301886792452834</v>
      </c>
      <c r="JN8" s="53">
        <f>((1256*60)/27.2155)/100</f>
        <v>27.690103066267383</v>
      </c>
      <c r="JO8" s="53">
        <f>((1246.5*60)/27.2155)/100</f>
        <v>27.480663592438137</v>
      </c>
      <c r="JP8" s="53"/>
      <c r="JQ8" s="53"/>
      <c r="JR8" s="53">
        <f>((1235.75*60)/27.2155)/100</f>
        <v>27.243666293105033</v>
      </c>
      <c r="JS8" s="53">
        <f>((1250.5*60)/27.2155)/100</f>
        <v>27.56884863405045</v>
      </c>
      <c r="JT8" s="53">
        <f>((1242*60)/27.2155)/100</f>
        <v>27.381455420624278</v>
      </c>
      <c r="JU8" s="53">
        <f>((1247.25*60)/27.2155)/100</f>
        <v>27.497198287740442</v>
      </c>
      <c r="JV8" s="53">
        <f>((1243*60)/27.2155)/100</f>
        <v>27.403501681027354</v>
      </c>
      <c r="JW8" s="53"/>
      <c r="JX8" s="53"/>
      <c r="JY8" s="53">
        <f>((1228.25*60)/27.2155)/100</f>
        <v>27.07831934008194</v>
      </c>
      <c r="JZ8" s="53">
        <f>((1228.25*60)/27.2155)/100</f>
        <v>27.07831934008194</v>
      </c>
      <c r="KA8" s="53">
        <f>((1195.25*60)/27.2155)/100</f>
        <v>26.350792746780328</v>
      </c>
      <c r="KB8" s="53">
        <f>((1206.25*60)/27.2155)/100</f>
        <v>26.593301611214201</v>
      </c>
      <c r="KC8" s="53">
        <f>((1217.75*60)/27.2155)/100</f>
        <v>26.846833605849611</v>
      </c>
      <c r="KD8" s="53"/>
      <c r="KE8" s="53"/>
      <c r="KF8" s="53">
        <f>((1221.5*60)/27.2155)/100</f>
        <v>26.929507082361155</v>
      </c>
      <c r="KG8" s="53">
        <f>((1228*60)/27.2155)/100</f>
        <v>27.072807774981172</v>
      </c>
      <c r="KH8" s="53">
        <f>((1245.5*60)/27.2155)/100</f>
        <v>27.458617332035054</v>
      </c>
      <c r="KI8" s="53">
        <f>((1224*60)/27.2155)/100</f>
        <v>26.984622733368855</v>
      </c>
      <c r="KJ8" s="53">
        <f>((1220.5*60)/27.2155)/100</f>
        <v>26.907460821958075</v>
      </c>
      <c r="KK8" s="53"/>
      <c r="KL8" s="53"/>
      <c r="KM8" s="53">
        <f>((1237.25*60)/27.2155)/100</f>
        <v>27.276735683709653</v>
      </c>
      <c r="KN8" s="53">
        <f>((1238*60)/27.2155)/100</f>
        <v>27.293270379011961</v>
      </c>
      <c r="KO8" s="53">
        <f>((1239.25*60)/27.2155)/100</f>
        <v>27.320828204515809</v>
      </c>
      <c r="KP8" s="53">
        <f>((1233.75*60)/27.2155)/100</f>
        <v>27.199573772298876</v>
      </c>
      <c r="KQ8" s="53">
        <f>((1235.75*60)/27.2155)/100</f>
        <v>27.243666293105033</v>
      </c>
      <c r="KR8" s="53"/>
      <c r="KS8" s="53"/>
      <c r="KT8" s="53">
        <f>((1236.75*60)/27.2155)/100</f>
        <v>27.265712553508109</v>
      </c>
      <c r="KU8" s="53">
        <f>((1236.75*60)/27.2155)/100</f>
        <v>27.265712553508109</v>
      </c>
      <c r="KV8" s="53">
        <f>((1231.5*60)/27.2155)/100</f>
        <v>27.149969686391945</v>
      </c>
      <c r="KW8" s="53">
        <f>((1209.25*60)/27.2155)/100</f>
        <v>26.659440392423434</v>
      </c>
      <c r="KX8" s="53">
        <f>((1192.25*60)/27.2155)/100</f>
        <v>26.284653965571092</v>
      </c>
      <c r="KY8" s="53"/>
      <c r="KZ8" s="53"/>
      <c r="LA8" s="53">
        <f>((1178*60)/27.2155)/100</f>
        <v>25.970494754827214</v>
      </c>
      <c r="LB8" s="53">
        <f>((1199.5*60)/27.2155)/100</f>
        <v>26.444489353493413</v>
      </c>
      <c r="LC8" s="53">
        <f>((1203.5*60)/27.2155)/100</f>
        <v>26.532674395105733</v>
      </c>
      <c r="LD8" s="53">
        <f>((1212.25*60)/27.2155)/100</f>
        <v>26.725579173632674</v>
      </c>
      <c r="LE8" s="53">
        <f>((1234*60)/27.2155)/100</f>
        <v>27.205085337399645</v>
      </c>
      <c r="LF8" s="53"/>
      <c r="LG8" s="53"/>
      <c r="LH8" s="53">
        <f>((1234*60)/27.2155)/100</f>
        <v>27.205085337399645</v>
      </c>
      <c r="LI8" s="53">
        <f>((1251.25*60)/27.2155)/100</f>
        <v>27.585383329352759</v>
      </c>
      <c r="LJ8" s="53">
        <f>((1277*60)/27.2155)/100</f>
        <v>28.153074534732045</v>
      </c>
      <c r="LK8" s="53">
        <f>((1265.25*60)/27.2155)/100</f>
        <v>27.894030974995868</v>
      </c>
      <c r="LL8" s="53">
        <f>((1263.25*60)/27.2155)/100</f>
        <v>27.849938454189711</v>
      </c>
      <c r="LM8" s="53"/>
      <c r="LN8" s="53"/>
      <c r="LO8" s="53">
        <f>((1274.25*60)/27.2155)/100</f>
        <v>28.092447318623581</v>
      </c>
      <c r="LP8" s="53">
        <f>((1273*60)/27.2155)/100</f>
        <v>28.064889493119733</v>
      </c>
      <c r="LQ8" s="53">
        <f>((1266.5*60)/27.2155)/100</f>
        <v>27.921588800499716</v>
      </c>
      <c r="LR8" s="53">
        <f>((1266.5*60)/27.2155)/100</f>
        <v>27.921588800499716</v>
      </c>
      <c r="LS8" s="53">
        <f>((1252.75*60)/27.2155)/100</f>
        <v>27.618452719957375</v>
      </c>
      <c r="LT8" s="53"/>
      <c r="LU8" s="53"/>
      <c r="LV8" s="53">
        <f>((1241.5*60)/27.2155)/100</f>
        <v>27.370432290422738</v>
      </c>
      <c r="LW8" s="53">
        <f>((1217.25*60)/27.2155)/100</f>
        <v>26.835810475648067</v>
      </c>
      <c r="LX8" s="53">
        <f>((1228.25*60)/27.2155)/100</f>
        <v>27.07831934008194</v>
      </c>
      <c r="LY8" s="53">
        <f>((1244.25*60)/27.2155)/100</f>
        <v>27.431059506531206</v>
      </c>
      <c r="LZ8" s="53">
        <f>((1267.25*60)/27.2155)/100</f>
        <v>27.938123495802024</v>
      </c>
      <c r="MA8" s="53"/>
      <c r="MB8" s="53"/>
      <c r="MC8" s="53">
        <f>((1261.5*60)/27.2155)/100</f>
        <v>27.811357498484323</v>
      </c>
      <c r="MD8" s="53">
        <f>((1250.25*60)/27.2155)/100</f>
        <v>27.563337068949682</v>
      </c>
      <c r="ME8" s="53">
        <f>((1261*60)/27.2155)/100</f>
        <v>27.800334368282783</v>
      </c>
      <c r="MF8" s="53">
        <f>((1264.5*60)/27.2155)/100</f>
        <v>27.87749627969356</v>
      </c>
      <c r="MG8" s="53">
        <f>((1267.75*60)/27.2155)/100</f>
        <v>27.949146626003568</v>
      </c>
      <c r="MH8" s="53"/>
      <c r="MI8" s="53"/>
      <c r="MJ8" s="53">
        <f>((1244*60)/27.2155)/100</f>
        <v>27.425547941430438</v>
      </c>
      <c r="MK8" s="53">
        <f>((1259.5*60)/27.2155)/100</f>
        <v>27.767264977678163</v>
      </c>
      <c r="ML8" s="53">
        <f>((1262.5*60)/27.2155)/100</f>
        <v>27.8334037588874</v>
      </c>
      <c r="MM8" s="53">
        <f>((1277.25*60)/27.2155)/100</f>
        <v>28.158586099832817</v>
      </c>
      <c r="MN8" s="53">
        <f>((1285.25*60)/27.2155)/100</f>
        <v>28.334956183057454</v>
      </c>
      <c r="MO8" s="53"/>
      <c r="MP8" s="53"/>
      <c r="MQ8" s="53">
        <f>((1292.25*60)/27.2155)/100</f>
        <v>28.489280005879003</v>
      </c>
      <c r="MR8" s="53">
        <f>((1308*60)/27.2155)/100</f>
        <v>28.836508607227501</v>
      </c>
      <c r="MS8" s="53">
        <f>((1328.75*60)/27.2155)/100</f>
        <v>29.293968510591395</v>
      </c>
      <c r="MT8" s="53">
        <f>((1332*60)/27.2155)/100</f>
        <v>29.365618856901403</v>
      </c>
      <c r="MU8" s="53">
        <f>((1332*60)/27.2155)/100</f>
        <v>29.365618856901403</v>
      </c>
      <c r="MV8" s="53"/>
      <c r="MW8" s="53"/>
      <c r="MX8" s="53">
        <f>((1362.5*60)/27.2155)/100</f>
        <v>30.038029799195314</v>
      </c>
      <c r="MY8" s="53">
        <f>((1359.25*60)/27.2155)/100</f>
        <v>29.966379452885306</v>
      </c>
      <c r="MZ8" s="53">
        <f>((1356.5*60)/27.2155)/100</f>
        <v>29.905752236776838</v>
      </c>
      <c r="NA8" s="53">
        <f>((1327.75*60)/27.2155)/100</f>
        <v>29.271922250188315</v>
      </c>
      <c r="NB8" s="53">
        <f>((1327.75*60)/27.2155)/100</f>
        <v>29.271922250188315</v>
      </c>
      <c r="NC8" s="83"/>
    </row>
    <row r="9" spans="1:367" s="82" customFormat="1" x14ac:dyDescent="0.25">
      <c r="A9" s="81" t="s">
        <v>78</v>
      </c>
      <c r="B9" s="78"/>
      <c r="C9" s="78"/>
      <c r="D9" s="78"/>
      <c r="E9" s="78">
        <v>439.1</v>
      </c>
      <c r="F9" s="78">
        <v>428</v>
      </c>
      <c r="G9" s="78">
        <v>440.3</v>
      </c>
      <c r="H9" s="78">
        <v>445.8</v>
      </c>
      <c r="I9" s="78">
        <v>445.9</v>
      </c>
      <c r="J9" s="78"/>
      <c r="K9" s="78"/>
      <c r="L9" s="78">
        <v>451.9</v>
      </c>
      <c r="M9" s="78">
        <v>455.5</v>
      </c>
      <c r="N9" s="78">
        <v>455.5</v>
      </c>
      <c r="O9" s="78">
        <v>459.2</v>
      </c>
      <c r="P9" s="78">
        <v>465.1</v>
      </c>
      <c r="Q9" s="78"/>
      <c r="R9" s="78"/>
      <c r="S9" s="78">
        <v>465.1</v>
      </c>
      <c r="T9" s="78">
        <v>463.3</v>
      </c>
      <c r="U9" s="78">
        <v>450.5</v>
      </c>
      <c r="V9" s="78">
        <v>442.4</v>
      </c>
      <c r="W9" s="78">
        <v>437.5</v>
      </c>
      <c r="X9" s="78"/>
      <c r="Y9" s="78"/>
      <c r="Z9" s="78">
        <v>421.6</v>
      </c>
      <c r="AA9" s="78">
        <v>430.2</v>
      </c>
      <c r="AB9" s="78">
        <v>438</v>
      </c>
      <c r="AC9" s="78">
        <v>435.7</v>
      </c>
      <c r="AD9" s="78">
        <v>427.1</v>
      </c>
      <c r="AE9" s="78"/>
      <c r="AF9" s="78"/>
      <c r="AG9" s="78">
        <v>432.4</v>
      </c>
      <c r="AH9" s="78">
        <v>429</v>
      </c>
      <c r="AI9" s="78">
        <v>428</v>
      </c>
      <c r="AJ9" s="78">
        <v>437.4</v>
      </c>
      <c r="AK9" s="78">
        <v>433</v>
      </c>
      <c r="AL9" s="78"/>
      <c r="AM9" s="78"/>
      <c r="AN9" s="78">
        <v>430.5</v>
      </c>
      <c r="AO9" s="78">
        <v>437.7</v>
      </c>
      <c r="AP9" s="78">
        <v>440</v>
      </c>
      <c r="AQ9" s="78">
        <v>422.2</v>
      </c>
      <c r="AR9" s="78">
        <v>429.4</v>
      </c>
      <c r="AS9" s="78"/>
      <c r="AT9" s="78"/>
      <c r="AU9" s="78">
        <v>430.5</v>
      </c>
      <c r="AV9" s="78">
        <v>437.7</v>
      </c>
      <c r="AW9" s="91">
        <v>431.8</v>
      </c>
      <c r="AX9" s="78">
        <v>431.8</v>
      </c>
      <c r="AY9" s="78">
        <v>427.1</v>
      </c>
      <c r="AZ9" s="78"/>
      <c r="BA9" s="78"/>
      <c r="BB9" s="78">
        <v>425.8</v>
      </c>
      <c r="BC9" s="78">
        <v>423.3</v>
      </c>
      <c r="BD9" s="78">
        <v>427.9</v>
      </c>
      <c r="BE9" s="78">
        <v>428.4</v>
      </c>
      <c r="BF9" s="78">
        <v>423.3</v>
      </c>
      <c r="BG9" s="78"/>
      <c r="BH9" s="78"/>
      <c r="BI9" s="78">
        <v>427.1</v>
      </c>
      <c r="BJ9" s="78">
        <v>420.9</v>
      </c>
      <c r="BK9" s="78">
        <v>423.6</v>
      </c>
      <c r="BL9" s="78">
        <v>420.5</v>
      </c>
      <c r="BM9" s="78">
        <v>417</v>
      </c>
      <c r="BN9" s="78"/>
      <c r="BO9" s="78"/>
      <c r="BP9" s="78">
        <v>423.8</v>
      </c>
      <c r="BQ9" s="78">
        <v>419.5</v>
      </c>
      <c r="BR9" s="78">
        <v>416.9</v>
      </c>
      <c r="BS9" s="78">
        <v>410.6</v>
      </c>
      <c r="BT9" s="78">
        <v>397.1</v>
      </c>
      <c r="BU9" s="78"/>
      <c r="BV9" s="78"/>
      <c r="BW9" s="78">
        <v>398.7</v>
      </c>
      <c r="BX9" s="78">
        <v>407.6</v>
      </c>
      <c r="BY9" s="78">
        <v>406.1</v>
      </c>
      <c r="BZ9" s="78">
        <v>404.5</v>
      </c>
      <c r="CA9" s="78">
        <v>398.5</v>
      </c>
      <c r="CB9" s="78"/>
      <c r="CC9" s="78"/>
      <c r="CD9" s="78">
        <v>408.8</v>
      </c>
      <c r="CE9" s="78">
        <v>396.6</v>
      </c>
      <c r="CF9" s="78">
        <v>398.36</v>
      </c>
      <c r="CG9" s="78">
        <v>401</v>
      </c>
      <c r="CH9" s="78">
        <v>404.8</v>
      </c>
      <c r="CI9" s="78"/>
      <c r="CJ9" s="78"/>
      <c r="CK9" s="78">
        <v>404.8</v>
      </c>
      <c r="CL9" s="78">
        <v>398.1</v>
      </c>
      <c r="CM9" s="78">
        <v>398.2</v>
      </c>
      <c r="CN9" s="78">
        <v>427.8</v>
      </c>
      <c r="CO9" s="78">
        <v>427.8</v>
      </c>
      <c r="CP9" s="78"/>
      <c r="CQ9" s="78"/>
      <c r="CR9" s="78">
        <v>411.5</v>
      </c>
      <c r="CS9" s="78">
        <v>405.9</v>
      </c>
      <c r="CT9" s="78">
        <v>406</v>
      </c>
      <c r="CU9" s="78">
        <v>409.1</v>
      </c>
      <c r="CV9" s="78">
        <v>407.5</v>
      </c>
      <c r="CW9" s="78"/>
      <c r="CX9" s="78"/>
      <c r="CY9" s="78">
        <v>402.4</v>
      </c>
      <c r="CZ9" s="78">
        <v>402.6</v>
      </c>
      <c r="DA9" s="78">
        <v>395.1</v>
      </c>
      <c r="DB9" s="78">
        <v>398.4</v>
      </c>
      <c r="DC9" s="78">
        <v>400.3</v>
      </c>
      <c r="DD9" s="78"/>
      <c r="DE9" s="78"/>
      <c r="DF9" s="78">
        <v>404.4</v>
      </c>
      <c r="DG9" s="78">
        <v>410.4</v>
      </c>
      <c r="DH9" s="78">
        <v>410.4</v>
      </c>
      <c r="DI9" s="78">
        <v>413.7</v>
      </c>
      <c r="DJ9" s="78">
        <v>420.6</v>
      </c>
      <c r="DK9" s="78"/>
      <c r="DL9" s="78"/>
      <c r="DM9" s="78">
        <v>422.3</v>
      </c>
      <c r="DN9" s="78">
        <v>429.7</v>
      </c>
      <c r="DO9" s="78">
        <v>424.6</v>
      </c>
      <c r="DP9" s="78">
        <v>421.5</v>
      </c>
      <c r="DQ9" s="78">
        <v>423</v>
      </c>
      <c r="DR9" s="78"/>
      <c r="DS9" s="78"/>
      <c r="DT9" s="78">
        <v>426</v>
      </c>
      <c r="DU9" s="78">
        <v>420.1</v>
      </c>
      <c r="DV9" s="78">
        <v>425.2</v>
      </c>
      <c r="DW9" s="78">
        <v>427.4</v>
      </c>
      <c r="DX9" s="78">
        <v>431.2</v>
      </c>
      <c r="DY9" s="78"/>
      <c r="DZ9" s="78"/>
      <c r="EA9" s="78">
        <v>439</v>
      </c>
      <c r="EB9" s="78">
        <v>453.7</v>
      </c>
      <c r="EC9" s="58">
        <v>451.3</v>
      </c>
      <c r="ED9" s="78">
        <v>448</v>
      </c>
      <c r="EE9" s="78">
        <v>423.5</v>
      </c>
      <c r="EF9" s="78"/>
      <c r="EG9" s="78"/>
      <c r="EH9" s="78">
        <v>418.5</v>
      </c>
      <c r="EI9" s="78">
        <v>415.9</v>
      </c>
      <c r="EJ9" s="78">
        <v>411.1</v>
      </c>
      <c r="EK9" s="78">
        <v>404.4</v>
      </c>
      <c r="EL9" s="78">
        <v>402</v>
      </c>
      <c r="EM9" s="78"/>
      <c r="EN9" s="78"/>
      <c r="EO9" s="78">
        <v>398.1</v>
      </c>
      <c r="EP9" s="78">
        <v>401</v>
      </c>
      <c r="EQ9" s="78">
        <v>386.8</v>
      </c>
      <c r="ER9" s="78">
        <v>384.7</v>
      </c>
      <c r="ES9" s="78">
        <v>390.3</v>
      </c>
      <c r="ET9" s="78"/>
      <c r="EU9" s="78"/>
      <c r="EV9" s="78">
        <v>390.3</v>
      </c>
      <c r="EW9" s="78">
        <v>396</v>
      </c>
      <c r="EX9" s="78">
        <v>393.9</v>
      </c>
      <c r="EY9" s="78">
        <v>393.9</v>
      </c>
      <c r="EZ9" s="78">
        <v>391.1</v>
      </c>
      <c r="FA9" s="78"/>
      <c r="FB9" s="78"/>
      <c r="FC9" s="78">
        <v>399.9</v>
      </c>
      <c r="FD9" s="78">
        <v>389.4</v>
      </c>
      <c r="FE9" s="78">
        <v>390.5</v>
      </c>
      <c r="FF9" s="78">
        <v>386.4</v>
      </c>
      <c r="FG9" s="78">
        <v>382.1</v>
      </c>
      <c r="FH9" s="91"/>
      <c r="FI9" s="78"/>
      <c r="FJ9" s="78">
        <v>383.3</v>
      </c>
      <c r="FK9" s="78">
        <v>376</v>
      </c>
      <c r="FL9" s="78">
        <v>372.7</v>
      </c>
      <c r="FM9" s="78">
        <v>379</v>
      </c>
      <c r="FN9" s="78">
        <v>361.4</v>
      </c>
      <c r="FO9" s="78"/>
      <c r="FP9" s="78"/>
      <c r="FQ9" s="78">
        <v>396.6</v>
      </c>
      <c r="FR9" s="78">
        <v>374.1</v>
      </c>
      <c r="FS9" s="78">
        <v>364</v>
      </c>
      <c r="FT9" s="78">
        <v>354.8</v>
      </c>
      <c r="FU9" s="78">
        <v>346.4</v>
      </c>
      <c r="FV9" s="78"/>
      <c r="FW9" s="78"/>
      <c r="FX9" s="78">
        <v>348.2</v>
      </c>
      <c r="FY9" s="78">
        <v>353.6</v>
      </c>
      <c r="FZ9" s="78">
        <v>348.9</v>
      </c>
      <c r="GA9" s="78">
        <v>373.5</v>
      </c>
      <c r="GB9" s="78">
        <v>381.8</v>
      </c>
      <c r="GC9" s="78"/>
      <c r="GD9" s="78"/>
      <c r="GE9" s="78">
        <v>381.8</v>
      </c>
      <c r="GF9" s="78">
        <v>377.1</v>
      </c>
      <c r="GG9" s="78">
        <v>360.6</v>
      </c>
      <c r="GH9" s="78">
        <v>358.6</v>
      </c>
      <c r="GI9" s="78">
        <v>355.3</v>
      </c>
      <c r="GJ9" s="78"/>
      <c r="GK9" s="78"/>
      <c r="GL9" s="78">
        <v>351.9</v>
      </c>
      <c r="GM9" s="78">
        <v>354.9</v>
      </c>
      <c r="GN9" s="78">
        <v>366.6</v>
      </c>
      <c r="GO9" s="78">
        <v>368.7</v>
      </c>
      <c r="GP9" s="78">
        <v>364.3</v>
      </c>
      <c r="GQ9" s="78"/>
      <c r="GR9" s="78"/>
      <c r="GS9" s="78">
        <v>370.5</v>
      </c>
      <c r="GT9" s="78">
        <v>363</v>
      </c>
      <c r="GU9" s="78">
        <v>366.1</v>
      </c>
      <c r="GV9" s="78">
        <v>369.8</v>
      </c>
      <c r="GW9" s="78">
        <v>365.2</v>
      </c>
      <c r="GX9" s="78"/>
      <c r="GY9" s="78"/>
      <c r="GZ9" s="78">
        <v>354</v>
      </c>
      <c r="HA9" s="78">
        <v>355.8</v>
      </c>
      <c r="HB9" s="78">
        <v>359.3</v>
      </c>
      <c r="HC9" s="78">
        <v>359.1</v>
      </c>
      <c r="HD9" s="78">
        <v>357.9</v>
      </c>
      <c r="HE9" s="78"/>
      <c r="HF9" s="78"/>
      <c r="HG9" s="78">
        <v>352</v>
      </c>
      <c r="HH9" s="78">
        <v>356</v>
      </c>
      <c r="HI9" s="78">
        <v>351.1</v>
      </c>
      <c r="HJ9" s="78">
        <v>354</v>
      </c>
      <c r="HK9" s="78">
        <v>357.7</v>
      </c>
      <c r="HL9" s="78"/>
      <c r="HM9" s="78"/>
      <c r="HN9" s="78">
        <v>361.4</v>
      </c>
      <c r="HO9" s="78">
        <v>362.5</v>
      </c>
      <c r="HP9" s="78">
        <v>360.7</v>
      </c>
      <c r="HQ9" s="78">
        <v>355.2</v>
      </c>
      <c r="HR9" s="78">
        <v>358.1</v>
      </c>
      <c r="HS9" s="78"/>
      <c r="HT9" s="78"/>
      <c r="HU9" s="78">
        <v>357.8</v>
      </c>
      <c r="HV9" s="78">
        <v>360.9</v>
      </c>
      <c r="HW9" s="78">
        <v>359.5</v>
      </c>
      <c r="HX9" s="78">
        <v>357.6</v>
      </c>
      <c r="HY9" s="78">
        <v>351.5</v>
      </c>
      <c r="HZ9" s="78"/>
      <c r="IA9" s="78"/>
      <c r="IB9" s="78">
        <v>352.7</v>
      </c>
      <c r="IC9" s="78">
        <v>348.1</v>
      </c>
      <c r="ID9" s="78">
        <v>348</v>
      </c>
      <c r="IE9" s="78">
        <v>352.2</v>
      </c>
      <c r="IF9" s="78">
        <v>356.2</v>
      </c>
      <c r="IG9" s="78"/>
      <c r="IH9" s="78"/>
      <c r="II9" s="78">
        <v>353.9</v>
      </c>
      <c r="IJ9" s="78">
        <v>348</v>
      </c>
      <c r="IK9" s="78">
        <v>346.5</v>
      </c>
      <c r="IL9" s="78">
        <v>343</v>
      </c>
      <c r="IM9" s="78">
        <v>337.9</v>
      </c>
      <c r="IN9" s="78"/>
      <c r="IO9" s="78"/>
      <c r="IP9" s="78">
        <v>341.8</v>
      </c>
      <c r="IQ9" s="78">
        <v>341.8</v>
      </c>
      <c r="IR9" s="78">
        <v>336.8</v>
      </c>
      <c r="IS9" s="78">
        <v>336.5</v>
      </c>
      <c r="IT9" s="78">
        <v>340</v>
      </c>
      <c r="IU9" s="78"/>
      <c r="IV9" s="78"/>
      <c r="IW9" s="78">
        <v>342</v>
      </c>
      <c r="IX9" s="78">
        <v>343.2</v>
      </c>
      <c r="IY9" s="78">
        <v>338</v>
      </c>
      <c r="IZ9" s="78">
        <v>335.9</v>
      </c>
      <c r="JA9" s="78">
        <v>338.6</v>
      </c>
      <c r="JB9" s="78"/>
      <c r="JC9" s="78"/>
      <c r="JD9" s="78">
        <v>338.6</v>
      </c>
      <c r="JE9" s="78">
        <v>336.2</v>
      </c>
      <c r="JF9" s="78">
        <v>338.3</v>
      </c>
      <c r="JG9" s="78">
        <v>338</v>
      </c>
      <c r="JH9" s="78">
        <v>336.6</v>
      </c>
      <c r="JI9" s="78"/>
      <c r="JJ9" s="78"/>
      <c r="JK9" s="78">
        <v>335.8</v>
      </c>
      <c r="JL9" s="78">
        <v>337.1</v>
      </c>
      <c r="JM9" s="78">
        <v>337.5</v>
      </c>
      <c r="JN9" s="78">
        <v>337.9</v>
      </c>
      <c r="JO9" s="78">
        <v>326.89999999999998</v>
      </c>
      <c r="JP9" s="78"/>
      <c r="JQ9" s="78"/>
      <c r="JR9" s="78">
        <v>325.5</v>
      </c>
      <c r="JS9" s="78">
        <v>322.10000000000002</v>
      </c>
      <c r="JT9" s="78">
        <v>320.2</v>
      </c>
      <c r="JU9" s="78">
        <v>318.89999999999998</v>
      </c>
      <c r="JV9" s="78">
        <v>318.89999999999998</v>
      </c>
      <c r="JW9" s="78"/>
      <c r="JX9" s="78"/>
      <c r="JY9" s="78">
        <v>317.89999999999998</v>
      </c>
      <c r="JZ9" s="78">
        <v>317.89999999999998</v>
      </c>
      <c r="KA9" s="78">
        <v>309.60000000000002</v>
      </c>
      <c r="KB9" s="78">
        <v>317.10000000000002</v>
      </c>
      <c r="KC9" s="78">
        <v>314.10000000000002</v>
      </c>
      <c r="KD9" s="91"/>
      <c r="KE9" s="91"/>
      <c r="KF9" s="78">
        <v>317.10000000000002</v>
      </c>
      <c r="KG9" s="78">
        <v>317.89999999999998</v>
      </c>
      <c r="KH9" s="78">
        <v>322.7</v>
      </c>
      <c r="KI9" s="78">
        <v>327.7</v>
      </c>
      <c r="KJ9" s="78">
        <v>323.7</v>
      </c>
      <c r="KK9" s="78"/>
      <c r="KL9" s="78"/>
      <c r="KM9" s="78">
        <v>325.89999999999998</v>
      </c>
      <c r="KN9" s="78">
        <v>327</v>
      </c>
      <c r="KO9" s="78">
        <v>326.89999999999998</v>
      </c>
      <c r="KP9" s="78">
        <v>331</v>
      </c>
      <c r="KQ9" s="78">
        <v>330.9</v>
      </c>
      <c r="KR9" s="78"/>
      <c r="KS9" s="78"/>
      <c r="KT9" s="78">
        <v>329.1</v>
      </c>
      <c r="KU9" s="78">
        <v>329.1</v>
      </c>
      <c r="KV9" s="78">
        <v>337</v>
      </c>
      <c r="KW9" s="78">
        <v>340.9</v>
      </c>
      <c r="KX9" s="78">
        <v>335.7</v>
      </c>
      <c r="KY9" s="78"/>
      <c r="KZ9" s="78"/>
      <c r="LA9" s="78">
        <v>322.2</v>
      </c>
      <c r="LB9" s="78">
        <v>332</v>
      </c>
      <c r="LC9" s="78">
        <v>342.6</v>
      </c>
      <c r="LD9" s="78">
        <v>342.4</v>
      </c>
      <c r="LE9" s="78">
        <v>361</v>
      </c>
      <c r="LF9" s="78"/>
      <c r="LG9" s="78"/>
      <c r="LH9" s="78">
        <v>361</v>
      </c>
      <c r="LI9" s="78">
        <v>371.6</v>
      </c>
      <c r="LJ9" s="78">
        <v>368</v>
      </c>
      <c r="LK9" s="78">
        <v>371.1</v>
      </c>
      <c r="LL9" s="78">
        <v>371.1</v>
      </c>
      <c r="LM9" s="78"/>
      <c r="LN9" s="91"/>
      <c r="LO9" s="78">
        <v>372.8</v>
      </c>
      <c r="LP9" s="78">
        <v>370</v>
      </c>
      <c r="LQ9" s="78">
        <v>362.7</v>
      </c>
      <c r="LR9" s="78">
        <v>362.7</v>
      </c>
      <c r="LS9" s="78">
        <v>356.3</v>
      </c>
      <c r="LT9" s="78"/>
      <c r="LU9" s="78"/>
      <c r="LV9" s="78">
        <v>357.6</v>
      </c>
      <c r="LW9" s="78">
        <v>348.8</v>
      </c>
      <c r="LX9" s="78">
        <v>350</v>
      </c>
      <c r="LY9" s="78">
        <v>356.5</v>
      </c>
      <c r="LZ9" s="78">
        <v>361</v>
      </c>
      <c r="MA9" s="78"/>
      <c r="MB9" s="78"/>
      <c r="MC9" s="78">
        <v>363.5</v>
      </c>
      <c r="MD9" s="78">
        <v>358.9</v>
      </c>
      <c r="ME9" s="78">
        <v>358.9</v>
      </c>
      <c r="MF9" s="78">
        <v>364.6</v>
      </c>
      <c r="MG9" s="78">
        <v>368.8</v>
      </c>
      <c r="MH9" s="78"/>
      <c r="MI9" s="78"/>
      <c r="MJ9" s="78">
        <v>385</v>
      </c>
      <c r="MK9" s="78">
        <v>404.5</v>
      </c>
      <c r="ML9" s="78">
        <v>377.1</v>
      </c>
      <c r="MM9" s="78">
        <v>372.2</v>
      </c>
      <c r="MN9" s="78">
        <v>373</v>
      </c>
      <c r="MO9" s="78"/>
      <c r="MP9" s="78"/>
      <c r="MQ9" s="78">
        <v>379.5</v>
      </c>
      <c r="MR9" s="78">
        <v>386.2</v>
      </c>
      <c r="MS9" s="78">
        <v>393.3</v>
      </c>
      <c r="MT9" s="78">
        <v>402.8</v>
      </c>
      <c r="MU9" s="78">
        <v>402.8</v>
      </c>
      <c r="MV9" s="78"/>
      <c r="MW9" s="78"/>
      <c r="MX9" s="78">
        <v>402.8</v>
      </c>
      <c r="MY9" s="78">
        <v>415.1</v>
      </c>
      <c r="MZ9" s="78">
        <v>416.4</v>
      </c>
      <c r="NA9" s="78">
        <v>414.6</v>
      </c>
      <c r="NB9" s="78">
        <v>414.6</v>
      </c>
      <c r="NC9" s="83"/>
    </row>
    <row r="10" spans="1:367" s="82" customFormat="1" x14ac:dyDescent="0.25">
      <c r="A10" s="88" t="s">
        <v>19</v>
      </c>
      <c r="B10" s="57"/>
      <c r="C10" s="57"/>
      <c r="D10" s="57"/>
      <c r="E10" s="57">
        <v>4293</v>
      </c>
      <c r="F10" s="57">
        <v>4436</v>
      </c>
      <c r="G10" s="57">
        <v>4439</v>
      </c>
      <c r="H10" s="57">
        <v>4435</v>
      </c>
      <c r="I10" s="57">
        <v>4376</v>
      </c>
      <c r="J10" s="57"/>
      <c r="K10" s="57"/>
      <c r="L10" s="57">
        <v>4313</v>
      </c>
      <c r="M10" s="57">
        <v>4313</v>
      </c>
      <c r="N10" s="57">
        <v>4268</v>
      </c>
      <c r="O10" s="57">
        <v>4327</v>
      </c>
      <c r="P10" s="57">
        <v>4185</v>
      </c>
      <c r="Q10" s="57"/>
      <c r="R10" s="57"/>
      <c r="S10" s="57">
        <v>4185</v>
      </c>
      <c r="T10" s="57">
        <v>4170</v>
      </c>
      <c r="U10" s="57">
        <v>4254</v>
      </c>
      <c r="V10" s="57">
        <v>4343</v>
      </c>
      <c r="W10" s="57">
        <v>4227</v>
      </c>
      <c r="X10" s="57"/>
      <c r="Y10" s="57"/>
      <c r="Z10" s="57">
        <v>4227</v>
      </c>
      <c r="AA10" s="57">
        <v>4391</v>
      </c>
      <c r="AB10" s="57">
        <v>4452</v>
      </c>
      <c r="AC10" s="57">
        <v>4465</v>
      </c>
      <c r="AD10" s="57">
        <v>4462</v>
      </c>
      <c r="AE10" s="57"/>
      <c r="AF10" s="57"/>
      <c r="AG10" s="57">
        <v>4497</v>
      </c>
      <c r="AH10" s="57">
        <v>4432</v>
      </c>
      <c r="AI10" s="57">
        <v>4448</v>
      </c>
      <c r="AJ10" s="57">
        <v>4494</v>
      </c>
      <c r="AK10" s="57">
        <v>4466</v>
      </c>
      <c r="AL10" s="57"/>
      <c r="AM10" s="57"/>
      <c r="AN10" s="57">
        <v>4563</v>
      </c>
      <c r="AO10" s="57">
        <v>4652</v>
      </c>
      <c r="AP10" s="57">
        <v>4569</v>
      </c>
      <c r="AQ10" s="57">
        <v>4563</v>
      </c>
      <c r="AR10" s="57">
        <v>4604</v>
      </c>
      <c r="AS10" s="57"/>
      <c r="AT10" s="57"/>
      <c r="AU10" s="57">
        <v>4563</v>
      </c>
      <c r="AV10" s="57">
        <v>4652</v>
      </c>
      <c r="AW10" s="57">
        <v>4677</v>
      </c>
      <c r="AX10" s="57">
        <v>4691</v>
      </c>
      <c r="AY10" s="57">
        <v>4755</v>
      </c>
      <c r="AZ10" s="57"/>
      <c r="BA10" s="57"/>
      <c r="BB10" s="57">
        <v>4790</v>
      </c>
      <c r="BC10" s="57">
        <v>4926</v>
      </c>
      <c r="BD10" s="57">
        <v>5114</v>
      </c>
      <c r="BE10" s="57">
        <v>5096</v>
      </c>
      <c r="BF10" s="57">
        <v>5134</v>
      </c>
      <c r="BG10" s="57"/>
      <c r="BH10" s="57"/>
      <c r="BI10" s="57">
        <v>5077</v>
      </c>
      <c r="BJ10" s="57">
        <v>5127</v>
      </c>
      <c r="BK10" s="57">
        <v>5135</v>
      </c>
      <c r="BL10" s="57">
        <v>5238</v>
      </c>
      <c r="BM10" s="57">
        <v>5338</v>
      </c>
      <c r="BN10" s="57"/>
      <c r="BO10" s="57"/>
      <c r="BP10" s="57">
        <v>5406</v>
      </c>
      <c r="BQ10" s="57">
        <v>5515</v>
      </c>
      <c r="BR10" s="57">
        <v>5536</v>
      </c>
      <c r="BS10" s="57">
        <v>5646</v>
      </c>
      <c r="BT10" s="57">
        <v>5689</v>
      </c>
      <c r="BU10" s="57"/>
      <c r="BV10" s="57"/>
      <c r="BW10" s="57">
        <v>5509</v>
      </c>
      <c r="BX10" s="57">
        <v>5509</v>
      </c>
      <c r="BY10" s="57">
        <v>5460</v>
      </c>
      <c r="BZ10" s="57">
        <v>5352</v>
      </c>
      <c r="CA10" s="57">
        <v>5387</v>
      </c>
      <c r="CB10" s="57"/>
      <c r="CC10" s="57"/>
      <c r="CD10" s="57">
        <v>5637</v>
      </c>
      <c r="CE10" s="57">
        <v>5702</v>
      </c>
      <c r="CF10" s="57">
        <v>5748</v>
      </c>
      <c r="CG10" s="57">
        <v>5498</v>
      </c>
      <c r="CH10" s="57">
        <v>5248</v>
      </c>
      <c r="CI10" s="57"/>
      <c r="CJ10" s="57"/>
      <c r="CK10" s="57">
        <v>5296</v>
      </c>
      <c r="CL10" s="57">
        <v>5046</v>
      </c>
      <c r="CM10" s="57">
        <v>5292</v>
      </c>
      <c r="CN10" s="57">
        <v>5213</v>
      </c>
      <c r="CO10" s="57">
        <v>5213</v>
      </c>
      <c r="CP10" s="57"/>
      <c r="CQ10" s="57"/>
      <c r="CR10" s="57">
        <v>5281</v>
      </c>
      <c r="CS10" s="57">
        <v>5392</v>
      </c>
      <c r="CT10" s="57">
        <v>5285</v>
      </c>
      <c r="CU10" s="57">
        <v>5338</v>
      </c>
      <c r="CV10" s="57">
        <v>5285</v>
      </c>
      <c r="CW10" s="57"/>
      <c r="CX10" s="57"/>
      <c r="CY10" s="57">
        <v>5145</v>
      </c>
      <c r="CZ10" s="57">
        <v>5303</v>
      </c>
      <c r="DA10" s="57">
        <v>5424</v>
      </c>
      <c r="DB10" s="57">
        <v>5489</v>
      </c>
      <c r="DC10" s="57">
        <v>5633</v>
      </c>
      <c r="DD10" s="57"/>
      <c r="DE10" s="57"/>
      <c r="DF10" s="57">
        <v>5627</v>
      </c>
      <c r="DG10" s="57">
        <v>5832</v>
      </c>
      <c r="DH10" s="57">
        <v>6252</v>
      </c>
      <c r="DI10" s="57">
        <v>6252</v>
      </c>
      <c r="DJ10" s="57">
        <v>6271</v>
      </c>
      <c r="DK10" s="57"/>
      <c r="DL10" s="57"/>
      <c r="DM10" s="57">
        <v>6521</v>
      </c>
      <c r="DN10" s="57">
        <v>6645</v>
      </c>
      <c r="DO10" s="57">
        <v>6895</v>
      </c>
      <c r="DP10" s="57">
        <v>6599</v>
      </c>
      <c r="DQ10" s="57">
        <v>6846</v>
      </c>
      <c r="DR10" s="57"/>
      <c r="DS10" s="57"/>
      <c r="DT10" s="57">
        <v>6831</v>
      </c>
      <c r="DU10" s="57">
        <v>6795</v>
      </c>
      <c r="DV10" s="57">
        <v>6674</v>
      </c>
      <c r="DW10" s="57">
        <v>6625</v>
      </c>
      <c r="DX10" s="57">
        <v>6638</v>
      </c>
      <c r="DY10" s="57"/>
      <c r="DZ10" s="57"/>
      <c r="EA10" s="57">
        <v>6610</v>
      </c>
      <c r="EB10" s="57">
        <v>6706</v>
      </c>
      <c r="EC10" s="57">
        <v>6866</v>
      </c>
      <c r="ED10" s="57">
        <v>6804</v>
      </c>
      <c r="EE10" s="57">
        <v>6841</v>
      </c>
      <c r="EF10" s="57"/>
      <c r="EG10" s="57"/>
      <c r="EH10" s="57">
        <v>6897</v>
      </c>
      <c r="EI10" s="57">
        <v>6867</v>
      </c>
      <c r="EJ10" s="57">
        <v>6647</v>
      </c>
      <c r="EK10" s="57">
        <v>6576</v>
      </c>
      <c r="EL10" s="57">
        <v>6549</v>
      </c>
      <c r="EM10" s="57"/>
      <c r="EN10" s="57"/>
      <c r="EO10" s="57">
        <v>6513</v>
      </c>
      <c r="EP10" s="57">
        <v>6669</v>
      </c>
      <c r="EQ10" s="57">
        <v>6568</v>
      </c>
      <c r="ER10" s="57">
        <v>6681</v>
      </c>
      <c r="ES10" s="57">
        <v>6579</v>
      </c>
      <c r="ET10" s="57"/>
      <c r="EU10" s="57"/>
      <c r="EV10" s="57">
        <v>6579</v>
      </c>
      <c r="EW10" s="57">
        <v>6739</v>
      </c>
      <c r="EX10" s="57">
        <v>7038</v>
      </c>
      <c r="EY10" s="57">
        <v>7134</v>
      </c>
      <c r="EZ10" s="57">
        <v>7134</v>
      </c>
      <c r="FA10" s="57"/>
      <c r="FB10" s="57"/>
      <c r="FC10" s="57">
        <v>7083</v>
      </c>
      <c r="FD10" s="57">
        <v>7208</v>
      </c>
      <c r="FE10" s="57">
        <v>7159</v>
      </c>
      <c r="FF10" s="57">
        <v>7046</v>
      </c>
      <c r="FG10" s="57">
        <v>6698</v>
      </c>
      <c r="FH10" s="57"/>
      <c r="FI10" s="57"/>
      <c r="FJ10" s="57">
        <v>6596</v>
      </c>
      <c r="FK10" s="57">
        <v>6557</v>
      </c>
      <c r="FL10" s="57">
        <v>6207</v>
      </c>
      <c r="FM10" s="57">
        <v>5657</v>
      </c>
      <c r="FN10" s="57">
        <v>5812</v>
      </c>
      <c r="FO10" s="57"/>
      <c r="FP10" s="57"/>
      <c r="FQ10" s="57">
        <v>6033</v>
      </c>
      <c r="FR10" s="57">
        <v>6067</v>
      </c>
      <c r="FS10" s="57">
        <v>6213</v>
      </c>
      <c r="FT10" s="57">
        <v>6270</v>
      </c>
      <c r="FU10" s="57">
        <v>5971</v>
      </c>
      <c r="FV10" s="57"/>
      <c r="FW10" s="57"/>
      <c r="FX10" s="57">
        <v>6220</v>
      </c>
      <c r="FY10" s="57">
        <v>6415</v>
      </c>
      <c r="FZ10" s="57">
        <v>6516</v>
      </c>
      <c r="GA10" s="57">
        <v>6504</v>
      </c>
      <c r="GB10" s="57">
        <v>6682</v>
      </c>
      <c r="GC10" s="57"/>
      <c r="GD10" s="57"/>
      <c r="GE10" s="57">
        <v>6682</v>
      </c>
      <c r="GF10" s="57">
        <v>6383</v>
      </c>
      <c r="GG10" s="57">
        <v>6476</v>
      </c>
      <c r="GH10" s="57">
        <v>6425</v>
      </c>
      <c r="GI10" s="57">
        <v>6241</v>
      </c>
      <c r="GJ10" s="57"/>
      <c r="GK10" s="57"/>
      <c r="GL10" s="57">
        <v>6499</v>
      </c>
      <c r="GM10" s="57">
        <v>6663</v>
      </c>
      <c r="GN10" s="57">
        <v>6663</v>
      </c>
      <c r="GO10" s="57">
        <v>6731</v>
      </c>
      <c r="GP10" s="57">
        <v>6831</v>
      </c>
      <c r="GQ10" s="57"/>
      <c r="GR10" s="57"/>
      <c r="GS10" s="57">
        <v>6831</v>
      </c>
      <c r="GT10" s="57">
        <v>6702</v>
      </c>
      <c r="GU10" s="57">
        <v>6546</v>
      </c>
      <c r="GV10" s="57">
        <v>6500</v>
      </c>
      <c r="GW10" s="57">
        <v>6566</v>
      </c>
      <c r="GX10" s="57"/>
      <c r="GY10" s="57"/>
      <c r="GZ10" s="57">
        <v>6643</v>
      </c>
      <c r="HA10" s="57">
        <v>6626</v>
      </c>
      <c r="HB10" s="57">
        <v>6655</v>
      </c>
      <c r="HC10" s="57">
        <v>6693</v>
      </c>
      <c r="HD10" s="57">
        <v>6582</v>
      </c>
      <c r="HE10" s="57"/>
      <c r="HF10" s="57"/>
      <c r="HG10" s="57">
        <v>6462</v>
      </c>
      <c r="HH10" s="57">
        <v>6327</v>
      </c>
      <c r="HI10" s="57">
        <v>6277</v>
      </c>
      <c r="HJ10" s="57">
        <v>6247</v>
      </c>
      <c r="HK10" s="57">
        <v>6341</v>
      </c>
      <c r="HL10" s="57"/>
      <c r="HM10" s="57"/>
      <c r="HN10" s="57">
        <v>6572</v>
      </c>
      <c r="HO10" s="57">
        <v>6541</v>
      </c>
      <c r="HP10" s="57">
        <v>6353</v>
      </c>
      <c r="HQ10" s="57">
        <v>6351</v>
      </c>
      <c r="HR10" s="57">
        <v>6351</v>
      </c>
      <c r="HS10" s="57"/>
      <c r="HT10" s="57"/>
      <c r="HU10" s="57">
        <v>6329</v>
      </c>
      <c r="HV10" s="57">
        <v>6254</v>
      </c>
      <c r="HW10" s="57">
        <v>6193</v>
      </c>
      <c r="HX10" s="57">
        <v>6060</v>
      </c>
      <c r="HY10" s="57">
        <v>5749</v>
      </c>
      <c r="HZ10" s="57"/>
      <c r="IA10" s="57"/>
      <c r="IB10" s="57">
        <v>5925</v>
      </c>
      <c r="IC10" s="57">
        <v>6109</v>
      </c>
      <c r="ID10" s="57">
        <v>6189</v>
      </c>
      <c r="IE10" s="57">
        <v>6133</v>
      </c>
      <c r="IF10" s="57">
        <v>6133</v>
      </c>
      <c r="IG10" s="57"/>
      <c r="IH10" s="57"/>
      <c r="II10" s="57">
        <v>6028</v>
      </c>
      <c r="IJ10" s="57">
        <v>5936</v>
      </c>
      <c r="IK10" s="57">
        <v>5831</v>
      </c>
      <c r="IL10" s="57">
        <v>5901</v>
      </c>
      <c r="IM10" s="57">
        <v>5900</v>
      </c>
      <c r="IN10" s="57"/>
      <c r="IO10" s="57"/>
      <c r="IP10" s="57">
        <v>5900</v>
      </c>
      <c r="IQ10" s="57">
        <v>5900</v>
      </c>
      <c r="IR10" s="57">
        <v>5745</v>
      </c>
      <c r="IS10" s="57">
        <v>5602</v>
      </c>
      <c r="IT10" s="57">
        <v>5574</v>
      </c>
      <c r="IU10" s="57"/>
      <c r="IV10" s="57"/>
      <c r="IW10" s="57">
        <v>5580</v>
      </c>
      <c r="IX10" s="57">
        <v>5668</v>
      </c>
      <c r="IY10" s="57">
        <v>5831</v>
      </c>
      <c r="IZ10" s="57">
        <v>5683</v>
      </c>
      <c r="JA10" s="57">
        <v>5629</v>
      </c>
      <c r="JB10" s="57"/>
      <c r="JC10" s="57"/>
      <c r="JD10" s="57">
        <v>5491</v>
      </c>
      <c r="JE10" s="57">
        <v>5532</v>
      </c>
      <c r="JF10" s="57">
        <v>5639</v>
      </c>
      <c r="JG10" s="57">
        <v>5710</v>
      </c>
      <c r="JH10" s="57">
        <v>5797</v>
      </c>
      <c r="JI10" s="57"/>
      <c r="JJ10" s="57"/>
      <c r="JK10" s="57">
        <v>5830</v>
      </c>
      <c r="JL10" s="57">
        <v>5777</v>
      </c>
      <c r="JM10" s="57">
        <v>5778</v>
      </c>
      <c r="JN10" s="57">
        <v>5879</v>
      </c>
      <c r="JO10" s="57">
        <v>5861</v>
      </c>
      <c r="JP10" s="57"/>
      <c r="JQ10" s="57"/>
      <c r="JR10" s="57">
        <v>5857</v>
      </c>
      <c r="JS10" s="57">
        <v>6089</v>
      </c>
      <c r="JT10" s="57">
        <v>6007</v>
      </c>
      <c r="JU10" s="57">
        <v>6190</v>
      </c>
      <c r="JV10" s="57">
        <v>6163</v>
      </c>
      <c r="JW10" s="57"/>
      <c r="JX10" s="57"/>
      <c r="JY10" s="57">
        <v>6029</v>
      </c>
      <c r="JZ10" s="57">
        <v>6029</v>
      </c>
      <c r="KA10" s="57">
        <v>5936</v>
      </c>
      <c r="KB10" s="57">
        <v>5994</v>
      </c>
      <c r="KC10" s="57">
        <v>6129</v>
      </c>
      <c r="KD10" s="57"/>
      <c r="KE10" s="57"/>
      <c r="KF10" s="57">
        <v>6202</v>
      </c>
      <c r="KG10" s="57">
        <v>6239</v>
      </c>
      <c r="KH10" s="57">
        <v>6470</v>
      </c>
      <c r="KI10" s="57">
        <v>6258</v>
      </c>
      <c r="KJ10" s="57">
        <v>6209</v>
      </c>
      <c r="KK10" s="57"/>
      <c r="KL10" s="57"/>
      <c r="KM10" s="57">
        <v>6314</v>
      </c>
      <c r="KN10" s="57">
        <v>6231</v>
      </c>
      <c r="KO10" s="57">
        <v>6142</v>
      </c>
      <c r="KP10" s="57">
        <v>6087</v>
      </c>
      <c r="KQ10" s="57">
        <v>6127</v>
      </c>
      <c r="KR10" s="57"/>
      <c r="KS10" s="57"/>
      <c r="KT10" s="57">
        <v>6197</v>
      </c>
      <c r="KU10" s="57">
        <v>6197</v>
      </c>
      <c r="KV10" s="57">
        <v>6103</v>
      </c>
      <c r="KW10" s="57">
        <v>5958</v>
      </c>
      <c r="KX10" s="57">
        <v>5878</v>
      </c>
      <c r="KY10" s="57"/>
      <c r="KZ10" s="57"/>
      <c r="LA10" s="57">
        <v>5805</v>
      </c>
      <c r="LB10" s="57">
        <v>5847</v>
      </c>
      <c r="LC10" s="57">
        <v>5914</v>
      </c>
      <c r="LD10" s="57">
        <v>5914</v>
      </c>
      <c r="LE10" s="57">
        <v>5897</v>
      </c>
      <c r="LF10" s="57"/>
      <c r="LG10" s="57"/>
      <c r="LH10" s="57">
        <v>5897</v>
      </c>
      <c r="LI10" s="57">
        <v>5917</v>
      </c>
      <c r="LJ10" s="57">
        <v>5923</v>
      </c>
      <c r="LK10" s="57">
        <v>5917</v>
      </c>
      <c r="LL10" s="57">
        <v>5816</v>
      </c>
      <c r="LM10" s="57"/>
      <c r="LN10" s="57"/>
      <c r="LO10" s="57">
        <v>5914</v>
      </c>
      <c r="LP10" s="57">
        <v>6014</v>
      </c>
      <c r="LQ10" s="57">
        <v>6094</v>
      </c>
      <c r="LR10" s="57">
        <v>6094</v>
      </c>
      <c r="LS10" s="57">
        <v>5902</v>
      </c>
      <c r="LT10" s="57"/>
      <c r="LU10" s="57"/>
      <c r="LV10" s="57">
        <v>5826</v>
      </c>
      <c r="LW10" s="57">
        <v>5511</v>
      </c>
      <c r="LX10" s="57">
        <v>5505</v>
      </c>
      <c r="LY10" s="57">
        <v>5823</v>
      </c>
      <c r="LZ10" s="57">
        <v>5710</v>
      </c>
      <c r="MA10" s="57"/>
      <c r="MB10" s="57"/>
      <c r="MC10" s="57">
        <v>5779</v>
      </c>
      <c r="MD10" s="57">
        <v>5704</v>
      </c>
      <c r="ME10" s="57">
        <v>5548</v>
      </c>
      <c r="MF10" s="57">
        <v>5479</v>
      </c>
      <c r="MG10" s="57">
        <v>5359</v>
      </c>
      <c r="MH10" s="57"/>
      <c r="MI10" s="57"/>
      <c r="MJ10" s="57">
        <v>5324</v>
      </c>
      <c r="MK10" s="57">
        <v>5201</v>
      </c>
      <c r="ML10" s="57">
        <v>5347</v>
      </c>
      <c r="MM10" s="57">
        <v>5465</v>
      </c>
      <c r="MN10" s="57">
        <v>5388</v>
      </c>
      <c r="MO10" s="57"/>
      <c r="MP10" s="57"/>
      <c r="MQ10" s="57">
        <v>5294</v>
      </c>
      <c r="MR10" s="57">
        <v>5390</v>
      </c>
      <c r="MS10" s="57">
        <v>5483</v>
      </c>
      <c r="MT10" s="57">
        <v>5544</v>
      </c>
      <c r="MU10" s="57">
        <v>5544</v>
      </c>
      <c r="MV10" s="57"/>
      <c r="MW10" s="57"/>
      <c r="MX10" s="57">
        <v>5672</v>
      </c>
      <c r="MY10" s="57">
        <v>5655</v>
      </c>
      <c r="MZ10" s="57">
        <v>5670</v>
      </c>
      <c r="NA10" s="57">
        <v>5585</v>
      </c>
      <c r="NB10" s="57">
        <v>5585</v>
      </c>
      <c r="NC10" s="83"/>
    </row>
    <row r="11" spans="1:367" s="82" customFormat="1" x14ac:dyDescent="0.25">
      <c r="A11" s="81" t="s">
        <v>79</v>
      </c>
      <c r="B11" s="58"/>
      <c r="C11" s="58"/>
      <c r="D11" s="58"/>
      <c r="E11" s="58">
        <f>E10*0.220462</f>
        <v>946.44336599999997</v>
      </c>
      <c r="F11" s="58">
        <f>F10*0.220462</f>
        <v>977.96943199999998</v>
      </c>
      <c r="G11" s="58">
        <f>G10*0.220462</f>
        <v>978.63081799999998</v>
      </c>
      <c r="H11" s="58">
        <f>H10*0.220462</f>
        <v>977.74896999999999</v>
      </c>
      <c r="I11" s="58">
        <f>I10*0.220462</f>
        <v>964.74171200000001</v>
      </c>
      <c r="J11" s="58"/>
      <c r="K11" s="58"/>
      <c r="L11" s="58">
        <f>L10*0.220462</f>
        <v>950.85260599999992</v>
      </c>
      <c r="M11" s="58">
        <f>M10*0.220462</f>
        <v>950.85260599999992</v>
      </c>
      <c r="N11" s="58">
        <f>N10*0.220462</f>
        <v>940.93181599999991</v>
      </c>
      <c r="O11" s="58">
        <f>O10*0.220462</f>
        <v>953.93907400000001</v>
      </c>
      <c r="P11" s="58">
        <f>P10*0.220462</f>
        <v>922.63346999999999</v>
      </c>
      <c r="Q11" s="58"/>
      <c r="R11" s="58"/>
      <c r="S11" s="58">
        <f>S10*0.220462</f>
        <v>922.63346999999999</v>
      </c>
      <c r="T11" s="58">
        <f>T10*0.220462</f>
        <v>919.32653999999991</v>
      </c>
      <c r="U11" s="58">
        <f>U10*0.220462</f>
        <v>937.84534799999994</v>
      </c>
      <c r="V11" s="58">
        <f t="shared" ref="V11:W11" si="0">V10*0.220462</f>
        <v>957.46646599999997</v>
      </c>
      <c r="W11" s="58">
        <f t="shared" si="0"/>
        <v>931.89287400000001</v>
      </c>
      <c r="X11" s="58"/>
      <c r="Y11" s="58"/>
      <c r="Z11" s="58">
        <f>Z10*0.220462</f>
        <v>931.89287400000001</v>
      </c>
      <c r="AA11" s="58">
        <f>AA10*0.220462</f>
        <v>968.04864199999997</v>
      </c>
      <c r="AB11" s="58">
        <f>AB10*0.220462</f>
        <v>981.49682399999995</v>
      </c>
      <c r="AC11" s="58">
        <f t="shared" ref="AC11:AD11" si="1">AC10*0.220462</f>
        <v>984.36282999999992</v>
      </c>
      <c r="AD11" s="58">
        <f t="shared" si="1"/>
        <v>983.70144399999992</v>
      </c>
      <c r="AE11" s="58"/>
      <c r="AF11" s="58"/>
      <c r="AG11" s="58">
        <f>AG10*0.220462</f>
        <v>991.41761399999996</v>
      </c>
      <c r="AH11" s="58">
        <f>AH10*0.220462</f>
        <v>977.08758399999999</v>
      </c>
      <c r="AI11" s="58">
        <f>AI10*0.220462</f>
        <v>980.61497599999996</v>
      </c>
      <c r="AJ11" s="58">
        <f t="shared" ref="AJ11:AK11" si="2">AJ10*0.220462</f>
        <v>990.75622799999996</v>
      </c>
      <c r="AK11" s="58">
        <f t="shared" si="2"/>
        <v>984.58329199999991</v>
      </c>
      <c r="AL11" s="58"/>
      <c r="AM11" s="58"/>
      <c r="AN11" s="58">
        <f>AN10*0.220462</f>
        <v>1005.9681059999999</v>
      </c>
      <c r="AO11" s="58">
        <f>AO10*0.220462</f>
        <v>1025.5892240000001</v>
      </c>
      <c r="AP11" s="58">
        <f>AP10*0.220462</f>
        <v>1007.2908779999999</v>
      </c>
      <c r="AQ11" s="58">
        <f t="shared" ref="AQ11:AR11" si="3">AQ10*0.220462</f>
        <v>1005.9681059999999</v>
      </c>
      <c r="AR11" s="58">
        <f t="shared" si="3"/>
        <v>1015.0070479999999</v>
      </c>
      <c r="AS11" s="58"/>
      <c r="AT11" s="58"/>
      <c r="AU11" s="58">
        <v>1005.9681059999999</v>
      </c>
      <c r="AV11" s="58">
        <v>1025.5892240000001</v>
      </c>
      <c r="AW11" s="58">
        <f>AW10*0.220462</f>
        <v>1031.100774</v>
      </c>
      <c r="AX11" s="58">
        <f t="shared" ref="AX11:AY11" si="4">AX10*0.220462</f>
        <v>1034.187242</v>
      </c>
      <c r="AY11" s="58">
        <f t="shared" si="4"/>
        <v>1048.2968100000001</v>
      </c>
      <c r="AZ11" s="58"/>
      <c r="BA11" s="58"/>
      <c r="BB11" s="58">
        <f>BB10*0.220462</f>
        <v>1056.01298</v>
      </c>
      <c r="BC11" s="58">
        <f>BC10*0.220462</f>
        <v>1085.9958119999999</v>
      </c>
      <c r="BD11" s="58">
        <f>BD10*0.220462</f>
        <v>1127.4426679999999</v>
      </c>
      <c r="BE11" s="58">
        <f t="shared" ref="BE11:BF11" si="5">BE10*0.220462</f>
        <v>1123.474352</v>
      </c>
      <c r="BF11" s="58">
        <f t="shared" si="5"/>
        <v>1131.8519079999999</v>
      </c>
      <c r="BG11" s="58"/>
      <c r="BH11" s="58"/>
      <c r="BI11" s="58">
        <f>BI10*0.220462</f>
        <v>1119.285574</v>
      </c>
      <c r="BJ11" s="58">
        <f>BJ10*0.220462</f>
        <v>1130.3086739999999</v>
      </c>
      <c r="BK11" s="58">
        <f>BK10*0.220462</f>
        <v>1132.0723699999999</v>
      </c>
      <c r="BL11" s="58">
        <f t="shared" ref="BL11:BM11" si="6">BL10*0.220462</f>
        <v>1154.7799559999999</v>
      </c>
      <c r="BM11" s="58">
        <f t="shared" si="6"/>
        <v>1176.8261559999999</v>
      </c>
      <c r="BN11" s="58"/>
      <c r="BO11" s="58"/>
      <c r="BP11" s="58">
        <f>BP10*0.220462</f>
        <v>1191.8175719999999</v>
      </c>
      <c r="BQ11" s="58">
        <f>BQ10*0.220462</f>
        <v>1215.8479299999999</v>
      </c>
      <c r="BR11" s="58">
        <f>BR10*0.220462</f>
        <v>1220.4776319999999</v>
      </c>
      <c r="BS11" s="58">
        <f t="shared" ref="BS11" si="7">BS10*0.220462</f>
        <v>1244.7284520000001</v>
      </c>
      <c r="BT11" s="58">
        <f>BT10*0.220462</f>
        <v>1254.208318</v>
      </c>
      <c r="BU11" s="58"/>
      <c r="BV11" s="58"/>
      <c r="BW11" s="58">
        <f>BW10*0.220462</f>
        <v>1214.5251579999999</v>
      </c>
      <c r="BX11" s="58">
        <f>BX10*0.220462</f>
        <v>1214.5251579999999</v>
      </c>
      <c r="BY11" s="58">
        <f>BY10*0.220462</f>
        <v>1203.72252</v>
      </c>
      <c r="BZ11" s="58">
        <f t="shared" ref="BZ11:CA11" si="8">BZ10*0.220462</f>
        <v>1179.9126240000001</v>
      </c>
      <c r="CA11" s="58">
        <f t="shared" si="8"/>
        <v>1187.628794</v>
      </c>
      <c r="CB11" s="58"/>
      <c r="CC11" s="58"/>
      <c r="CD11" s="58">
        <f>CD10*0.220462</f>
        <v>1242.7442939999999</v>
      </c>
      <c r="CE11" s="58">
        <f>CE10*0.220462</f>
        <v>1257.0743239999999</v>
      </c>
      <c r="CF11" s="58">
        <f>CF10*0.220462</f>
        <v>1267.2155760000001</v>
      </c>
      <c r="CG11" s="58">
        <f t="shared" ref="CG11:CM11" si="9">CG10*0.220462</f>
        <v>1212.1000759999999</v>
      </c>
      <c r="CH11" s="58">
        <f t="shared" si="9"/>
        <v>1156.9845760000001</v>
      </c>
      <c r="CI11" s="58"/>
      <c r="CJ11" s="58"/>
      <c r="CK11" s="58">
        <f t="shared" si="9"/>
        <v>1167.566752</v>
      </c>
      <c r="CL11" s="58">
        <f t="shared" si="9"/>
        <v>1112.4512520000001</v>
      </c>
      <c r="CM11" s="58">
        <f t="shared" si="9"/>
        <v>1166.684904</v>
      </c>
      <c r="CN11" s="58">
        <f t="shared" ref="CN11" si="10">CN10*0.220462</f>
        <v>1149.2684059999999</v>
      </c>
      <c r="CO11" s="58">
        <v>1166.684904</v>
      </c>
      <c r="CP11" s="58"/>
      <c r="CQ11" s="58"/>
      <c r="CR11" s="58">
        <f t="shared" ref="CR11:CU11" si="11">CR10*0.220462</f>
        <v>1164.259822</v>
      </c>
      <c r="CS11" s="58">
        <f t="shared" si="11"/>
        <v>1188.731104</v>
      </c>
      <c r="CT11" s="58">
        <f t="shared" si="11"/>
        <v>1165.14167</v>
      </c>
      <c r="CU11" s="58">
        <f t="shared" si="11"/>
        <v>1176.8261559999999</v>
      </c>
      <c r="CV11" s="58">
        <f t="shared" ref="CV11" si="12">CV10*0.220462</f>
        <v>1165.14167</v>
      </c>
      <c r="CW11" s="58"/>
      <c r="CX11" s="58"/>
      <c r="CY11" s="58">
        <f t="shared" ref="CY11:DC11" si="13">CY10*0.220462</f>
        <v>1134.2769899999998</v>
      </c>
      <c r="CZ11" s="58">
        <f t="shared" si="13"/>
        <v>1169.1099859999999</v>
      </c>
      <c r="DA11" s="58">
        <f t="shared" si="13"/>
        <v>1195.7858879999999</v>
      </c>
      <c r="DB11" s="58">
        <f t="shared" si="13"/>
        <v>1210.115918</v>
      </c>
      <c r="DC11" s="58">
        <f t="shared" si="13"/>
        <v>1241.8624459999999</v>
      </c>
      <c r="DD11" s="58"/>
      <c r="DE11" s="58"/>
      <c r="DF11" s="58">
        <f t="shared" ref="DF11:DJ11" si="14">DF10*0.220462</f>
        <v>1240.5396739999999</v>
      </c>
      <c r="DG11" s="58">
        <f t="shared" si="14"/>
        <v>1285.7343839999999</v>
      </c>
      <c r="DH11" s="58">
        <f t="shared" ref="DH11" si="15">DH10*0.220462</f>
        <v>1378.328424</v>
      </c>
      <c r="DI11" s="58">
        <f t="shared" si="14"/>
        <v>1378.328424</v>
      </c>
      <c r="DJ11" s="58">
        <f t="shared" si="14"/>
        <v>1382.517202</v>
      </c>
      <c r="DK11" s="58"/>
      <c r="DL11" s="58"/>
      <c r="DM11" s="58">
        <f t="shared" ref="DM11:DQ11" si="16">DM10*0.220462</f>
        <v>1437.6327019999999</v>
      </c>
      <c r="DN11" s="58">
        <f t="shared" si="16"/>
        <v>1464.9699900000001</v>
      </c>
      <c r="DO11" s="58">
        <f t="shared" si="16"/>
        <v>1520.0854899999999</v>
      </c>
      <c r="DP11" s="58">
        <f t="shared" si="16"/>
        <v>1454.8287379999999</v>
      </c>
      <c r="DQ11" s="58">
        <f t="shared" si="16"/>
        <v>1509.282852</v>
      </c>
      <c r="DR11" s="58"/>
      <c r="DS11" s="58"/>
      <c r="DT11" s="58">
        <f t="shared" ref="DT11:DX11" si="17">DT10*0.220462</f>
        <v>1505.9759219999999</v>
      </c>
      <c r="DU11" s="58">
        <f t="shared" si="17"/>
        <v>1498.0392899999999</v>
      </c>
      <c r="DV11" s="58">
        <f t="shared" si="17"/>
        <v>1471.363388</v>
      </c>
      <c r="DW11" s="58">
        <f t="shared" si="17"/>
        <v>1460.5607499999999</v>
      </c>
      <c r="DX11" s="58">
        <f t="shared" si="17"/>
        <v>1463.4267559999998</v>
      </c>
      <c r="DY11" s="58"/>
      <c r="DZ11" s="58"/>
      <c r="EA11" s="58">
        <f t="shared" ref="EA11:EE11" si="18">EA10*0.220462</f>
        <v>1457.2538199999999</v>
      </c>
      <c r="EB11" s="58">
        <f t="shared" si="18"/>
        <v>1478.4181719999999</v>
      </c>
      <c r="EC11" s="58">
        <f t="shared" si="18"/>
        <v>1513.692092</v>
      </c>
      <c r="ED11" s="58">
        <f t="shared" si="18"/>
        <v>1500.0234479999999</v>
      </c>
      <c r="EE11" s="58">
        <f t="shared" si="18"/>
        <v>1508.1805419999998</v>
      </c>
      <c r="EF11" s="58"/>
      <c r="EG11" s="58"/>
      <c r="EH11" s="58">
        <f t="shared" ref="EH11:EL11" si="19">EH10*0.220462</f>
        <v>1520.5264139999999</v>
      </c>
      <c r="EI11" s="58">
        <f t="shared" si="19"/>
        <v>1513.912554</v>
      </c>
      <c r="EJ11" s="58">
        <f t="shared" si="19"/>
        <v>1465.410914</v>
      </c>
      <c r="EK11" s="58">
        <f t="shared" si="19"/>
        <v>1449.758112</v>
      </c>
      <c r="EL11" s="58">
        <f t="shared" si="19"/>
        <v>1443.805638</v>
      </c>
      <c r="EM11" s="58"/>
      <c r="EN11" s="58"/>
      <c r="EO11" s="58">
        <f t="shared" ref="EO11:ES11" si="20">EO10*0.220462</f>
        <v>1435.8690059999999</v>
      </c>
      <c r="EP11" s="58">
        <f t="shared" si="20"/>
        <v>1470.261078</v>
      </c>
      <c r="EQ11" s="58">
        <f t="shared" si="20"/>
        <v>1447.994416</v>
      </c>
      <c r="ER11" s="58">
        <f t="shared" si="20"/>
        <v>1472.906622</v>
      </c>
      <c r="ES11" s="58">
        <f t="shared" si="20"/>
        <v>1450.419498</v>
      </c>
      <c r="ET11" s="58"/>
      <c r="EU11" s="58"/>
      <c r="EV11" s="58">
        <f t="shared" ref="EV11:EZ11" si="21">EV10*0.220462</f>
        <v>1450.419498</v>
      </c>
      <c r="EW11" s="58">
        <f t="shared" si="21"/>
        <v>1485.6934179999998</v>
      </c>
      <c r="EX11" s="58">
        <f t="shared" si="21"/>
        <v>1551.6115559999998</v>
      </c>
      <c r="EY11" s="58">
        <v>1560.430036</v>
      </c>
      <c r="EZ11" s="58">
        <f t="shared" si="21"/>
        <v>1572.7759079999998</v>
      </c>
      <c r="FA11" s="58"/>
      <c r="FB11" s="58"/>
      <c r="FC11" s="58">
        <f t="shared" ref="FC11:FG11" si="22">FC10*0.220462</f>
        <v>1561.532346</v>
      </c>
      <c r="FD11" s="58">
        <f t="shared" si="22"/>
        <v>1589.0900959999999</v>
      </c>
      <c r="FE11" s="58">
        <f t="shared" si="22"/>
        <v>1578.287458</v>
      </c>
      <c r="FF11" s="58">
        <f t="shared" si="22"/>
        <v>1553.375252</v>
      </c>
      <c r="FG11" s="58">
        <f t="shared" si="22"/>
        <v>1476.6544759999999</v>
      </c>
      <c r="FH11" s="58"/>
      <c r="FI11" s="58"/>
      <c r="FJ11" s="58">
        <f t="shared" ref="FJ11:FN11" si="23">FJ10*0.220462</f>
        <v>1454.1673519999999</v>
      </c>
      <c r="FK11" s="58">
        <f t="shared" si="23"/>
        <v>1445.569334</v>
      </c>
      <c r="FL11" s="58">
        <f t="shared" si="23"/>
        <v>1368.4076339999999</v>
      </c>
      <c r="FM11" s="58">
        <f t="shared" si="23"/>
        <v>1247.153534</v>
      </c>
      <c r="FN11" s="58">
        <f t="shared" si="23"/>
        <v>1281.3251439999999</v>
      </c>
      <c r="FO11" s="58"/>
      <c r="FP11" s="58"/>
      <c r="FQ11" s="58">
        <f t="shared" ref="FQ11:FU11" si="24">FQ10*0.220462</f>
        <v>1330.0472459999999</v>
      </c>
      <c r="FR11" s="58">
        <f t="shared" si="24"/>
        <v>1337.542954</v>
      </c>
      <c r="FS11" s="58">
        <f t="shared" si="24"/>
        <v>1369.7304059999999</v>
      </c>
      <c r="FT11" s="58">
        <f t="shared" si="24"/>
        <v>1382.29674</v>
      </c>
      <c r="FU11" s="58">
        <f t="shared" si="24"/>
        <v>1316.378602</v>
      </c>
      <c r="FV11" s="58"/>
      <c r="FW11" s="58"/>
      <c r="FX11" s="58">
        <f t="shared" ref="FX11:GB11" si="25">FX10*0.220462</f>
        <v>1371.2736399999999</v>
      </c>
      <c r="FY11" s="58">
        <f t="shared" si="25"/>
        <v>1414.2637299999999</v>
      </c>
      <c r="FZ11" s="58">
        <f t="shared" si="25"/>
        <v>1436.5303919999999</v>
      </c>
      <c r="GA11" s="58">
        <f t="shared" si="25"/>
        <v>1433.8848479999999</v>
      </c>
      <c r="GB11" s="58">
        <f t="shared" si="25"/>
        <v>1473.127084</v>
      </c>
      <c r="GC11" s="58"/>
      <c r="GD11" s="58"/>
      <c r="GE11" s="58">
        <f t="shared" ref="GE11:GI11" si="26">GE10*0.220462</f>
        <v>1473.127084</v>
      </c>
      <c r="GF11" s="58">
        <f t="shared" si="26"/>
        <v>1407.208946</v>
      </c>
      <c r="GG11" s="58">
        <f t="shared" si="26"/>
        <v>1427.711912</v>
      </c>
      <c r="GH11" s="58">
        <f t="shared" si="26"/>
        <v>1416.4683499999999</v>
      </c>
      <c r="GI11" s="58">
        <f t="shared" si="26"/>
        <v>1375.9033419999998</v>
      </c>
      <c r="GJ11" s="58"/>
      <c r="GK11" s="58"/>
      <c r="GL11" s="58">
        <f t="shared" ref="GL11:GP11" si="27">GL10*0.220462</f>
        <v>1432.7825379999999</v>
      </c>
      <c r="GM11" s="58">
        <f t="shared" si="27"/>
        <v>1468.938306</v>
      </c>
      <c r="GN11" s="58">
        <f t="shared" si="27"/>
        <v>1468.938306</v>
      </c>
      <c r="GO11" s="58">
        <f t="shared" si="27"/>
        <v>1483.9297219999999</v>
      </c>
      <c r="GP11" s="58">
        <f t="shared" si="27"/>
        <v>1505.9759219999999</v>
      </c>
      <c r="GQ11" s="58"/>
      <c r="GR11" s="58"/>
      <c r="GS11" s="58">
        <f t="shared" ref="GS11:GW11" si="28">GS10*0.220462</f>
        <v>1505.9759219999999</v>
      </c>
      <c r="GT11" s="58">
        <f t="shared" si="28"/>
        <v>1477.5363239999999</v>
      </c>
      <c r="GU11" s="58">
        <f t="shared" si="28"/>
        <v>1443.1442520000001</v>
      </c>
      <c r="GV11" s="58">
        <f t="shared" si="28"/>
        <v>1433.0029999999999</v>
      </c>
      <c r="GW11" s="58">
        <f t="shared" si="28"/>
        <v>1447.553492</v>
      </c>
      <c r="GX11" s="58"/>
      <c r="GY11" s="58"/>
      <c r="GZ11" s="58">
        <f t="shared" ref="GZ11:HD11" si="29">GZ10*0.220462</f>
        <v>1464.5290659999998</v>
      </c>
      <c r="HA11" s="58">
        <f t="shared" si="29"/>
        <v>1460.7812119999999</v>
      </c>
      <c r="HB11" s="58">
        <f t="shared" si="29"/>
        <v>1467.17461</v>
      </c>
      <c r="HC11" s="58">
        <f t="shared" si="29"/>
        <v>1475.5521659999999</v>
      </c>
      <c r="HD11" s="58">
        <f t="shared" si="29"/>
        <v>1451.080884</v>
      </c>
      <c r="HE11" s="58"/>
      <c r="HF11" s="58"/>
      <c r="HG11" s="58">
        <f t="shared" ref="HG11:HK11" si="30">HG10*0.220462</f>
        <v>1424.625444</v>
      </c>
      <c r="HH11" s="58">
        <f t="shared" si="30"/>
        <v>1394.8630739999999</v>
      </c>
      <c r="HI11" s="58">
        <f t="shared" si="30"/>
        <v>1383.839974</v>
      </c>
      <c r="HJ11" s="58">
        <f t="shared" si="30"/>
        <v>1377.2261140000001</v>
      </c>
      <c r="HK11" s="58">
        <f t="shared" si="30"/>
        <v>1397.9495419999998</v>
      </c>
      <c r="HL11" s="58"/>
      <c r="HM11" s="58"/>
      <c r="HN11" s="58">
        <f t="shared" ref="HN11:HR11" si="31">HN10*0.220462</f>
        <v>1448.876264</v>
      </c>
      <c r="HO11" s="58">
        <f t="shared" si="31"/>
        <v>1442.0419419999998</v>
      </c>
      <c r="HP11" s="58">
        <f t="shared" si="31"/>
        <v>1400.595086</v>
      </c>
      <c r="HQ11" s="58">
        <f t="shared" si="31"/>
        <v>1400.154162</v>
      </c>
      <c r="HR11" s="58">
        <f t="shared" si="31"/>
        <v>1400.154162</v>
      </c>
      <c r="HS11" s="58"/>
      <c r="HT11" s="58"/>
      <c r="HU11" s="58">
        <f t="shared" ref="HU11:HY11" si="32">HU10*0.220462</f>
        <v>1395.3039979999999</v>
      </c>
      <c r="HV11" s="58">
        <f t="shared" si="32"/>
        <v>1378.769348</v>
      </c>
      <c r="HW11" s="58">
        <f t="shared" si="32"/>
        <v>1365.3211659999999</v>
      </c>
      <c r="HX11" s="58">
        <f t="shared" si="32"/>
        <v>1335.99972</v>
      </c>
      <c r="HY11" s="58">
        <f t="shared" si="32"/>
        <v>1267.4360380000001</v>
      </c>
      <c r="HZ11" s="58"/>
      <c r="IA11" s="58"/>
      <c r="IB11" s="58">
        <f t="shared" ref="IB11:IF11" si="33">IB10*0.220462</f>
        <v>1306.2373499999999</v>
      </c>
      <c r="IC11" s="58">
        <f t="shared" si="33"/>
        <v>1346.8023579999999</v>
      </c>
      <c r="ID11" s="58">
        <f t="shared" si="33"/>
        <v>1364.439318</v>
      </c>
      <c r="IE11" s="58">
        <f t="shared" si="33"/>
        <v>1352.0934459999999</v>
      </c>
      <c r="IF11" s="58">
        <f t="shared" si="33"/>
        <v>1352.0934459999999</v>
      </c>
      <c r="IG11" s="58"/>
      <c r="IH11" s="58"/>
      <c r="II11" s="58">
        <f t="shared" ref="II11:IM11" si="34">II10*0.220462</f>
        <v>1328.9449359999999</v>
      </c>
      <c r="IJ11" s="58">
        <f t="shared" si="34"/>
        <v>1308.6624319999999</v>
      </c>
      <c r="IK11" s="58">
        <f t="shared" si="34"/>
        <v>1285.5139219999999</v>
      </c>
      <c r="IL11" s="58">
        <f t="shared" si="34"/>
        <v>1300.9462619999999</v>
      </c>
      <c r="IM11" s="58">
        <f t="shared" si="34"/>
        <v>1300.7257999999999</v>
      </c>
      <c r="IN11" s="58"/>
      <c r="IO11" s="58"/>
      <c r="IP11" s="58">
        <f t="shared" ref="IP11:IT11" si="35">IP10*0.220462</f>
        <v>1300.7257999999999</v>
      </c>
      <c r="IQ11" s="58">
        <f t="shared" si="35"/>
        <v>1300.7257999999999</v>
      </c>
      <c r="IR11" s="58">
        <f t="shared" si="35"/>
        <v>1266.5541900000001</v>
      </c>
      <c r="IS11" s="58">
        <f t="shared" si="35"/>
        <v>1235.0281239999999</v>
      </c>
      <c r="IT11" s="58">
        <f t="shared" si="35"/>
        <v>1228.855188</v>
      </c>
      <c r="IU11" s="58"/>
      <c r="IV11" s="58"/>
      <c r="IW11" s="58">
        <f t="shared" ref="IW11:JA11" si="36">IW10*0.220462</f>
        <v>1230.17796</v>
      </c>
      <c r="IX11" s="58">
        <f t="shared" si="36"/>
        <v>1249.578616</v>
      </c>
      <c r="IY11" s="58">
        <f t="shared" si="36"/>
        <v>1285.5139219999999</v>
      </c>
      <c r="IZ11" s="58">
        <f t="shared" si="36"/>
        <v>1252.885546</v>
      </c>
      <c r="JA11" s="58">
        <f t="shared" si="36"/>
        <v>1240.9805979999999</v>
      </c>
      <c r="JB11" s="58"/>
      <c r="JC11" s="58"/>
      <c r="JD11" s="58">
        <f t="shared" ref="JD11:JH11" si="37">JD10*0.220462</f>
        <v>1210.556842</v>
      </c>
      <c r="JE11" s="58">
        <f t="shared" si="37"/>
        <v>1219.5957839999999</v>
      </c>
      <c r="JF11" s="58">
        <f t="shared" si="37"/>
        <v>1243.1852179999998</v>
      </c>
      <c r="JG11" s="58">
        <f t="shared" si="37"/>
        <v>1258.8380199999999</v>
      </c>
      <c r="JH11" s="58">
        <f t="shared" si="37"/>
        <v>1278.0182139999999</v>
      </c>
      <c r="JI11" s="58"/>
      <c r="JJ11" s="58"/>
      <c r="JK11" s="58">
        <f t="shared" ref="JK11:JO11" si="38">JK10*0.220462</f>
        <v>1285.2934599999999</v>
      </c>
      <c r="JL11" s="58">
        <f t="shared" si="38"/>
        <v>1273.608974</v>
      </c>
      <c r="JM11" s="58">
        <f t="shared" si="38"/>
        <v>1273.829436</v>
      </c>
      <c r="JN11" s="58">
        <f t="shared" si="38"/>
        <v>1296.096098</v>
      </c>
      <c r="JO11" s="58">
        <f t="shared" si="38"/>
        <v>1292.127782</v>
      </c>
      <c r="JP11" s="58"/>
      <c r="JQ11" s="58"/>
      <c r="JR11" s="58">
        <f t="shared" ref="JR11:JV11" si="39">JR10*0.220462</f>
        <v>1291.245934</v>
      </c>
      <c r="JS11" s="58">
        <f t="shared" si="39"/>
        <v>1342.393118</v>
      </c>
      <c r="JT11" s="58">
        <f t="shared" si="39"/>
        <v>1324.3152339999999</v>
      </c>
      <c r="JU11" s="58">
        <f t="shared" si="39"/>
        <v>1364.65978</v>
      </c>
      <c r="JV11" s="58">
        <f t="shared" si="39"/>
        <v>1358.707306</v>
      </c>
      <c r="JW11" s="58"/>
      <c r="JX11" s="58"/>
      <c r="JY11" s="58">
        <f t="shared" ref="JY11:KC11" si="40">JY10*0.220462</f>
        <v>1329.1653979999999</v>
      </c>
      <c r="JZ11" s="58">
        <f t="shared" si="40"/>
        <v>1329.1653979999999</v>
      </c>
      <c r="KA11" s="58">
        <f t="shared" si="40"/>
        <v>1308.6624319999999</v>
      </c>
      <c r="KB11" s="58">
        <f t="shared" si="40"/>
        <v>1321.4492279999999</v>
      </c>
      <c r="KC11" s="58">
        <f t="shared" si="40"/>
        <v>1351.2115979999999</v>
      </c>
      <c r="KD11" s="58"/>
      <c r="KE11" s="58"/>
      <c r="KF11" s="58">
        <f t="shared" ref="KF11:KJ11" si="41">KF10*0.220462</f>
        <v>1367.3053239999999</v>
      </c>
      <c r="KG11" s="58">
        <f t="shared" si="41"/>
        <v>1375.4624179999998</v>
      </c>
      <c r="KH11" s="58">
        <f t="shared" si="41"/>
        <v>1426.38914</v>
      </c>
      <c r="KI11" s="58">
        <f t="shared" si="41"/>
        <v>1379.651196</v>
      </c>
      <c r="KJ11" s="58">
        <f t="shared" si="41"/>
        <v>1368.8485579999999</v>
      </c>
      <c r="KK11" s="58"/>
      <c r="KL11" s="58"/>
      <c r="KM11" s="58">
        <f t="shared" ref="KM11:KQ11" si="42">KM10*0.220462</f>
        <v>1391.9970679999999</v>
      </c>
      <c r="KN11" s="58">
        <f t="shared" si="42"/>
        <v>1373.6987219999999</v>
      </c>
      <c r="KO11" s="58">
        <f t="shared" si="42"/>
        <v>1354.0776039999998</v>
      </c>
      <c r="KP11" s="58">
        <f t="shared" si="42"/>
        <v>1341.952194</v>
      </c>
      <c r="KQ11" s="58">
        <f t="shared" si="42"/>
        <v>1350.7706739999999</v>
      </c>
      <c r="KR11" s="58"/>
      <c r="KS11" s="58"/>
      <c r="KT11" s="58">
        <f t="shared" ref="KT11:KX11" si="43">KT10*0.220462</f>
        <v>1366.2030139999999</v>
      </c>
      <c r="KU11" s="58">
        <f t="shared" si="43"/>
        <v>1366.2030139999999</v>
      </c>
      <c r="KV11" s="58">
        <f t="shared" si="43"/>
        <v>1345.4795859999999</v>
      </c>
      <c r="KW11" s="58">
        <f t="shared" si="43"/>
        <v>1313.512596</v>
      </c>
      <c r="KX11" s="58">
        <f t="shared" si="43"/>
        <v>1295.875636</v>
      </c>
      <c r="KY11" s="58"/>
      <c r="KZ11" s="58"/>
      <c r="LA11" s="58">
        <f t="shared" ref="LA11:LE11" si="44">LA10*0.220462</f>
        <v>1279.7819099999999</v>
      </c>
      <c r="LB11" s="58">
        <f t="shared" si="44"/>
        <v>1289.0413140000001</v>
      </c>
      <c r="LC11" s="58">
        <f t="shared" si="44"/>
        <v>1303.8122679999999</v>
      </c>
      <c r="LD11" s="58">
        <f t="shared" si="44"/>
        <v>1303.8122679999999</v>
      </c>
      <c r="LE11" s="58">
        <f t="shared" si="44"/>
        <v>1300.0644139999999</v>
      </c>
      <c r="LF11" s="58"/>
      <c r="LG11" s="58"/>
      <c r="LH11" s="58">
        <f t="shared" ref="LH11" si="45">LH10*0.220462</f>
        <v>1300.0644139999999</v>
      </c>
      <c r="LI11" s="58">
        <f t="shared" ref="LI11:LL11" si="46">LI10*0.220462</f>
        <v>1304.4736539999999</v>
      </c>
      <c r="LJ11" s="58">
        <f t="shared" si="46"/>
        <v>1305.7964259999999</v>
      </c>
      <c r="LK11" s="58">
        <f t="shared" si="46"/>
        <v>1304.4736539999999</v>
      </c>
      <c r="LL11" s="58">
        <f t="shared" si="46"/>
        <v>1282.2069919999999</v>
      </c>
      <c r="LM11" s="58"/>
      <c r="LN11" s="58"/>
      <c r="LO11" s="58">
        <f t="shared" ref="LO11:LS11" si="47">LO10*0.220462</f>
        <v>1303.8122679999999</v>
      </c>
      <c r="LP11" s="58">
        <f t="shared" si="47"/>
        <v>1325.8584679999999</v>
      </c>
      <c r="LQ11" s="58">
        <f t="shared" si="47"/>
        <v>1343.4954279999999</v>
      </c>
      <c r="LR11" s="58">
        <f t="shared" si="47"/>
        <v>1343.4954279999999</v>
      </c>
      <c r="LS11" s="58">
        <f t="shared" si="47"/>
        <v>1301.1667239999999</v>
      </c>
      <c r="LT11" s="58"/>
      <c r="LU11" s="58"/>
      <c r="LV11" s="58">
        <f t="shared" ref="LV11:LZ11" si="48">LV10*0.220462</f>
        <v>1284.4116119999999</v>
      </c>
      <c r="LW11" s="58">
        <f t="shared" si="48"/>
        <v>1214.9660819999999</v>
      </c>
      <c r="LX11" s="58">
        <f t="shared" si="48"/>
        <v>1213.6433099999999</v>
      </c>
      <c r="LY11" s="58">
        <f t="shared" si="48"/>
        <v>1283.7502259999999</v>
      </c>
      <c r="LZ11" s="58">
        <f t="shared" si="48"/>
        <v>1258.8380199999999</v>
      </c>
      <c r="MA11" s="58"/>
      <c r="MB11" s="58"/>
      <c r="MC11" s="58">
        <f t="shared" ref="MC11:MG11" si="49">MC10*0.220462</f>
        <v>1274.049898</v>
      </c>
      <c r="MD11" s="58">
        <f t="shared" si="49"/>
        <v>1257.5152479999999</v>
      </c>
      <c r="ME11" s="58">
        <f t="shared" si="49"/>
        <v>1223.1231760000001</v>
      </c>
      <c r="MF11" s="58">
        <f t="shared" si="49"/>
        <v>1207.911298</v>
      </c>
      <c r="MG11" s="58">
        <f t="shared" si="49"/>
        <v>1181.455858</v>
      </c>
      <c r="MH11" s="58"/>
      <c r="MI11" s="58"/>
      <c r="MJ11" s="58">
        <f t="shared" ref="MJ11:MN11" si="50">MJ10*0.220462</f>
        <v>1173.7396879999999</v>
      </c>
      <c r="MK11" s="58">
        <f t="shared" si="50"/>
        <v>1146.6228619999999</v>
      </c>
      <c r="ML11" s="58">
        <f t="shared" si="50"/>
        <v>1178.8103140000001</v>
      </c>
      <c r="MM11" s="58">
        <f t="shared" si="50"/>
        <v>1204.82483</v>
      </c>
      <c r="MN11" s="58">
        <f t="shared" si="50"/>
        <v>1187.849256</v>
      </c>
      <c r="MO11" s="58"/>
      <c r="MP11" s="58"/>
      <c r="MQ11" s="58">
        <f t="shared" ref="MQ11:MU11" si="51">MQ10*0.220462</f>
        <v>1167.125828</v>
      </c>
      <c r="MR11" s="58">
        <f t="shared" si="51"/>
        <v>1188.29018</v>
      </c>
      <c r="MS11" s="58">
        <f t="shared" si="51"/>
        <v>1208.793146</v>
      </c>
      <c r="MT11" s="58">
        <f t="shared" si="51"/>
        <v>1222.2413279999998</v>
      </c>
      <c r="MU11" s="58">
        <f t="shared" si="51"/>
        <v>1222.2413279999998</v>
      </c>
      <c r="MV11" s="58"/>
      <c r="MW11" s="58"/>
      <c r="MX11" s="58">
        <f t="shared" ref="MX11:NB11" si="52">MX10*0.220462</f>
        <v>1250.460464</v>
      </c>
      <c r="MY11" s="58">
        <f t="shared" si="52"/>
        <v>1246.71261</v>
      </c>
      <c r="MZ11" s="58">
        <f t="shared" si="52"/>
        <v>1250.01954</v>
      </c>
      <c r="NA11" s="58">
        <f t="shared" si="52"/>
        <v>1231.28027</v>
      </c>
      <c r="NB11" s="58">
        <f t="shared" si="52"/>
        <v>1231.28027</v>
      </c>
      <c r="NC11" s="83"/>
    </row>
    <row r="12" spans="1:367" x14ac:dyDescent="0.25">
      <c r="A12" s="37" t="s">
        <v>36</v>
      </c>
      <c r="B12" s="57"/>
      <c r="C12" s="57"/>
      <c r="D12" s="57"/>
      <c r="E12" s="57">
        <f>IFERROR(E11/E2,0)</f>
        <v>18.52502184380505</v>
      </c>
      <c r="F12" s="57">
        <f>IFERROR(F11/F2,0)</f>
        <v>18.245698358208955</v>
      </c>
      <c r="G12" s="57">
        <f>IFERROR(G11/G2,0)</f>
        <v>18.022666998158378</v>
      </c>
      <c r="H12" s="57">
        <f>IFERROR(H11/H2,0)</f>
        <v>17.979936925340198</v>
      </c>
      <c r="I12" s="57">
        <f>IFERROR(I11/I2,0)</f>
        <v>17.23060746561886</v>
      </c>
      <c r="J12" s="57"/>
      <c r="K12" s="57"/>
      <c r="L12" s="57">
        <f>IFERROR(L11/L2,0)</f>
        <v>17.083230434782607</v>
      </c>
      <c r="M12" s="57">
        <f>IFERROR(M11/M2,0)</f>
        <v>16.805454330151996</v>
      </c>
      <c r="N12" s="57">
        <f>IFERROR(N11/N2,0)</f>
        <v>16.784370602925435</v>
      </c>
      <c r="O12" s="57">
        <f>IFERROR(O11/O2,0)</f>
        <v>16.907817688762851</v>
      </c>
      <c r="P12" s="57">
        <f>IFERROR(P11/P2,0)</f>
        <v>16.744709074410164</v>
      </c>
      <c r="Q12" s="57"/>
      <c r="R12" s="57"/>
      <c r="S12" s="57">
        <f>IFERROR(S11/S2,0)</f>
        <v>16.744709074410164</v>
      </c>
      <c r="T12" s="57">
        <f>IFERROR(T11/T2,0)</f>
        <v>16.445913059033987</v>
      </c>
      <c r="U12" s="57">
        <f>IFERROR(U11/U2,0)</f>
        <v>16.723347860199713</v>
      </c>
      <c r="V12" s="57">
        <f t="shared" ref="V12:W12" si="53">IFERROR(V11/V2,0)</f>
        <v>17.067138431372548</v>
      </c>
      <c r="W12" s="57">
        <f t="shared" si="53"/>
        <v>16.818135246345427</v>
      </c>
      <c r="X12" s="38"/>
      <c r="Y12" s="38"/>
      <c r="Z12" s="38">
        <f>IFERROR(Z11/Z2,0)</f>
        <v>16.676679921259844</v>
      </c>
      <c r="AA12" s="38">
        <f>IFERROR(AA11/AA2,0)</f>
        <v>17.314409622607762</v>
      </c>
      <c r="AB12" s="38">
        <f>IFERROR(AB11/AB2,0)</f>
        <v>17.586397133130262</v>
      </c>
      <c r="AC12" s="38">
        <f t="shared" ref="AC12:AD12" si="54">IFERROR(AC11/AC2,0)</f>
        <v>17.865024137931034</v>
      </c>
      <c r="AD12" s="38">
        <f t="shared" si="54"/>
        <v>17.872482630813952</v>
      </c>
      <c r="AE12" s="38"/>
      <c r="AF12" s="38"/>
      <c r="AG12" s="38">
        <f>IFERROR(AG11/AG2,0)</f>
        <v>17.593923939662819</v>
      </c>
      <c r="AH12" s="38">
        <f>IFERROR(AH11/AH2,0)</f>
        <v>17.004656874347372</v>
      </c>
      <c r="AI12" s="38">
        <f>IFERROR(AI11/AI2,0)</f>
        <v>16.774118645227507</v>
      </c>
      <c r="AJ12" s="38">
        <f t="shared" ref="AJ12:AK12" si="55">IFERROR(AJ11/AJ2,0)</f>
        <v>16.838141196464989</v>
      </c>
      <c r="AK12" s="38">
        <f t="shared" si="55"/>
        <v>16.59223613077182</v>
      </c>
      <c r="AL12" s="38"/>
      <c r="AM12" s="38"/>
      <c r="AN12" s="38">
        <f>IFERROR(AN11/AN2,0)</f>
        <v>16.61109818361955</v>
      </c>
      <c r="AO12" s="38">
        <f>IFERROR(AO11/AO2,0)</f>
        <v>16.788168669176624</v>
      </c>
      <c r="AP12" s="38">
        <f>IFERROR(AP11/AP2,0)</f>
        <v>16.386706979014154</v>
      </c>
      <c r="AQ12" s="38">
        <f t="shared" ref="AQ12:AR12" si="56">IFERROR(AQ11/AQ2,0)</f>
        <v>16.453518253189401</v>
      </c>
      <c r="AR12" s="38">
        <f t="shared" si="56"/>
        <v>16.022210702446724</v>
      </c>
      <c r="AS12" s="38"/>
      <c r="AT12" s="38"/>
      <c r="AU12" s="57">
        <v>16.61109818361955</v>
      </c>
      <c r="AV12" s="57">
        <v>16.788168669176624</v>
      </c>
      <c r="AW12" s="38">
        <f>IFERROR(AW11/AW2,0)</f>
        <v>16.128590239324261</v>
      </c>
      <c r="AX12" s="38">
        <f t="shared" ref="AX12:AY12" si="57">IFERROR(AX11/AX2,0)</f>
        <v>16.1768691068356</v>
      </c>
      <c r="AY12" s="38">
        <f t="shared" si="57"/>
        <v>16.663436814496901</v>
      </c>
      <c r="AZ12" s="38"/>
      <c r="BA12" s="38"/>
      <c r="BB12" s="38">
        <f>IFERROR(BB11/BB2,0)</f>
        <v>16.186587676272225</v>
      </c>
      <c r="BC12" s="38">
        <f>IFERROR(BC11/BC2,0)</f>
        <v>16.613061220743457</v>
      </c>
      <c r="BD12" s="38">
        <f>IFERROR(BD11/BD2,0)</f>
        <v>16.817462231503576</v>
      </c>
      <c r="BE12" s="38">
        <f t="shared" ref="BE12:BF12" si="58">IFERROR(BE11/BE2,0)</f>
        <v>16.994015307820298</v>
      </c>
      <c r="BF12" s="38">
        <f t="shared" si="58"/>
        <v>17.569883700714062</v>
      </c>
      <c r="BG12" s="38"/>
      <c r="BH12" s="38"/>
      <c r="BI12" s="38">
        <f>IFERROR(BI11/BI2,0)</f>
        <v>17.573960967184803</v>
      </c>
      <c r="BJ12" s="38">
        <f>IFERROR(BJ11/BJ2,0)</f>
        <v>18.027251578947364</v>
      </c>
      <c r="BK12" s="38">
        <f>IFERROR(BK11/BK2,0)</f>
        <v>17.669304978929297</v>
      </c>
      <c r="BL12" s="38">
        <f t="shared" ref="BL12:BM12" si="59">IFERROR(BL11/BL2,0)</f>
        <v>17.302666406952351</v>
      </c>
      <c r="BM12" s="38">
        <f t="shared" si="59"/>
        <v>16.966928431372548</v>
      </c>
      <c r="BN12" s="38"/>
      <c r="BO12" s="38"/>
      <c r="BP12" s="38">
        <f>IFERROR(BP11/BP2,0)</f>
        <v>17.465087514654162</v>
      </c>
      <c r="BQ12" s="38">
        <f>IFERROR(BQ11/BQ2,0)</f>
        <v>18.007226451421801</v>
      </c>
      <c r="BR12" s="38">
        <f>IFERROR(BR11/BR2,0)</f>
        <v>17.974633755522824</v>
      </c>
      <c r="BS12" s="38">
        <f t="shared" ref="BS12:BT12" si="60">IFERROR(BS11/BS2,0)</f>
        <v>17.876324170616115</v>
      </c>
      <c r="BT12" s="38">
        <f t="shared" si="60"/>
        <v>18.11916090725224</v>
      </c>
      <c r="BU12" s="38"/>
      <c r="BV12" s="38"/>
      <c r="BW12" s="38">
        <f>IFERROR(BW11/BW2,0)</f>
        <v>17.632479065040652</v>
      </c>
      <c r="BX12" s="38">
        <f>IFERROR(BX11/BX2,0)</f>
        <v>17.758812077789148</v>
      </c>
      <c r="BY12" s="38">
        <f>IFERROR(BY11/BY2,0)</f>
        <v>17.701801764705884</v>
      </c>
      <c r="BZ12" s="38">
        <f t="shared" ref="BZ12:CA12" si="61">IFERROR(BZ11/BZ2,0)</f>
        <v>18.645901137800255</v>
      </c>
      <c r="CA12" s="38">
        <f t="shared" si="61"/>
        <v>18.40428938478227</v>
      </c>
      <c r="CB12" s="38"/>
      <c r="CC12" s="38"/>
      <c r="CD12" s="38">
        <f>IFERROR(CD11/CD2,0)</f>
        <v>19.231573723305473</v>
      </c>
      <c r="CE12" s="38">
        <f>IFERROR(CE11/CE2,0)</f>
        <v>20.678965685145581</v>
      </c>
      <c r="CF12" s="38">
        <f>IFERROR(CF11/CF2,0)</f>
        <v>19.67420549604099</v>
      </c>
      <c r="CG12" s="38">
        <f t="shared" ref="CG12:CM12" si="62">IFERROR(CG11/CG2,0)</f>
        <v>19.565780080710248</v>
      </c>
      <c r="CH12" s="38">
        <f t="shared" si="62"/>
        <v>17.918299148211247</v>
      </c>
      <c r="CI12" s="38"/>
      <c r="CJ12" s="38"/>
      <c r="CK12" s="38">
        <f t="shared" si="62"/>
        <v>17.96809405971068</v>
      </c>
      <c r="CL12" s="38">
        <f t="shared" si="62"/>
        <v>17.336002057035998</v>
      </c>
      <c r="CM12" s="38">
        <f t="shared" si="62"/>
        <v>18.595551546063117</v>
      </c>
      <c r="CN12" s="38">
        <f t="shared" ref="CN12" si="63">IFERROR(CN11/CN2,0)</f>
        <v>17.719216867098364</v>
      </c>
      <c r="CO12" s="38">
        <v>17.987741350601294</v>
      </c>
      <c r="CP12" s="38"/>
      <c r="CQ12" s="38"/>
      <c r="CR12" s="38">
        <f t="shared" ref="CR12:CU12" si="64">IFERROR(CR11/CR2,0)</f>
        <v>18.733062300884956</v>
      </c>
      <c r="CS12" s="38">
        <f t="shared" si="64"/>
        <v>18.946941408989478</v>
      </c>
      <c r="CT12" s="38">
        <f t="shared" si="64"/>
        <v>18.447461526282456</v>
      </c>
      <c r="CU12" s="38">
        <f t="shared" si="64"/>
        <v>18.620667025316454</v>
      </c>
      <c r="CV12" s="38">
        <f t="shared" ref="CV12" si="65">IFERROR(CV11/CV2,0)</f>
        <v>18.509001906274818</v>
      </c>
      <c r="CW12" s="38"/>
      <c r="CX12" s="38"/>
      <c r="CY12" s="38">
        <f t="shared" ref="CY12:DC12" si="66">IFERROR(CY11/CY2,0)</f>
        <v>17.924731194690263</v>
      </c>
      <c r="CZ12" s="38">
        <f t="shared" si="66"/>
        <v>18.362022710852834</v>
      </c>
      <c r="DA12" s="38">
        <f t="shared" si="66"/>
        <v>17.96013649744668</v>
      </c>
      <c r="DB12" s="38">
        <f t="shared" si="66"/>
        <v>18.07762052584404</v>
      </c>
      <c r="DC12" s="38">
        <f t="shared" si="66"/>
        <v>18.599108072487642</v>
      </c>
      <c r="DD12" s="38"/>
      <c r="DE12" s="38"/>
      <c r="DF12" s="38">
        <f t="shared" ref="DF12:DJ12" si="67">IFERROR(DF11/DF2,0)</f>
        <v>18.501710275913496</v>
      </c>
      <c r="DG12" s="38">
        <f t="shared" si="67"/>
        <v>19.683624984690752</v>
      </c>
      <c r="DH12" s="38">
        <f t="shared" ref="DH12" si="68">IFERROR(DH11/DH2,0)</f>
        <v>21.101169993876304</v>
      </c>
      <c r="DI12" s="38">
        <f t="shared" si="67"/>
        <v>21.075358165137615</v>
      </c>
      <c r="DJ12" s="38">
        <f t="shared" si="67"/>
        <v>20.912376372712146</v>
      </c>
      <c r="DK12" s="38"/>
      <c r="DL12" s="38"/>
      <c r="DM12" s="38">
        <f t="shared" ref="DM12:DQ12" si="69">IFERROR(DM11/DM2,0)</f>
        <v>21.898441766945922</v>
      </c>
      <c r="DN12" s="38">
        <f t="shared" si="69"/>
        <v>22.056157633243</v>
      </c>
      <c r="DO12" s="38">
        <f t="shared" si="69"/>
        <v>22.59678147762747</v>
      </c>
      <c r="DP12" s="38">
        <f t="shared" si="69"/>
        <v>21.378820543717854</v>
      </c>
      <c r="DQ12" s="38">
        <f t="shared" si="69"/>
        <v>22.607592150988616</v>
      </c>
      <c r="DR12" s="38"/>
      <c r="DS12" s="38"/>
      <c r="DT12" s="38">
        <f t="shared" ref="DT12:DX12" si="70">IFERROR(DT11/DT2,0)</f>
        <v>22.290940230905857</v>
      </c>
      <c r="DU12" s="38">
        <f t="shared" si="70"/>
        <v>21.748537891986064</v>
      </c>
      <c r="DV12" s="38">
        <f t="shared" si="70"/>
        <v>21.336476044083529</v>
      </c>
      <c r="DW12" s="38">
        <f t="shared" si="70"/>
        <v>21.450444264943453</v>
      </c>
      <c r="DX12" s="38">
        <f t="shared" si="70"/>
        <v>21.432729291154068</v>
      </c>
      <c r="DY12" s="38"/>
      <c r="DZ12" s="38"/>
      <c r="EA12" s="38">
        <f t="shared" ref="EA12:EE12" si="71">IFERROR(EA11/EA2,0)</f>
        <v>21.329827576112415</v>
      </c>
      <c r="EB12" s="38">
        <f t="shared" si="71"/>
        <v>21.56700469730124</v>
      </c>
      <c r="EC12" s="38">
        <f t="shared" si="71"/>
        <v>21.836296768609351</v>
      </c>
      <c r="ED12" s="38">
        <f t="shared" si="71"/>
        <v>22.371714362416107</v>
      </c>
      <c r="EE12" s="38">
        <f t="shared" si="71"/>
        <v>21.949942395575608</v>
      </c>
      <c r="EF12" s="38"/>
      <c r="EG12" s="38"/>
      <c r="EH12" s="38">
        <f t="shared" ref="EH12:EL12" si="72">IFERROR(EH11/EH2,0)</f>
        <v>21.890676849985603</v>
      </c>
      <c r="EI12" s="38">
        <f t="shared" si="72"/>
        <v>22.033365652743417</v>
      </c>
      <c r="EJ12" s="38">
        <f t="shared" si="72"/>
        <v>21.983362046204622</v>
      </c>
      <c r="EK12" s="38">
        <f t="shared" si="72"/>
        <v>22.266289540777148</v>
      </c>
      <c r="EL12" s="38">
        <f t="shared" si="72"/>
        <v>21.730969867549671</v>
      </c>
      <c r="EM12" s="38"/>
      <c r="EN12" s="38"/>
      <c r="EO12" s="38">
        <f t="shared" ref="EO12:ES12" si="73">IFERROR(EO11/EO2,0)</f>
        <v>20.973838825591585</v>
      </c>
      <c r="EP12" s="38">
        <f t="shared" si="73"/>
        <v>21.416767341587761</v>
      </c>
      <c r="EQ12" s="38">
        <f t="shared" si="73"/>
        <v>21.025038710614201</v>
      </c>
      <c r="ER12" s="38">
        <f t="shared" si="73"/>
        <v>21.284777774566471</v>
      </c>
      <c r="ES12" s="38">
        <f t="shared" si="73"/>
        <v>21.106220867287544</v>
      </c>
      <c r="ET12" s="38"/>
      <c r="EU12" s="38"/>
      <c r="EV12" s="38">
        <f t="shared" ref="EV12:EZ12" si="74">IFERROR(EV11/EV2,0)</f>
        <v>21.106220867287544</v>
      </c>
      <c r="EW12" s="38">
        <f t="shared" si="74"/>
        <v>21.148660754448397</v>
      </c>
      <c r="EX12" s="38">
        <f t="shared" si="74"/>
        <v>21.758681194783339</v>
      </c>
      <c r="EY12" s="38">
        <v>21.882345197027064</v>
      </c>
      <c r="EZ12" s="38">
        <f t="shared" si="74"/>
        <v>21.877533843371815</v>
      </c>
      <c r="FA12" s="38"/>
      <c r="FB12" s="38"/>
      <c r="FC12" s="38">
        <f t="shared" ref="FC12:FG12" si="75">IFERROR(FC11/FC2,0)</f>
        <v>21.842668149391525</v>
      </c>
      <c r="FD12" s="38">
        <f t="shared" si="75"/>
        <v>22.003462974245359</v>
      </c>
      <c r="FE12" s="38">
        <f t="shared" si="75"/>
        <v>21.853883384104126</v>
      </c>
      <c r="FF12" s="38">
        <f t="shared" si="75"/>
        <v>21.419956591285164</v>
      </c>
      <c r="FG12" s="38">
        <f t="shared" si="75"/>
        <v>20.314410180217362</v>
      </c>
      <c r="FH12" s="38"/>
      <c r="FI12" s="38"/>
      <c r="FJ12" s="38">
        <f t="shared" ref="FJ12:FN12" si="76">IFERROR(FJ11/FJ2,0)</f>
        <v>19.958377051880319</v>
      </c>
      <c r="FK12" s="38">
        <f t="shared" si="76"/>
        <v>19.537360913636981</v>
      </c>
      <c r="FL12" s="38">
        <f t="shared" si="76"/>
        <v>18.395048178518618</v>
      </c>
      <c r="FM12" s="38">
        <f t="shared" si="76"/>
        <v>17.065592966611934</v>
      </c>
      <c r="FN12" s="38">
        <f t="shared" si="76"/>
        <v>17.430623643041759</v>
      </c>
      <c r="FO12" s="38"/>
      <c r="FP12" s="38"/>
      <c r="FQ12" s="38">
        <f t="shared" ref="FQ12:FU12" si="77">IFERROR(FQ11/FQ2,0)</f>
        <v>17.757640133511345</v>
      </c>
      <c r="FR12" s="38">
        <f t="shared" si="77"/>
        <v>17.879200026734395</v>
      </c>
      <c r="FS12" s="38">
        <f t="shared" si="77"/>
        <v>18.216922542891343</v>
      </c>
      <c r="FT12" s="38">
        <f t="shared" si="77"/>
        <v>18.294027792482794</v>
      </c>
      <c r="FU12" s="38">
        <f t="shared" si="77"/>
        <v>17.279845129955369</v>
      </c>
      <c r="FV12" s="38"/>
      <c r="FW12" s="38"/>
      <c r="FX12" s="38">
        <f t="shared" ref="FX12:GB12" si="78">IFERROR(FX11/FX2,0)</f>
        <v>18.361993036957681</v>
      </c>
      <c r="FY12" s="38">
        <f t="shared" si="78"/>
        <v>18.917385366506149</v>
      </c>
      <c r="FZ12" s="38">
        <f t="shared" si="78"/>
        <v>19.215227287319419</v>
      </c>
      <c r="GA12" s="38">
        <f t="shared" si="78"/>
        <v>19.179840128410913</v>
      </c>
      <c r="GB12" s="38">
        <f t="shared" si="78"/>
        <v>19.339990599973742</v>
      </c>
      <c r="GC12" s="38"/>
      <c r="GD12" s="38"/>
      <c r="GE12" s="38">
        <f t="shared" ref="GE12:GI12" si="79">IFERROR(GE11/GE2,0)</f>
        <v>19.339990599973742</v>
      </c>
      <c r="GF12" s="38">
        <f t="shared" si="79"/>
        <v>18.881107554005098</v>
      </c>
      <c r="GG12" s="38">
        <f t="shared" si="79"/>
        <v>19.44316916791502</v>
      </c>
      <c r="GH12" s="38">
        <f t="shared" si="79"/>
        <v>19.110474230976791</v>
      </c>
      <c r="GI12" s="38">
        <f t="shared" si="79"/>
        <v>18.211824513567173</v>
      </c>
      <c r="GJ12" s="38"/>
      <c r="GK12" s="38"/>
      <c r="GL12" s="38">
        <f t="shared" ref="GL12:GP12" si="80">IFERROR(GL11/GL2,0)</f>
        <v>19.063099228312932</v>
      </c>
      <c r="GM12" s="38">
        <f t="shared" si="80"/>
        <v>19.204318289972548</v>
      </c>
      <c r="GN12" s="38">
        <f t="shared" si="80"/>
        <v>19.648719983948634</v>
      </c>
      <c r="GO12" s="38">
        <f t="shared" si="80"/>
        <v>20.197764012522118</v>
      </c>
      <c r="GP12" s="38">
        <f t="shared" si="80"/>
        <v>20.464409865470849</v>
      </c>
      <c r="GQ12" s="38"/>
      <c r="GR12" s="38"/>
      <c r="GS12" s="38">
        <f t="shared" ref="GS12:GW12" si="81">IFERROR(GS11/GS2,0)</f>
        <v>21.946603351792476</v>
      </c>
      <c r="GT12" s="38">
        <f t="shared" si="81"/>
        <v>21.305498543619322</v>
      </c>
      <c r="GU12" s="38">
        <f t="shared" si="81"/>
        <v>19.979845659698185</v>
      </c>
      <c r="GV12" s="38">
        <f t="shared" si="81"/>
        <v>19.420016262366172</v>
      </c>
      <c r="GW12" s="38">
        <f t="shared" si="81"/>
        <v>19.535134844804322</v>
      </c>
      <c r="GX12" s="38"/>
      <c r="GY12" s="38"/>
      <c r="GZ12" s="38">
        <f t="shared" ref="GZ12:HD12" si="82">IFERROR(GZ11/GZ2,0)</f>
        <v>19.658108268456374</v>
      </c>
      <c r="HA12" s="38">
        <f t="shared" si="82"/>
        <v>19.613066756176153</v>
      </c>
      <c r="HB12" s="38">
        <f t="shared" si="82"/>
        <v>19.630380117741506</v>
      </c>
      <c r="HC12" s="38">
        <f t="shared" si="82"/>
        <v>19.402395345167651</v>
      </c>
      <c r="HD12" s="38">
        <f t="shared" si="82"/>
        <v>19.080616489151875</v>
      </c>
      <c r="HE12" s="38"/>
      <c r="HF12" s="38"/>
      <c r="HG12" s="38">
        <f t="shared" ref="HG12:HK12" si="83">IFERROR(HG11/HG2,0)</f>
        <v>18.732747455621304</v>
      </c>
      <c r="HH12" s="38">
        <f t="shared" si="83"/>
        <v>19.263403866869215</v>
      </c>
      <c r="HI12" s="38">
        <f t="shared" si="83"/>
        <v>19.662403722648481</v>
      </c>
      <c r="HJ12" s="38">
        <f t="shared" si="83"/>
        <v>19.318643764903914</v>
      </c>
      <c r="HK12" s="38">
        <f t="shared" si="83"/>
        <v>19.772977963224889</v>
      </c>
      <c r="HL12" s="38"/>
      <c r="HM12" s="38"/>
      <c r="HN12" s="38">
        <f t="shared" ref="HN12:HR12" si="84">IFERROR(HN11/HN2,0)</f>
        <v>20.986040903823866</v>
      </c>
      <c r="HO12" s="38">
        <f t="shared" si="84"/>
        <v>20.41684754353674</v>
      </c>
      <c r="HP12" s="38">
        <f t="shared" si="84"/>
        <v>19.605194372900336</v>
      </c>
      <c r="HQ12" s="38">
        <f t="shared" si="84"/>
        <v>19.634751956247371</v>
      </c>
      <c r="HR12" s="38">
        <f t="shared" si="84"/>
        <v>19.835021419464514</v>
      </c>
      <c r="HS12" s="38"/>
      <c r="HT12" s="38"/>
      <c r="HU12" s="38">
        <f t="shared" ref="HU12:HY12" si="85">IFERROR(HU11/HU2,0)</f>
        <v>20.073428254927347</v>
      </c>
      <c r="HV12" s="38">
        <f t="shared" si="85"/>
        <v>19.973480341880343</v>
      </c>
      <c r="HW12" s="38">
        <f t="shared" si="85"/>
        <v>20.010569632126629</v>
      </c>
      <c r="HX12" s="38">
        <f t="shared" si="85"/>
        <v>20.105338148984199</v>
      </c>
      <c r="HY12" s="38">
        <f t="shared" si="85"/>
        <v>19.445167812212333</v>
      </c>
      <c r="HZ12" s="38"/>
      <c r="IA12" s="38"/>
      <c r="IB12" s="38">
        <f t="shared" ref="IB12:IF12" si="86">IFERROR(IB11/IB2,0)</f>
        <v>18.999815999999999</v>
      </c>
      <c r="IC12" s="38">
        <f t="shared" si="86"/>
        <v>18.955698212526389</v>
      </c>
      <c r="ID12" s="38">
        <f t="shared" si="86"/>
        <v>18.884973259515569</v>
      </c>
      <c r="IE12" s="38">
        <f t="shared" si="86"/>
        <v>19.024812804277474</v>
      </c>
      <c r="IF12" s="38">
        <f t="shared" si="86"/>
        <v>18.59825922971114</v>
      </c>
      <c r="IG12" s="38"/>
      <c r="IH12" s="38"/>
      <c r="II12" s="38">
        <f t="shared" ref="II12:IM12" si="87">IFERROR(II11/II2,0)</f>
        <v>18.398794628270799</v>
      </c>
      <c r="IJ12" s="38">
        <f t="shared" si="87"/>
        <v>18.269753343571129</v>
      </c>
      <c r="IK12" s="38">
        <f t="shared" si="87"/>
        <v>17.956612962704284</v>
      </c>
      <c r="IL12" s="38">
        <f t="shared" si="87"/>
        <v>17.813860906476791</v>
      </c>
      <c r="IM12" s="38">
        <f t="shared" si="87"/>
        <v>17.913865858697147</v>
      </c>
      <c r="IN12" s="38"/>
      <c r="IO12" s="38"/>
      <c r="IP12" s="38">
        <f t="shared" ref="IP12:IT12" si="88">IFERROR(IP11/IP2,0)</f>
        <v>18.143755056493234</v>
      </c>
      <c r="IQ12" s="38">
        <f t="shared" si="88"/>
        <v>18.143755056493234</v>
      </c>
      <c r="IR12" s="38">
        <f t="shared" si="88"/>
        <v>17.445650000000001</v>
      </c>
      <c r="IS12" s="38">
        <f t="shared" si="88"/>
        <v>17.285208173547932</v>
      </c>
      <c r="IT12" s="38">
        <f t="shared" si="88"/>
        <v>16.852100767964892</v>
      </c>
      <c r="IU12" s="38"/>
      <c r="IV12" s="38"/>
      <c r="IW12" s="38">
        <f t="shared" ref="IW12:JA12" si="89">IFERROR(IW11/IW2,0)</f>
        <v>16.734838253298868</v>
      </c>
      <c r="IX12" s="38">
        <f t="shared" si="89"/>
        <v>16.977970326086957</v>
      </c>
      <c r="IY12" s="38">
        <f t="shared" si="89"/>
        <v>17.035699999999999</v>
      </c>
      <c r="IZ12" s="38">
        <f t="shared" si="89"/>
        <v>16.557229364345183</v>
      </c>
      <c r="JA12" s="38">
        <f t="shared" si="89"/>
        <v>16.788157440476187</v>
      </c>
      <c r="JB12" s="38"/>
      <c r="JC12" s="38"/>
      <c r="JD12" s="38">
        <f t="shared" ref="JD12:JH12" si="90">IFERROR(JD11/JD2,0)</f>
        <v>16.376580654761902</v>
      </c>
      <c r="JE12" s="38">
        <f t="shared" si="90"/>
        <v>16.401234319526626</v>
      </c>
      <c r="JF12" s="38">
        <f t="shared" si="90"/>
        <v>16.316907966924791</v>
      </c>
      <c r="JG12" s="38">
        <f t="shared" si="90"/>
        <v>16.29563779935275</v>
      </c>
      <c r="JH12" s="38">
        <f t="shared" si="90"/>
        <v>16.365965091561019</v>
      </c>
      <c r="JI12" s="38"/>
      <c r="JJ12" s="38"/>
      <c r="JK12" s="38">
        <f t="shared" ref="JK12:JO12" si="91">IFERROR(JK11/JK2,0)</f>
        <v>16.161114799446747</v>
      </c>
      <c r="JL12" s="38">
        <f t="shared" si="91"/>
        <v>16.103287065368566</v>
      </c>
      <c r="JM12" s="38">
        <f t="shared" si="91"/>
        <v>16.312324702266615</v>
      </c>
      <c r="JN12" s="38">
        <f t="shared" si="91"/>
        <v>16.550837670795556</v>
      </c>
      <c r="JO12" s="38">
        <f t="shared" si="91"/>
        <v>16.298281811301717</v>
      </c>
      <c r="JP12" s="38"/>
      <c r="JQ12" s="38"/>
      <c r="JR12" s="38">
        <f t="shared" ref="JR12:JV12" si="92">IFERROR(JR11/JR2,0)</f>
        <v>15.89030191976372</v>
      </c>
      <c r="JS12" s="38">
        <f t="shared" si="92"/>
        <v>16.259606564922478</v>
      </c>
      <c r="JT12" s="38">
        <f t="shared" si="92"/>
        <v>16.333438998519981</v>
      </c>
      <c r="JU12" s="38">
        <f t="shared" si="92"/>
        <v>16.65234630872483</v>
      </c>
      <c r="JV12" s="38">
        <f t="shared" si="92"/>
        <v>16.491167690253672</v>
      </c>
      <c r="JW12" s="38"/>
      <c r="JX12" s="38"/>
      <c r="JY12" s="38">
        <f t="shared" ref="JY12:KC12" si="93">IFERROR(JY11/JY2,0)</f>
        <v>15.933414025413567</v>
      </c>
      <c r="JZ12" s="38">
        <f t="shared" si="93"/>
        <v>15.933414025413567</v>
      </c>
      <c r="KA12" s="38">
        <f t="shared" si="93"/>
        <v>15.732897715797064</v>
      </c>
      <c r="KB12" s="38">
        <f t="shared" si="93"/>
        <v>15.731538428571428</v>
      </c>
      <c r="KC12" s="38">
        <f t="shared" si="93"/>
        <v>15.922832877680884</v>
      </c>
      <c r="KD12" s="38"/>
      <c r="KE12" s="38"/>
      <c r="KF12" s="38">
        <f t="shared" ref="KF12:KJ12" si="94">IFERROR(KF11/KF2,0)</f>
        <v>16.213747468279379</v>
      </c>
      <c r="KG12" s="38">
        <f t="shared" si="94"/>
        <v>16.310475726313292</v>
      </c>
      <c r="KH12" s="38">
        <f t="shared" si="94"/>
        <v>16.620707760428807</v>
      </c>
      <c r="KI12" s="38">
        <f t="shared" si="94"/>
        <v>16.306006334948588</v>
      </c>
      <c r="KJ12" s="38">
        <f t="shared" si="94"/>
        <v>16.004309107915351</v>
      </c>
      <c r="KK12" s="38"/>
      <c r="KL12" s="38"/>
      <c r="KM12" s="38">
        <f t="shared" ref="KM12:KQ12" si="95">IFERROR(KM11/KM2,0)</f>
        <v>16.187894731945576</v>
      </c>
      <c r="KN12" s="38">
        <f t="shared" si="95"/>
        <v>15.899290763888887</v>
      </c>
      <c r="KO12" s="38">
        <f t="shared" si="95"/>
        <v>16.009430172617638</v>
      </c>
      <c r="KP12" s="38">
        <f t="shared" si="95"/>
        <v>15.914992813092979</v>
      </c>
      <c r="KQ12" s="38">
        <f t="shared" si="95"/>
        <v>16.019576304554079</v>
      </c>
      <c r="KR12" s="38"/>
      <c r="KS12" s="38"/>
      <c r="KT12" s="38">
        <f t="shared" ref="KT12:KX12" si="96">IFERROR(KT11/KT2,0)</f>
        <v>16.126097898961284</v>
      </c>
      <c r="KU12" s="38">
        <f t="shared" si="96"/>
        <v>16.126097898961284</v>
      </c>
      <c r="KV12" s="38">
        <f t="shared" si="96"/>
        <v>16.410288888888889</v>
      </c>
      <c r="KW12" s="38">
        <f t="shared" si="96"/>
        <v>16.308822895455673</v>
      </c>
      <c r="KX12" s="38">
        <f t="shared" si="96"/>
        <v>15.662021223108534</v>
      </c>
      <c r="KY12" s="38"/>
      <c r="KZ12" s="38"/>
      <c r="LA12" s="38">
        <f t="shared" ref="LA12:LE12" si="97">IFERROR(LA11/LA2,0)</f>
        <v>15.339588996763752</v>
      </c>
      <c r="LB12" s="38">
        <f t="shared" si="97"/>
        <v>15.204544869072896</v>
      </c>
      <c r="LC12" s="38">
        <f t="shared" si="97"/>
        <v>15.777011955469504</v>
      </c>
      <c r="LD12" s="38">
        <f t="shared" si="97"/>
        <v>15.733223941112584</v>
      </c>
      <c r="LE12" s="38">
        <f t="shared" si="97"/>
        <v>15.821643105756358</v>
      </c>
      <c r="LF12" s="38"/>
      <c r="LG12" s="38"/>
      <c r="LH12" s="38">
        <f t="shared" ref="LH12" si="98">IFERROR(LH11/LH2,0)</f>
        <v>15.844782620353444</v>
      </c>
      <c r="LI12" s="38">
        <f t="shared" ref="LI12:LL12" si="99">IFERROR(LI11/LI2,0)</f>
        <v>15.825229333980344</v>
      </c>
      <c r="LJ12" s="38">
        <f t="shared" si="99"/>
        <v>16.265525984055802</v>
      </c>
      <c r="LK12" s="38">
        <f t="shared" si="99"/>
        <v>16.057036607582472</v>
      </c>
      <c r="LL12" s="38">
        <f t="shared" si="99"/>
        <v>16.253099150716185</v>
      </c>
      <c r="LM12" s="38"/>
      <c r="LN12" s="38"/>
      <c r="LO12" s="38">
        <f t="shared" ref="LO12:LS12" si="100">IFERROR(LO11/LO2,0)</f>
        <v>16.358999598494353</v>
      </c>
      <c r="LP12" s="38">
        <f t="shared" si="100"/>
        <v>16.1081091969384</v>
      </c>
      <c r="LQ12" s="38">
        <f t="shared" si="100"/>
        <v>16.334290917933131</v>
      </c>
      <c r="LR12" s="38">
        <f t="shared" si="100"/>
        <v>16.334290917933131</v>
      </c>
      <c r="LS12" s="38">
        <f t="shared" si="100"/>
        <v>17.892831738173818</v>
      </c>
      <c r="LT12" s="38"/>
      <c r="LU12" s="38"/>
      <c r="LV12" s="38">
        <f t="shared" ref="LV12:LZ12" si="101">IFERROR(LV11/LV2,0)</f>
        <v>17.489264869281044</v>
      </c>
      <c r="LW12" s="38">
        <f t="shared" si="101"/>
        <v>16.543655800653593</v>
      </c>
      <c r="LX12" s="38">
        <f t="shared" si="101"/>
        <v>16.525644199346406</v>
      </c>
      <c r="LY12" s="38">
        <f t="shared" si="101"/>
        <v>18.426155102626666</v>
      </c>
      <c r="LZ12" s="38">
        <f t="shared" si="101"/>
        <v>18.014281911848883</v>
      </c>
      <c r="MA12" s="38"/>
      <c r="MB12" s="38"/>
      <c r="MC12" s="38">
        <f t="shared" ref="MC12:MG12" si="102">IFERROR(MC11/MC2,0)</f>
        <v>17.43363297755884</v>
      </c>
      <c r="MD12" s="38">
        <f t="shared" si="102"/>
        <v>16.669078048780488</v>
      </c>
      <c r="ME12" s="38">
        <f t="shared" si="102"/>
        <v>16.13193321023477</v>
      </c>
      <c r="MF12" s="38">
        <f t="shared" si="102"/>
        <v>16.231003735554957</v>
      </c>
      <c r="MG12" s="38">
        <f t="shared" si="102"/>
        <v>15.721302168995342</v>
      </c>
      <c r="MH12" s="38"/>
      <c r="MI12" s="38"/>
      <c r="MJ12" s="38">
        <f t="shared" ref="MJ12:MN12" si="103">IFERROR(MJ11/MJ2,0)</f>
        <v>15.778191799973113</v>
      </c>
      <c r="MK12" s="38">
        <f t="shared" si="103"/>
        <v>15.557976417910446</v>
      </c>
      <c r="ML12" s="38">
        <f t="shared" si="103"/>
        <v>15.955743286410398</v>
      </c>
      <c r="MM12" s="38">
        <f t="shared" si="103"/>
        <v>16.060048387096774</v>
      </c>
      <c r="MN12" s="38">
        <f t="shared" si="103"/>
        <v>16.156817954298152</v>
      </c>
      <c r="MO12" s="38"/>
      <c r="MP12" s="38"/>
      <c r="MQ12" s="38">
        <f t="shared" ref="MQ12:MU12" si="104">IFERROR(MQ11/MQ2,0)</f>
        <v>16.318873434004473</v>
      </c>
      <c r="MR12" s="38">
        <f t="shared" si="104"/>
        <v>16.062316572046498</v>
      </c>
      <c r="MS12" s="38">
        <f t="shared" si="104"/>
        <v>16.055161986983663</v>
      </c>
      <c r="MT12" s="38">
        <f t="shared" si="104"/>
        <v>15.904246297983082</v>
      </c>
      <c r="MU12" s="38">
        <f t="shared" si="104"/>
        <v>15.904246297983082</v>
      </c>
      <c r="MV12" s="38"/>
      <c r="MW12" s="38"/>
      <c r="MX12" s="38">
        <f t="shared" ref="MX12:NB12" si="105">IFERROR(MX11/MX2,0)</f>
        <v>15.909166208651401</v>
      </c>
      <c r="MY12" s="38">
        <f t="shared" si="105"/>
        <v>15.793167088928302</v>
      </c>
      <c r="MZ12" s="38">
        <f t="shared" si="105"/>
        <v>15.777098826202195</v>
      </c>
      <c r="NA12" s="38">
        <f t="shared" si="105"/>
        <v>15.540581471664773</v>
      </c>
      <c r="NB12" s="38">
        <f t="shared" si="105"/>
        <v>15.540581471664773</v>
      </c>
    </row>
    <row r="13" spans="1:367" x14ac:dyDescent="0.25">
      <c r="A13" s="20" t="s">
        <v>80</v>
      </c>
      <c r="B13" s="97"/>
      <c r="C13" s="97"/>
      <c r="D13" s="97"/>
      <c r="E13" s="97">
        <v>490</v>
      </c>
      <c r="F13" s="97">
        <v>490</v>
      </c>
      <c r="G13" s="97">
        <v>460</v>
      </c>
      <c r="H13" s="97">
        <v>510</v>
      </c>
      <c r="I13" s="97">
        <v>530</v>
      </c>
      <c r="J13" s="97"/>
      <c r="K13" s="97"/>
      <c r="L13" s="97">
        <v>540</v>
      </c>
      <c r="M13" s="97">
        <v>540</v>
      </c>
      <c r="N13" s="97">
        <v>500</v>
      </c>
      <c r="O13" s="97">
        <v>500</v>
      </c>
      <c r="P13" s="97">
        <v>500</v>
      </c>
      <c r="Q13" s="97"/>
      <c r="R13" s="97"/>
      <c r="S13" s="97">
        <v>390</v>
      </c>
      <c r="T13" s="97">
        <v>290</v>
      </c>
      <c r="U13" s="21">
        <v>290</v>
      </c>
      <c r="V13" s="21">
        <v>190</v>
      </c>
      <c r="W13" s="21">
        <v>190</v>
      </c>
      <c r="X13" s="21"/>
      <c r="Y13" s="21"/>
      <c r="Z13" s="21">
        <v>190</v>
      </c>
      <c r="AA13" s="21">
        <v>90</v>
      </c>
      <c r="AB13" s="21">
        <v>90</v>
      </c>
      <c r="AC13" s="21">
        <v>70</v>
      </c>
      <c r="AD13" s="21">
        <v>250</v>
      </c>
      <c r="AE13" s="21"/>
      <c r="AF13" s="21"/>
      <c r="AG13" s="21">
        <v>230</v>
      </c>
      <c r="AH13" s="21">
        <v>260</v>
      </c>
      <c r="AI13" s="21">
        <v>260</v>
      </c>
      <c r="AJ13" s="21">
        <v>290</v>
      </c>
      <c r="AK13" s="21">
        <v>240</v>
      </c>
      <c r="AL13" s="21"/>
      <c r="AM13" s="21"/>
      <c r="AN13" s="21">
        <v>170</v>
      </c>
      <c r="AO13" s="21">
        <v>120</v>
      </c>
      <c r="AP13" s="21">
        <v>120</v>
      </c>
      <c r="AQ13" s="21">
        <v>70</v>
      </c>
      <c r="AR13" s="21">
        <v>90</v>
      </c>
      <c r="AS13" s="21"/>
      <c r="AT13" s="21"/>
      <c r="AU13" s="97">
        <v>170</v>
      </c>
      <c r="AV13" s="97">
        <v>120</v>
      </c>
      <c r="AW13" s="21">
        <v>90</v>
      </c>
      <c r="AX13" s="21">
        <v>90</v>
      </c>
      <c r="AY13" s="21">
        <v>70</v>
      </c>
      <c r="AZ13" s="21"/>
      <c r="BA13" s="21"/>
      <c r="BB13" s="21">
        <v>50</v>
      </c>
      <c r="BC13" s="21">
        <v>-10</v>
      </c>
      <c r="BD13" s="21">
        <v>10</v>
      </c>
      <c r="BE13" s="21">
        <v>10</v>
      </c>
      <c r="BF13" s="21">
        <v>-10</v>
      </c>
      <c r="BG13" s="21"/>
      <c r="BH13" s="21"/>
      <c r="BI13" s="21">
        <v>-10</v>
      </c>
      <c r="BJ13" s="21">
        <v>-10</v>
      </c>
      <c r="BK13" s="21">
        <v>40</v>
      </c>
      <c r="BL13" s="21">
        <v>10</v>
      </c>
      <c r="BM13" s="21">
        <v>40</v>
      </c>
      <c r="BN13" s="21"/>
      <c r="BO13" s="21"/>
      <c r="BP13" s="21">
        <v>90</v>
      </c>
      <c r="BQ13" s="21">
        <v>90</v>
      </c>
      <c r="BR13" s="21">
        <v>140</v>
      </c>
      <c r="BS13" s="21">
        <v>90</v>
      </c>
      <c r="BT13" s="21">
        <v>40</v>
      </c>
      <c r="BU13" s="21"/>
      <c r="BV13" s="21"/>
      <c r="BW13" s="21">
        <v>90</v>
      </c>
      <c r="BX13" s="21">
        <v>90</v>
      </c>
      <c r="BY13" s="21">
        <v>140</v>
      </c>
      <c r="BZ13" s="21">
        <v>140</v>
      </c>
      <c r="CA13" s="21">
        <v>140</v>
      </c>
      <c r="CB13" s="21"/>
      <c r="CC13" s="21"/>
      <c r="CD13" s="21">
        <v>120</v>
      </c>
      <c r="CE13" s="21">
        <v>-90</v>
      </c>
      <c r="CF13" s="21">
        <v>-90</v>
      </c>
      <c r="CG13" s="21">
        <v>-40</v>
      </c>
      <c r="CH13" s="21">
        <v>80</v>
      </c>
      <c r="CI13" s="21"/>
      <c r="CJ13" s="21"/>
      <c r="CK13" s="21">
        <v>90</v>
      </c>
      <c r="CL13" s="21">
        <v>90</v>
      </c>
      <c r="CM13" s="21">
        <v>90</v>
      </c>
      <c r="CN13" s="21">
        <v>70</v>
      </c>
      <c r="CO13" s="21">
        <v>70</v>
      </c>
      <c r="CP13" s="21"/>
      <c r="CQ13" s="21"/>
      <c r="CR13" s="21">
        <v>100</v>
      </c>
      <c r="CS13" s="21">
        <v>100</v>
      </c>
      <c r="CT13" s="21">
        <v>170</v>
      </c>
      <c r="CU13" s="21">
        <v>60</v>
      </c>
      <c r="CV13" s="21">
        <v>60</v>
      </c>
      <c r="CW13" s="21"/>
      <c r="CX13" s="21"/>
      <c r="CY13" s="21">
        <v>60</v>
      </c>
      <c r="CZ13" s="21">
        <v>0</v>
      </c>
      <c r="DA13" s="21">
        <v>0</v>
      </c>
      <c r="DB13" s="21">
        <v>10</v>
      </c>
      <c r="DC13" s="21">
        <v>-80</v>
      </c>
      <c r="DD13" s="21"/>
      <c r="DE13" s="21"/>
      <c r="DF13" s="21">
        <v>-110</v>
      </c>
      <c r="DG13" s="21">
        <v>-260</v>
      </c>
      <c r="DH13" s="21">
        <v>-260</v>
      </c>
      <c r="DI13" s="21">
        <v>-400</v>
      </c>
      <c r="DJ13" s="21">
        <v>-460</v>
      </c>
      <c r="DK13" s="21"/>
      <c r="DL13" s="21"/>
      <c r="DM13" s="21">
        <v>-610</v>
      </c>
      <c r="DN13" s="21">
        <v>-610</v>
      </c>
      <c r="DO13" s="21">
        <v>-340</v>
      </c>
      <c r="DP13" s="21">
        <v>-340</v>
      </c>
      <c r="DQ13" s="21">
        <v>-560</v>
      </c>
      <c r="DR13" s="21"/>
      <c r="DS13" s="21"/>
      <c r="DT13" s="21">
        <v>-560</v>
      </c>
      <c r="DU13" s="21">
        <v>-760</v>
      </c>
      <c r="DV13" s="21">
        <v>-760</v>
      </c>
      <c r="DW13" s="21">
        <v>-710</v>
      </c>
      <c r="DX13" s="21">
        <v>-460</v>
      </c>
      <c r="DY13" s="21"/>
      <c r="DZ13" s="21"/>
      <c r="EA13" s="21">
        <v>-460</v>
      </c>
      <c r="EB13" s="21">
        <v>-440</v>
      </c>
      <c r="EC13" s="21">
        <v>-560</v>
      </c>
      <c r="ED13" s="21">
        <v>-560</v>
      </c>
      <c r="EE13" s="21">
        <v>-560</v>
      </c>
      <c r="EF13" s="21"/>
      <c r="EG13" s="21"/>
      <c r="EH13" s="21">
        <v>-560</v>
      </c>
      <c r="EI13" s="21">
        <v>-560</v>
      </c>
      <c r="EJ13" s="21">
        <v>-560</v>
      </c>
      <c r="EK13" s="21">
        <v>-560</v>
      </c>
      <c r="EL13" s="21">
        <v>-410</v>
      </c>
      <c r="EM13" s="21"/>
      <c r="EN13" s="21"/>
      <c r="EO13" s="21">
        <v>-410</v>
      </c>
      <c r="EP13" s="21">
        <v>-660</v>
      </c>
      <c r="EQ13" s="21">
        <v>-660</v>
      </c>
      <c r="ER13" s="21">
        <v>-610</v>
      </c>
      <c r="ES13" s="21">
        <v>-810</v>
      </c>
      <c r="ET13" s="21"/>
      <c r="EU13" s="21"/>
      <c r="EV13" s="21">
        <v>-810</v>
      </c>
      <c r="EW13" s="21">
        <v>-1010</v>
      </c>
      <c r="EX13" s="21">
        <v>-1030</v>
      </c>
      <c r="EY13" s="21">
        <v>-1030</v>
      </c>
      <c r="EZ13" s="21">
        <v>-1260</v>
      </c>
      <c r="FA13" s="21"/>
      <c r="FB13" s="21"/>
      <c r="FC13" s="21">
        <v>-1260</v>
      </c>
      <c r="FD13" s="21">
        <v>-1310</v>
      </c>
      <c r="FE13" s="21">
        <v>-1510</v>
      </c>
      <c r="FF13" s="21">
        <v>-1760</v>
      </c>
      <c r="FG13" s="21">
        <v>-1510</v>
      </c>
      <c r="FH13" s="21"/>
      <c r="FI13" s="21"/>
      <c r="FJ13" s="21">
        <v>-1510</v>
      </c>
      <c r="FK13" s="21">
        <v>-1410</v>
      </c>
      <c r="FL13" s="21">
        <v>-1410</v>
      </c>
      <c r="FM13" s="21">
        <v>-1110</v>
      </c>
      <c r="FN13" s="21">
        <v>-1060</v>
      </c>
      <c r="FO13" s="21"/>
      <c r="FP13" s="21"/>
      <c r="FQ13" s="21">
        <v>-1110</v>
      </c>
      <c r="FR13" s="21">
        <v>-1110</v>
      </c>
      <c r="FS13" s="21">
        <v>-1110</v>
      </c>
      <c r="FT13" s="21">
        <v>-1110</v>
      </c>
      <c r="FU13" s="21">
        <v>-1110</v>
      </c>
      <c r="FV13" s="21"/>
      <c r="FW13" s="21"/>
      <c r="FX13" s="21">
        <v>-1110</v>
      </c>
      <c r="FY13" s="21">
        <v>-1110</v>
      </c>
      <c r="FZ13" s="21">
        <v>-1310</v>
      </c>
      <c r="GA13" s="21">
        <v>-1310</v>
      </c>
      <c r="GB13" s="21">
        <v>-1260</v>
      </c>
      <c r="GC13" s="21"/>
      <c r="GD13" s="21"/>
      <c r="GE13" s="21">
        <v>-1160</v>
      </c>
      <c r="GF13" s="21">
        <v>-900</v>
      </c>
      <c r="GG13" s="21">
        <v>-700</v>
      </c>
      <c r="GH13" s="21">
        <v>-800</v>
      </c>
      <c r="GI13" s="21">
        <v>-800</v>
      </c>
      <c r="GJ13" s="21"/>
      <c r="GK13" s="21"/>
      <c r="GL13" s="21">
        <v>-1000</v>
      </c>
      <c r="GM13" s="21">
        <v>-1000</v>
      </c>
      <c r="GN13" s="21">
        <v>-1000</v>
      </c>
      <c r="GO13" s="21">
        <v>-920</v>
      </c>
      <c r="GP13" s="21">
        <v>-950</v>
      </c>
      <c r="GQ13" s="21"/>
      <c r="GR13" s="21"/>
      <c r="GS13" s="21">
        <v>-980</v>
      </c>
      <c r="GT13" s="21">
        <v>-980</v>
      </c>
      <c r="GU13" s="21">
        <v>-980</v>
      </c>
      <c r="GV13" s="21">
        <v>-780</v>
      </c>
      <c r="GW13" s="21">
        <v>-700</v>
      </c>
      <c r="GX13" s="21"/>
      <c r="GY13" s="21"/>
      <c r="GZ13" s="21">
        <v>-700</v>
      </c>
      <c r="HA13" s="21">
        <v>-740</v>
      </c>
      <c r="HB13" s="21">
        <v>-530</v>
      </c>
      <c r="HC13" s="21">
        <v>-600</v>
      </c>
      <c r="HD13" s="21">
        <v>-600</v>
      </c>
      <c r="HE13" s="21"/>
      <c r="HF13" s="21"/>
      <c r="HG13" s="21">
        <v>-600</v>
      </c>
      <c r="HH13" s="21">
        <v>-550</v>
      </c>
      <c r="HI13" s="21">
        <v>-500</v>
      </c>
      <c r="HJ13" s="21">
        <v>-500</v>
      </c>
      <c r="HK13" s="21">
        <v>-500</v>
      </c>
      <c r="HL13" s="21"/>
      <c r="HM13" s="21"/>
      <c r="HN13" s="21">
        <v>-450</v>
      </c>
      <c r="HO13" s="21">
        <v>-500</v>
      </c>
      <c r="HP13" s="21">
        <v>-500</v>
      </c>
      <c r="HQ13" s="21">
        <v>-550</v>
      </c>
      <c r="HR13" s="21">
        <v>-500</v>
      </c>
      <c r="HS13" s="21"/>
      <c r="HT13" s="21"/>
      <c r="HU13" s="21">
        <v>-450</v>
      </c>
      <c r="HV13" s="21">
        <v>-350</v>
      </c>
      <c r="HW13" s="21">
        <v>-150</v>
      </c>
      <c r="HX13" s="21">
        <v>-60</v>
      </c>
      <c r="HY13" s="21">
        <v>-50</v>
      </c>
      <c r="HZ13" s="21"/>
      <c r="IA13" s="21"/>
      <c r="IB13" s="21">
        <v>0</v>
      </c>
      <c r="IC13" s="21">
        <v>-50</v>
      </c>
      <c r="ID13" s="21">
        <v>-100</v>
      </c>
      <c r="IE13" s="21">
        <v>-150</v>
      </c>
      <c r="IF13" s="21">
        <v>-50</v>
      </c>
      <c r="IG13" s="21"/>
      <c r="IH13" s="21"/>
      <c r="II13" s="21">
        <v>-60</v>
      </c>
      <c r="IJ13" s="21">
        <v>-20</v>
      </c>
      <c r="IK13" s="21">
        <v>80</v>
      </c>
      <c r="IL13" s="21">
        <v>70</v>
      </c>
      <c r="IM13" s="21">
        <v>50</v>
      </c>
      <c r="IN13" s="21"/>
      <c r="IO13" s="21"/>
      <c r="IP13" s="21">
        <v>50</v>
      </c>
      <c r="IQ13" s="21">
        <v>50</v>
      </c>
      <c r="IR13" s="21">
        <v>120</v>
      </c>
      <c r="IS13" s="21">
        <v>170</v>
      </c>
      <c r="IT13" s="21">
        <v>150</v>
      </c>
      <c r="IU13" s="21"/>
      <c r="IV13" s="21"/>
      <c r="IW13" s="21">
        <v>300</v>
      </c>
      <c r="IX13" s="21">
        <v>300</v>
      </c>
      <c r="IY13" s="21">
        <v>300</v>
      </c>
      <c r="IZ13" s="21">
        <v>200</v>
      </c>
      <c r="JA13" s="21">
        <v>210</v>
      </c>
      <c r="JB13" s="21"/>
      <c r="JC13" s="21"/>
      <c r="JD13" s="21">
        <v>220</v>
      </c>
      <c r="JE13" s="21">
        <v>260</v>
      </c>
      <c r="JF13" s="21">
        <v>260</v>
      </c>
      <c r="JG13" s="21">
        <v>260</v>
      </c>
      <c r="JH13" s="21">
        <v>220</v>
      </c>
      <c r="JI13" s="21"/>
      <c r="JJ13" s="21"/>
      <c r="JK13" s="21">
        <v>150</v>
      </c>
      <c r="JL13" s="21">
        <v>100</v>
      </c>
      <c r="JM13" s="21">
        <v>100</v>
      </c>
      <c r="JN13" s="21">
        <v>100</v>
      </c>
      <c r="JO13" s="21">
        <v>120</v>
      </c>
      <c r="JP13" s="21"/>
      <c r="JQ13" s="21"/>
      <c r="JR13" s="21">
        <v>120</v>
      </c>
      <c r="JS13" s="21">
        <v>120</v>
      </c>
      <c r="JT13" s="21">
        <v>0</v>
      </c>
      <c r="JU13" s="21">
        <v>0</v>
      </c>
      <c r="JV13" s="21">
        <v>0</v>
      </c>
      <c r="JW13" s="21"/>
      <c r="JX13" s="21"/>
      <c r="JY13" s="21">
        <v>200</v>
      </c>
      <c r="JZ13" s="21">
        <v>200</v>
      </c>
      <c r="KA13" s="21">
        <v>270</v>
      </c>
      <c r="KB13" s="21">
        <v>190</v>
      </c>
      <c r="KC13" s="21">
        <v>220</v>
      </c>
      <c r="KD13" s="21"/>
      <c r="KE13" s="21"/>
      <c r="KF13" s="21">
        <v>220</v>
      </c>
      <c r="KG13" s="21">
        <v>180</v>
      </c>
      <c r="KH13" s="21">
        <v>60</v>
      </c>
      <c r="KI13" s="21">
        <v>50</v>
      </c>
      <c r="KJ13" s="21">
        <v>50</v>
      </c>
      <c r="KK13" s="21"/>
      <c r="KL13" s="21"/>
      <c r="KM13" s="21">
        <v>80</v>
      </c>
      <c r="KN13" s="21">
        <v>80</v>
      </c>
      <c r="KO13" s="21">
        <v>200</v>
      </c>
      <c r="KP13" s="21">
        <v>200</v>
      </c>
      <c r="KQ13" s="21">
        <v>220</v>
      </c>
      <c r="KR13" s="21"/>
      <c r="KS13" s="21"/>
      <c r="KT13" s="21">
        <v>250</v>
      </c>
      <c r="KU13" s="21">
        <v>250</v>
      </c>
      <c r="KV13" s="21">
        <v>270</v>
      </c>
      <c r="KW13" s="21">
        <v>280</v>
      </c>
      <c r="KX13" s="21">
        <v>280</v>
      </c>
      <c r="KY13" s="21"/>
      <c r="KZ13" s="21"/>
      <c r="LA13" s="21">
        <v>280</v>
      </c>
      <c r="LB13" s="21">
        <v>270</v>
      </c>
      <c r="LC13" s="21">
        <v>300</v>
      </c>
      <c r="LD13" s="21">
        <v>170</v>
      </c>
      <c r="LE13" s="21">
        <v>170</v>
      </c>
      <c r="LF13" s="21"/>
      <c r="LG13" s="21"/>
      <c r="LH13" s="21">
        <v>170</v>
      </c>
      <c r="LI13" s="21">
        <v>330</v>
      </c>
      <c r="LJ13" s="21">
        <v>300</v>
      </c>
      <c r="LK13" s="21">
        <v>300</v>
      </c>
      <c r="LL13" s="21">
        <v>350</v>
      </c>
      <c r="LM13" s="21"/>
      <c r="LN13" s="21"/>
      <c r="LO13" s="21">
        <v>400</v>
      </c>
      <c r="LP13" s="21">
        <v>400</v>
      </c>
      <c r="LQ13" s="21">
        <v>350</v>
      </c>
      <c r="LR13" s="21">
        <v>350</v>
      </c>
      <c r="LS13" s="21">
        <v>400</v>
      </c>
      <c r="LT13" s="21"/>
      <c r="LU13" s="21"/>
      <c r="LV13" s="21">
        <v>400</v>
      </c>
      <c r="LW13" s="21">
        <v>320</v>
      </c>
      <c r="LX13" s="21">
        <v>320</v>
      </c>
      <c r="LY13" s="21">
        <v>300</v>
      </c>
      <c r="LZ13" s="21">
        <v>400</v>
      </c>
      <c r="MA13" s="21"/>
      <c r="MB13" s="21"/>
      <c r="MC13" s="21">
        <v>400</v>
      </c>
      <c r="MD13" s="21">
        <v>400</v>
      </c>
      <c r="ME13" s="21">
        <v>400</v>
      </c>
      <c r="MF13" s="21">
        <v>500</v>
      </c>
      <c r="MG13" s="21">
        <v>550</v>
      </c>
      <c r="MH13" s="21"/>
      <c r="MI13" s="21"/>
      <c r="MJ13" s="21">
        <v>650</v>
      </c>
      <c r="MK13" s="21">
        <v>750</v>
      </c>
      <c r="ML13" s="21">
        <v>800</v>
      </c>
      <c r="MM13" s="21">
        <v>750</v>
      </c>
      <c r="MN13" s="21">
        <v>700</v>
      </c>
      <c r="MO13" s="21"/>
      <c r="MP13" s="21"/>
      <c r="MQ13" s="21">
        <v>500</v>
      </c>
      <c r="MR13" s="21">
        <v>460</v>
      </c>
      <c r="MS13" s="21">
        <v>350</v>
      </c>
      <c r="MT13" s="21">
        <v>350</v>
      </c>
      <c r="MU13" s="21">
        <v>350</v>
      </c>
      <c r="MV13" s="21"/>
      <c r="MW13" s="21"/>
      <c r="MX13" s="21">
        <v>450</v>
      </c>
      <c r="MY13" s="21">
        <v>400</v>
      </c>
      <c r="MZ13" s="21">
        <v>400</v>
      </c>
      <c r="NA13" s="21">
        <v>400</v>
      </c>
      <c r="NB13" s="21">
        <v>400</v>
      </c>
    </row>
    <row r="14" spans="1:367" x14ac:dyDescent="0.25">
      <c r="A14" s="35" t="s">
        <v>81</v>
      </c>
      <c r="B14" s="98"/>
      <c r="C14" s="98"/>
      <c r="D14" s="98"/>
      <c r="E14" s="98">
        <f>(E10+E13)*0.220462</f>
        <v>1054.469746</v>
      </c>
      <c r="F14" s="98">
        <f>(F10+F13)*0.220462</f>
        <v>1085.9958119999999</v>
      </c>
      <c r="G14" s="98">
        <f>(G10+G13)*0.220462</f>
        <v>1080.0433379999999</v>
      </c>
      <c r="H14" s="98">
        <f>(H10+H13)*0.220462</f>
        <v>1090.1845899999998</v>
      </c>
      <c r="I14" s="98">
        <f>(I10+I13)*0.220462</f>
        <v>1081.5865719999999</v>
      </c>
      <c r="J14" s="98"/>
      <c r="K14" s="98"/>
      <c r="L14" s="98">
        <f>(L10+L13)*0.220462</f>
        <v>1069.9020860000001</v>
      </c>
      <c r="M14" s="98">
        <f>(M10+M13)*0.220462</f>
        <v>1069.9020860000001</v>
      </c>
      <c r="N14" s="98">
        <f>(N10+N13)*0.220462</f>
        <v>1051.162816</v>
      </c>
      <c r="O14" s="98">
        <f>(O10+O13)*0.220462</f>
        <v>1064.1700739999999</v>
      </c>
      <c r="P14" s="98">
        <f>(P10+P13)*0.220462</f>
        <v>1032.86447</v>
      </c>
      <c r="Q14" s="98"/>
      <c r="R14" s="98"/>
      <c r="S14" s="98">
        <f>(S10+S13)*0.220462</f>
        <v>1008.61365</v>
      </c>
      <c r="T14" s="98">
        <f>(T10+T13)*0.220462</f>
        <v>983.26051999999993</v>
      </c>
      <c r="U14" s="98">
        <f>(U10+U13)*0.220462</f>
        <v>1001.779328</v>
      </c>
      <c r="V14" s="98">
        <f t="shared" ref="V14:W14" si="106">(V10+V13)*0.220462</f>
        <v>999.35424599999999</v>
      </c>
      <c r="W14" s="98">
        <f t="shared" si="106"/>
        <v>973.78065399999991</v>
      </c>
      <c r="X14" s="36"/>
      <c r="Y14" s="36"/>
      <c r="Z14" s="36">
        <f>(Z10+Z13)*0.220462</f>
        <v>973.78065399999991</v>
      </c>
      <c r="AA14" s="36">
        <f>(AA10+AA13)*0.220462</f>
        <v>987.89022199999999</v>
      </c>
      <c r="AB14" s="36">
        <f>(AB10+AB13)*0.220462</f>
        <v>1001.338404</v>
      </c>
      <c r="AC14" s="36">
        <f t="shared" ref="AC14:AD14" si="107">(AC10+AC13)*0.220462</f>
        <v>999.79516999999998</v>
      </c>
      <c r="AD14" s="36">
        <f t="shared" si="107"/>
        <v>1038.8169439999999</v>
      </c>
      <c r="AE14" s="36"/>
      <c r="AF14" s="36"/>
      <c r="AG14" s="36">
        <f>(AG10+AG13)*0.220462</f>
        <v>1042.1238739999999</v>
      </c>
      <c r="AH14" s="36">
        <f>(AH10+AH13)*0.220462</f>
        <v>1034.407704</v>
      </c>
      <c r="AI14" s="36">
        <f>(AI10+AI13)*0.220462</f>
        <v>1037.9350959999999</v>
      </c>
      <c r="AJ14" s="36">
        <f t="shared" ref="AJ14:AK14" si="108">(AJ10+AJ13)*0.220462</f>
        <v>1054.690208</v>
      </c>
      <c r="AK14" s="36">
        <f t="shared" si="108"/>
        <v>1037.4941719999999</v>
      </c>
      <c r="AL14" s="36"/>
      <c r="AM14" s="36"/>
      <c r="AN14" s="36">
        <f>(AN10+AN13)*0.220462</f>
        <v>1043.4466459999999</v>
      </c>
      <c r="AO14" s="36">
        <f>(AO10+AO13)*0.220462</f>
        <v>1052.044664</v>
      </c>
      <c r="AP14" s="36">
        <f>(AP10+AP13)*0.220462</f>
        <v>1033.746318</v>
      </c>
      <c r="AQ14" s="36">
        <f t="shared" ref="AQ14:AR14" si="109">(AQ10+AQ13)*0.220462</f>
        <v>1021.400446</v>
      </c>
      <c r="AR14" s="36">
        <f t="shared" si="109"/>
        <v>1034.848628</v>
      </c>
      <c r="AS14" s="36"/>
      <c r="AT14" s="36"/>
      <c r="AU14" s="98">
        <v>1043.4466459999999</v>
      </c>
      <c r="AV14" s="98">
        <v>1052.044664</v>
      </c>
      <c r="AW14" s="36">
        <f>(AW10+AW13)*0.220462</f>
        <v>1050.942354</v>
      </c>
      <c r="AX14" s="36">
        <f t="shared" ref="AX14:AY14" si="110">(AX10+AX13)*0.220462</f>
        <v>1054.028822</v>
      </c>
      <c r="AY14" s="36">
        <f t="shared" si="110"/>
        <v>1063.7291499999999</v>
      </c>
      <c r="AZ14" s="36"/>
      <c r="BA14" s="36"/>
      <c r="BB14" s="36">
        <f>(BB10+BB13)*0.220462</f>
        <v>1067.0360799999999</v>
      </c>
      <c r="BC14" s="36">
        <f>(BC10+BC13)*0.220462</f>
        <v>1083.7911919999999</v>
      </c>
      <c r="BD14" s="36">
        <f>(BD10+BD13)*0.220462</f>
        <v>1129.6472879999999</v>
      </c>
      <c r="BE14" s="36">
        <f t="shared" ref="BE14:BF14" si="111">(BE10+BE13)*0.220462</f>
        <v>1125.6789719999999</v>
      </c>
      <c r="BF14" s="36">
        <f t="shared" si="111"/>
        <v>1129.6472879999999</v>
      </c>
      <c r="BG14" s="36"/>
      <c r="BH14" s="36"/>
      <c r="BI14" s="36">
        <f>(BI10+BI13)*0.220462</f>
        <v>1117.080954</v>
      </c>
      <c r="BJ14" s="36">
        <f>(BJ10+BJ13)*0.220462</f>
        <v>1128.1040539999999</v>
      </c>
      <c r="BK14" s="36">
        <f>(BK10+BK13)*0.220462</f>
        <v>1140.89085</v>
      </c>
      <c r="BL14" s="36">
        <f t="shared" ref="BL14:BM14" si="112">(BL10+BL13)*0.220462</f>
        <v>1156.9845760000001</v>
      </c>
      <c r="BM14" s="36">
        <f t="shared" si="112"/>
        <v>1185.644636</v>
      </c>
      <c r="BN14" s="36"/>
      <c r="BO14" s="36"/>
      <c r="BP14" s="36">
        <f>(BP10+BP13)*0.220462</f>
        <v>1211.6591519999999</v>
      </c>
      <c r="BQ14" s="36">
        <f>(BQ10+BQ13)*0.220462</f>
        <v>1235.6895099999999</v>
      </c>
      <c r="BR14" s="36">
        <f>(BR10+BR13)*0.220462</f>
        <v>1251.342312</v>
      </c>
      <c r="BS14" s="36">
        <f t="shared" ref="BS14:BT14" si="113">(BS10+BS13)*0.220462</f>
        <v>1264.5700319999999</v>
      </c>
      <c r="BT14" s="36">
        <f t="shared" si="113"/>
        <v>1263.0267979999999</v>
      </c>
      <c r="BU14" s="36"/>
      <c r="BV14" s="36"/>
      <c r="BW14" s="36">
        <f>(BW10+BW13)*0.220462</f>
        <v>1234.3667379999999</v>
      </c>
      <c r="BX14" s="36">
        <f>(BX10+BX13)*0.220462</f>
        <v>1234.3667379999999</v>
      </c>
      <c r="BY14" s="36">
        <f>(BY10+BY13)*0.220462</f>
        <v>1234.5871999999999</v>
      </c>
      <c r="BZ14" s="36">
        <f t="shared" ref="BZ14:CA14" si="114">(BZ10+BZ13)*0.220462</f>
        <v>1210.777304</v>
      </c>
      <c r="CA14" s="36">
        <f t="shared" si="114"/>
        <v>1218.4934739999999</v>
      </c>
      <c r="CB14" s="36"/>
      <c r="CC14" s="36"/>
      <c r="CD14" s="36">
        <f>(CD10+CD13)*0.220462</f>
        <v>1269.199734</v>
      </c>
      <c r="CE14" s="36">
        <f>(CE10+CE13)*0.220462</f>
        <v>1237.2327439999999</v>
      </c>
      <c r="CF14" s="36">
        <f>(CF10+CF13)*0.220462</f>
        <v>1247.373996</v>
      </c>
      <c r="CG14" s="36">
        <f t="shared" ref="CG14:CM14" si="115">(CG10+CG13)*0.220462</f>
        <v>1203.281596</v>
      </c>
      <c r="CH14" s="36">
        <f t="shared" si="115"/>
        <v>1174.6215359999999</v>
      </c>
      <c r="CI14" s="36"/>
      <c r="CJ14" s="36"/>
      <c r="CK14" s="36">
        <f t="shared" si="115"/>
        <v>1187.408332</v>
      </c>
      <c r="CL14" s="36">
        <f t="shared" si="115"/>
        <v>1132.2928319999999</v>
      </c>
      <c r="CM14" s="36">
        <f t="shared" si="115"/>
        <v>1186.526484</v>
      </c>
      <c r="CN14" s="36">
        <f t="shared" ref="CN14:CO14" si="116">(CN10+CN13)*0.220462</f>
        <v>1164.700746</v>
      </c>
      <c r="CO14" s="36">
        <f t="shared" si="116"/>
        <v>1164.700746</v>
      </c>
      <c r="CP14" s="36"/>
      <c r="CQ14" s="36"/>
      <c r="CR14" s="36">
        <f t="shared" ref="CR14:CV14" si="117">(CR10+CR13)*0.220462</f>
        <v>1186.306022</v>
      </c>
      <c r="CS14" s="36">
        <f t="shared" si="117"/>
        <v>1210.777304</v>
      </c>
      <c r="CT14" s="36">
        <f t="shared" si="117"/>
        <v>1202.62021</v>
      </c>
      <c r="CU14" s="36">
        <f t="shared" si="117"/>
        <v>1190.0538759999999</v>
      </c>
      <c r="CV14" s="36">
        <f t="shared" si="117"/>
        <v>1178.3693900000001</v>
      </c>
      <c r="CW14" s="36"/>
      <c r="CX14" s="36"/>
      <c r="CY14" s="36">
        <f t="shared" ref="CY14:DC14" si="118">(CY10+CY13)*0.220462</f>
        <v>1147.5047099999999</v>
      </c>
      <c r="CZ14" s="36">
        <f t="shared" si="118"/>
        <v>1169.1099859999999</v>
      </c>
      <c r="DA14" s="36">
        <f t="shared" si="118"/>
        <v>1195.7858879999999</v>
      </c>
      <c r="DB14" s="36">
        <f t="shared" si="118"/>
        <v>1212.3205379999999</v>
      </c>
      <c r="DC14" s="36">
        <f t="shared" si="118"/>
        <v>1224.225486</v>
      </c>
      <c r="DD14" s="36"/>
      <c r="DE14" s="36"/>
      <c r="DF14" s="36">
        <f t="shared" ref="DF14:DJ14" si="119">(DF10+DF13)*0.220462</f>
        <v>1216.2888539999999</v>
      </c>
      <c r="DG14" s="36">
        <f t="shared" si="119"/>
        <v>1228.414264</v>
      </c>
      <c r="DH14" s="36">
        <f t="shared" ref="DH14" si="120">(DH10+DH13)*0.220462</f>
        <v>1321.008304</v>
      </c>
      <c r="DI14" s="36">
        <f t="shared" si="119"/>
        <v>1290.143624</v>
      </c>
      <c r="DJ14" s="36">
        <f t="shared" si="119"/>
        <v>1281.1046819999999</v>
      </c>
      <c r="DK14" s="36"/>
      <c r="DL14" s="36"/>
      <c r="DM14" s="36">
        <f t="shared" ref="DM14:DQ14" si="121">(DM10+DM13)*0.220462</f>
        <v>1303.1508819999999</v>
      </c>
      <c r="DN14" s="36">
        <f t="shared" si="121"/>
        <v>1330.4881699999999</v>
      </c>
      <c r="DO14" s="36">
        <f t="shared" si="121"/>
        <v>1445.12841</v>
      </c>
      <c r="DP14" s="36">
        <f t="shared" si="121"/>
        <v>1379.871658</v>
      </c>
      <c r="DQ14" s="36">
        <f t="shared" si="121"/>
        <v>1385.824132</v>
      </c>
      <c r="DR14" s="36"/>
      <c r="DS14" s="36"/>
      <c r="DT14" s="36">
        <f t="shared" ref="DT14:DX14" si="122">(DT10+DT13)*0.220462</f>
        <v>1382.517202</v>
      </c>
      <c r="DU14" s="36">
        <f t="shared" si="122"/>
        <v>1330.4881699999999</v>
      </c>
      <c r="DV14" s="36">
        <f t="shared" si="122"/>
        <v>1303.8122679999999</v>
      </c>
      <c r="DW14" s="36">
        <f t="shared" si="122"/>
        <v>1304.0327299999999</v>
      </c>
      <c r="DX14" s="36">
        <f t="shared" si="122"/>
        <v>1362.014236</v>
      </c>
      <c r="DY14" s="36"/>
      <c r="DZ14" s="36"/>
      <c r="EA14" s="36">
        <f t="shared" ref="EA14:EE14" si="123">(EA10+EA13)*0.220462</f>
        <v>1355.8413</v>
      </c>
      <c r="EB14" s="36">
        <f t="shared" si="123"/>
        <v>1381.414892</v>
      </c>
      <c r="EC14" s="36">
        <f t="shared" si="123"/>
        <v>1390.2333719999999</v>
      </c>
      <c r="ED14" s="36">
        <f t="shared" si="123"/>
        <v>1376.5647280000001</v>
      </c>
      <c r="EE14" s="36">
        <f t="shared" si="123"/>
        <v>1384.721822</v>
      </c>
      <c r="EF14" s="36"/>
      <c r="EG14" s="36"/>
      <c r="EH14" s="36">
        <f t="shared" ref="EH14:EL14" si="124">(EH10+EH13)*0.220462</f>
        <v>1397.0676939999998</v>
      </c>
      <c r="EI14" s="36">
        <f t="shared" si="124"/>
        <v>1390.4538339999999</v>
      </c>
      <c r="EJ14" s="36">
        <f t="shared" si="124"/>
        <v>1341.952194</v>
      </c>
      <c r="EK14" s="36">
        <f t="shared" si="124"/>
        <v>1326.2993919999999</v>
      </c>
      <c r="EL14" s="36">
        <f t="shared" si="124"/>
        <v>1353.4162179999998</v>
      </c>
      <c r="EM14" s="36"/>
      <c r="EN14" s="36"/>
      <c r="EO14" s="36">
        <f t="shared" ref="EO14:ES14" si="125">(EO10+EO13)*0.220462</f>
        <v>1345.4795859999999</v>
      </c>
      <c r="EP14" s="36">
        <f t="shared" si="125"/>
        <v>1324.7561579999999</v>
      </c>
      <c r="EQ14" s="36">
        <f t="shared" si="125"/>
        <v>1302.4894959999999</v>
      </c>
      <c r="ER14" s="36">
        <f t="shared" si="125"/>
        <v>1338.424802</v>
      </c>
      <c r="ES14" s="36">
        <f t="shared" si="125"/>
        <v>1271.845278</v>
      </c>
      <c r="ET14" s="36"/>
      <c r="EU14" s="36"/>
      <c r="EV14" s="36">
        <f t="shared" ref="EV14:EZ14" si="126">(EV10+EV13)*0.220462</f>
        <v>1271.845278</v>
      </c>
      <c r="EW14" s="36">
        <f t="shared" si="126"/>
        <v>1263.0267979999999</v>
      </c>
      <c r="EX14" s="36">
        <f t="shared" si="126"/>
        <v>1324.5356959999999</v>
      </c>
      <c r="EY14" s="36">
        <v>1333.3541760000001</v>
      </c>
      <c r="EZ14" s="36">
        <f t="shared" si="126"/>
        <v>1294.993788</v>
      </c>
      <c r="FA14" s="36"/>
      <c r="FB14" s="36"/>
      <c r="FC14" s="36">
        <f t="shared" ref="FC14:FG14" si="127">(FC10+FC13)*0.220462</f>
        <v>1283.7502259999999</v>
      </c>
      <c r="FD14" s="36">
        <f t="shared" si="127"/>
        <v>1300.2848759999999</v>
      </c>
      <c r="FE14" s="36">
        <f t="shared" si="127"/>
        <v>1245.3898380000001</v>
      </c>
      <c r="FF14" s="36">
        <f t="shared" si="127"/>
        <v>1165.362132</v>
      </c>
      <c r="FG14" s="36">
        <f t="shared" si="127"/>
        <v>1143.756856</v>
      </c>
      <c r="FH14" s="36"/>
      <c r="FI14" s="36"/>
      <c r="FJ14" s="36">
        <f t="shared" ref="FJ14:FN14" si="128">(FJ10+FJ13)*0.220462</f>
        <v>1121.269732</v>
      </c>
      <c r="FK14" s="36">
        <f t="shared" si="128"/>
        <v>1134.7179140000001</v>
      </c>
      <c r="FL14" s="36">
        <f t="shared" si="128"/>
        <v>1057.556214</v>
      </c>
      <c r="FM14" s="36">
        <f t="shared" si="128"/>
        <v>1002.440714</v>
      </c>
      <c r="FN14" s="36">
        <f t="shared" si="128"/>
        <v>1047.6354240000001</v>
      </c>
      <c r="FO14" s="36"/>
      <c r="FP14" s="36"/>
      <c r="FQ14" s="36">
        <f t="shared" ref="FQ14:FU14" si="129">(FQ10+FQ13)*0.220462</f>
        <v>1085.3344259999999</v>
      </c>
      <c r="FR14" s="36">
        <f t="shared" si="129"/>
        <v>1092.830134</v>
      </c>
      <c r="FS14" s="36">
        <f t="shared" si="129"/>
        <v>1125.0175859999999</v>
      </c>
      <c r="FT14" s="36">
        <f t="shared" si="129"/>
        <v>1137.58392</v>
      </c>
      <c r="FU14" s="36">
        <f t="shared" si="129"/>
        <v>1071.665782</v>
      </c>
      <c r="FV14" s="36"/>
      <c r="FW14" s="36"/>
      <c r="FX14" s="36">
        <f t="shared" ref="FX14:GB14" si="130">(FX10+FX13)*0.220462</f>
        <v>1126.5608199999999</v>
      </c>
      <c r="FY14" s="36">
        <f t="shared" si="130"/>
        <v>1169.5509099999999</v>
      </c>
      <c r="FZ14" s="36">
        <f t="shared" si="130"/>
        <v>1147.7251719999999</v>
      </c>
      <c r="GA14" s="36">
        <f t="shared" si="130"/>
        <v>1145.079628</v>
      </c>
      <c r="GB14" s="36">
        <f t="shared" si="130"/>
        <v>1195.3449639999999</v>
      </c>
      <c r="GC14" s="36"/>
      <c r="GD14" s="36"/>
      <c r="GE14" s="36">
        <f t="shared" ref="GE14:GI14" si="131">(GE10+GE13)*0.220462</f>
        <v>1217.3911639999999</v>
      </c>
      <c r="GF14" s="36">
        <f t="shared" si="131"/>
        <v>1208.793146</v>
      </c>
      <c r="GG14" s="36">
        <f t="shared" si="131"/>
        <v>1273.388512</v>
      </c>
      <c r="GH14" s="36">
        <f t="shared" si="131"/>
        <v>1240.0987499999999</v>
      </c>
      <c r="GI14" s="36">
        <f t="shared" si="131"/>
        <v>1199.5337419999998</v>
      </c>
      <c r="GJ14" s="36"/>
      <c r="GK14" s="36"/>
      <c r="GL14" s="36">
        <f t="shared" ref="GL14:GP14" si="132">(GL10+GL13)*0.220462</f>
        <v>1212.3205379999999</v>
      </c>
      <c r="GM14" s="36">
        <f t="shared" si="132"/>
        <v>1248.476306</v>
      </c>
      <c r="GN14" s="36">
        <f t="shared" si="132"/>
        <v>1248.476306</v>
      </c>
      <c r="GO14" s="36">
        <f t="shared" si="132"/>
        <v>1281.1046819999999</v>
      </c>
      <c r="GP14" s="36">
        <f t="shared" si="132"/>
        <v>1296.537022</v>
      </c>
      <c r="GQ14" s="36"/>
      <c r="GR14" s="36"/>
      <c r="GS14" s="36">
        <f t="shared" ref="GS14:GW14" si="133">(GS10+GS13)*0.220462</f>
        <v>1289.923162</v>
      </c>
      <c r="GT14" s="36">
        <f t="shared" si="133"/>
        <v>1261.4835639999999</v>
      </c>
      <c r="GU14" s="36">
        <f t="shared" si="133"/>
        <v>1227.091492</v>
      </c>
      <c r="GV14" s="36">
        <f t="shared" si="133"/>
        <v>1261.0426399999999</v>
      </c>
      <c r="GW14" s="36">
        <f t="shared" si="133"/>
        <v>1293.230092</v>
      </c>
      <c r="GX14" s="36"/>
      <c r="GY14" s="36"/>
      <c r="GZ14" s="36">
        <f t="shared" ref="GZ14:HD14" si="134">(GZ10+GZ13)*0.220462</f>
        <v>1310.2056659999998</v>
      </c>
      <c r="HA14" s="36">
        <f t="shared" si="134"/>
        <v>1297.639332</v>
      </c>
      <c r="HB14" s="36">
        <f t="shared" si="134"/>
        <v>1350.3297499999999</v>
      </c>
      <c r="HC14" s="36">
        <f t="shared" si="134"/>
        <v>1343.2749659999999</v>
      </c>
      <c r="HD14" s="36">
        <f t="shared" si="134"/>
        <v>1318.803684</v>
      </c>
      <c r="HE14" s="36"/>
      <c r="HF14" s="36"/>
      <c r="HG14" s="36">
        <f t="shared" ref="HG14:HK14" si="135">(HG10+HG13)*0.220462</f>
        <v>1292.348244</v>
      </c>
      <c r="HH14" s="36">
        <f t="shared" si="135"/>
        <v>1273.608974</v>
      </c>
      <c r="HI14" s="36">
        <f t="shared" si="135"/>
        <v>1273.608974</v>
      </c>
      <c r="HJ14" s="36">
        <f t="shared" si="135"/>
        <v>1266.9951140000001</v>
      </c>
      <c r="HK14" s="36">
        <f t="shared" si="135"/>
        <v>1287.7185419999998</v>
      </c>
      <c r="HL14" s="36"/>
      <c r="HM14" s="36"/>
      <c r="HN14" s="36">
        <f t="shared" ref="HN14:HR14" si="136">(HN10+HN13)*0.220462</f>
        <v>1349.6683639999999</v>
      </c>
      <c r="HO14" s="36">
        <f t="shared" si="136"/>
        <v>1331.8109419999998</v>
      </c>
      <c r="HP14" s="36">
        <f t="shared" si="136"/>
        <v>1290.364086</v>
      </c>
      <c r="HQ14" s="36">
        <f t="shared" si="136"/>
        <v>1278.9000619999999</v>
      </c>
      <c r="HR14" s="36">
        <f t="shared" si="136"/>
        <v>1289.923162</v>
      </c>
      <c r="HS14" s="36"/>
      <c r="HT14" s="36"/>
      <c r="HU14" s="36">
        <f t="shared" ref="HU14:HY14" si="137">(HU10+HU13)*0.220462</f>
        <v>1296.096098</v>
      </c>
      <c r="HV14" s="36">
        <f t="shared" si="137"/>
        <v>1301.6076479999999</v>
      </c>
      <c r="HW14" s="36">
        <f t="shared" si="137"/>
        <v>1332.2518659999998</v>
      </c>
      <c r="HX14" s="36">
        <f t="shared" si="137"/>
        <v>1322.7719999999999</v>
      </c>
      <c r="HY14" s="36">
        <f t="shared" si="137"/>
        <v>1256.4129379999999</v>
      </c>
      <c r="HZ14" s="36"/>
      <c r="IA14" s="36"/>
      <c r="IB14" s="36">
        <f t="shared" ref="IB14:IF14" si="138">(IB10+IB13)*0.220462</f>
        <v>1306.2373499999999</v>
      </c>
      <c r="IC14" s="36">
        <f t="shared" si="138"/>
        <v>1335.779258</v>
      </c>
      <c r="ID14" s="36">
        <f t="shared" si="138"/>
        <v>1342.393118</v>
      </c>
      <c r="IE14" s="36">
        <f t="shared" si="138"/>
        <v>1319.024146</v>
      </c>
      <c r="IF14" s="36">
        <f t="shared" si="138"/>
        <v>1341.070346</v>
      </c>
      <c r="IG14" s="36"/>
      <c r="IH14" s="36"/>
      <c r="II14" s="36">
        <f t="shared" ref="II14:IM14" si="139">(II10+II13)*0.220462</f>
        <v>1315.717216</v>
      </c>
      <c r="IJ14" s="36">
        <f t="shared" si="139"/>
        <v>1304.2531919999999</v>
      </c>
      <c r="IK14" s="36">
        <f t="shared" si="139"/>
        <v>1303.1508819999999</v>
      </c>
      <c r="IL14" s="36">
        <f t="shared" si="139"/>
        <v>1316.378602</v>
      </c>
      <c r="IM14" s="36">
        <f t="shared" si="139"/>
        <v>1311.7489</v>
      </c>
      <c r="IN14" s="36"/>
      <c r="IO14" s="36"/>
      <c r="IP14" s="36">
        <f t="shared" ref="IP14:IT14" si="140">(IP10+IP13)*0.220462</f>
        <v>1311.7489</v>
      </c>
      <c r="IQ14" s="36">
        <f t="shared" si="140"/>
        <v>1311.7489</v>
      </c>
      <c r="IR14" s="36">
        <f t="shared" si="140"/>
        <v>1293.00963</v>
      </c>
      <c r="IS14" s="36">
        <f t="shared" si="140"/>
        <v>1272.506664</v>
      </c>
      <c r="IT14" s="36">
        <f t="shared" si="140"/>
        <v>1261.9244879999999</v>
      </c>
      <c r="IU14" s="36"/>
      <c r="IV14" s="36"/>
      <c r="IW14" s="36">
        <f t="shared" ref="IW14:JA14" si="141">(IW10+IW13)*0.220462</f>
        <v>1296.31656</v>
      </c>
      <c r="IX14" s="36">
        <f t="shared" si="141"/>
        <v>1315.717216</v>
      </c>
      <c r="IY14" s="36">
        <f t="shared" si="141"/>
        <v>1351.6525219999999</v>
      </c>
      <c r="IZ14" s="36">
        <f t="shared" si="141"/>
        <v>1296.977946</v>
      </c>
      <c r="JA14" s="36">
        <f t="shared" si="141"/>
        <v>1287.2776179999998</v>
      </c>
      <c r="JB14" s="36"/>
      <c r="JC14" s="36"/>
      <c r="JD14" s="36">
        <f t="shared" ref="JD14:JH14" si="142">(JD10+JD13)*0.220462</f>
        <v>1259.0584819999999</v>
      </c>
      <c r="JE14" s="36">
        <f t="shared" si="142"/>
        <v>1276.915904</v>
      </c>
      <c r="JF14" s="36">
        <f t="shared" si="142"/>
        <v>1300.5053379999999</v>
      </c>
      <c r="JG14" s="36">
        <f t="shared" si="142"/>
        <v>1316.15814</v>
      </c>
      <c r="JH14" s="36">
        <f t="shared" si="142"/>
        <v>1326.5198539999999</v>
      </c>
      <c r="JI14" s="36"/>
      <c r="JJ14" s="36"/>
      <c r="JK14" s="36">
        <f t="shared" ref="JK14:JO14" si="143">(JK10+JK13)*0.220462</f>
        <v>1318.36276</v>
      </c>
      <c r="JL14" s="36">
        <f t="shared" si="143"/>
        <v>1295.655174</v>
      </c>
      <c r="JM14" s="36">
        <f t="shared" si="143"/>
        <v>1295.875636</v>
      </c>
      <c r="JN14" s="36">
        <f t="shared" si="143"/>
        <v>1318.142298</v>
      </c>
      <c r="JO14" s="36">
        <f t="shared" si="143"/>
        <v>1318.583222</v>
      </c>
      <c r="JP14" s="36"/>
      <c r="JQ14" s="36"/>
      <c r="JR14" s="36">
        <f t="shared" ref="JR14:JV14" si="144">(JR10+JR13)*0.220462</f>
        <v>1317.701374</v>
      </c>
      <c r="JS14" s="36">
        <f t="shared" si="144"/>
        <v>1368.8485579999999</v>
      </c>
      <c r="JT14" s="36">
        <f t="shared" si="144"/>
        <v>1324.3152339999999</v>
      </c>
      <c r="JU14" s="36">
        <f t="shared" si="144"/>
        <v>1364.65978</v>
      </c>
      <c r="JV14" s="36">
        <f t="shared" si="144"/>
        <v>1358.707306</v>
      </c>
      <c r="JW14" s="36"/>
      <c r="JX14" s="36"/>
      <c r="JY14" s="36">
        <f t="shared" ref="JY14:KC14" si="145">(JY10+JY13)*0.220462</f>
        <v>1373.2577979999999</v>
      </c>
      <c r="JZ14" s="36">
        <f t="shared" si="145"/>
        <v>1373.2577979999999</v>
      </c>
      <c r="KA14" s="36">
        <f t="shared" si="145"/>
        <v>1368.1871719999999</v>
      </c>
      <c r="KB14" s="36">
        <f t="shared" si="145"/>
        <v>1363.337008</v>
      </c>
      <c r="KC14" s="36">
        <f t="shared" si="145"/>
        <v>1399.713238</v>
      </c>
      <c r="KD14" s="36"/>
      <c r="KE14" s="36"/>
      <c r="KF14" s="36">
        <f t="shared" ref="KF14:KJ14" si="146">(KF10+KF13)*0.220462</f>
        <v>1415.8069639999999</v>
      </c>
      <c r="KG14" s="36">
        <f t="shared" si="146"/>
        <v>1415.1455779999999</v>
      </c>
      <c r="KH14" s="36">
        <f t="shared" si="146"/>
        <v>1439.6168599999999</v>
      </c>
      <c r="KI14" s="36">
        <f t="shared" si="146"/>
        <v>1390.6742959999999</v>
      </c>
      <c r="KJ14" s="36">
        <f t="shared" si="146"/>
        <v>1379.871658</v>
      </c>
      <c r="KK14" s="36"/>
      <c r="KL14" s="36"/>
      <c r="KM14" s="36">
        <f t="shared" ref="KM14:KQ14" si="147">(KM10+KM13)*0.220462</f>
        <v>1409.6340279999999</v>
      </c>
      <c r="KN14" s="36">
        <f t="shared" si="147"/>
        <v>1391.3356819999999</v>
      </c>
      <c r="KO14" s="36">
        <f t="shared" si="147"/>
        <v>1398.1700039999998</v>
      </c>
      <c r="KP14" s="36">
        <f t="shared" si="147"/>
        <v>1386.044594</v>
      </c>
      <c r="KQ14" s="36">
        <f t="shared" si="147"/>
        <v>1399.2723140000001</v>
      </c>
      <c r="KR14" s="36"/>
      <c r="KS14" s="36"/>
      <c r="KT14" s="36">
        <f t="shared" ref="KT14:KX14" si="148">(KT10+KT13)*0.220462</f>
        <v>1421.3185140000001</v>
      </c>
      <c r="KU14" s="36">
        <f t="shared" si="148"/>
        <v>1421.3185140000001</v>
      </c>
      <c r="KV14" s="36">
        <f t="shared" si="148"/>
        <v>1405.004326</v>
      </c>
      <c r="KW14" s="36">
        <f t="shared" si="148"/>
        <v>1375.2419559999998</v>
      </c>
      <c r="KX14" s="36">
        <f t="shared" si="148"/>
        <v>1357.604996</v>
      </c>
      <c r="KY14" s="36"/>
      <c r="KZ14" s="36"/>
      <c r="LA14" s="36">
        <f t="shared" ref="LA14:LE14" si="149">(LA10+LA13)*0.220462</f>
        <v>1341.51127</v>
      </c>
      <c r="LB14" s="36">
        <f t="shared" si="149"/>
        <v>1348.5660539999999</v>
      </c>
      <c r="LC14" s="36">
        <f t="shared" si="149"/>
        <v>1369.9508679999999</v>
      </c>
      <c r="LD14" s="36">
        <f t="shared" si="149"/>
        <v>1341.290808</v>
      </c>
      <c r="LE14" s="36">
        <f t="shared" si="149"/>
        <v>1337.542954</v>
      </c>
      <c r="LF14" s="36"/>
      <c r="LG14" s="36"/>
      <c r="LH14" s="36">
        <f t="shared" ref="LH14" si="150">(LH10+LH13)*0.220462</f>
        <v>1337.542954</v>
      </c>
      <c r="LI14" s="36">
        <f t="shared" ref="LI14:LL14" si="151">(LI10+LI13)*0.220462</f>
        <v>1377.2261140000001</v>
      </c>
      <c r="LJ14" s="36">
        <f t="shared" si="151"/>
        <v>1371.9350259999999</v>
      </c>
      <c r="LK14" s="36">
        <f t="shared" si="151"/>
        <v>1370.6122539999999</v>
      </c>
      <c r="LL14" s="36">
        <f t="shared" si="151"/>
        <v>1359.368692</v>
      </c>
      <c r="LM14" s="36"/>
      <c r="LN14" s="36"/>
      <c r="LO14" s="36">
        <f t="shared" ref="LO14:LS14" si="152">(LO10+LO13)*0.220462</f>
        <v>1391.9970679999999</v>
      </c>
      <c r="LP14" s="36">
        <f t="shared" si="152"/>
        <v>1414.0432679999999</v>
      </c>
      <c r="LQ14" s="36">
        <f t="shared" si="152"/>
        <v>1420.6571280000001</v>
      </c>
      <c r="LR14" s="36">
        <f t="shared" si="152"/>
        <v>1420.6571280000001</v>
      </c>
      <c r="LS14" s="36">
        <f t="shared" si="152"/>
        <v>1389.3515239999999</v>
      </c>
      <c r="LT14" s="36"/>
      <c r="LU14" s="36"/>
      <c r="LV14" s="36">
        <f t="shared" ref="LV14:LZ14" si="153">(LV10+LV13)*0.220462</f>
        <v>1372.5964119999999</v>
      </c>
      <c r="LW14" s="36">
        <f t="shared" si="153"/>
        <v>1285.5139219999999</v>
      </c>
      <c r="LX14" s="36">
        <f t="shared" si="153"/>
        <v>1284.1911499999999</v>
      </c>
      <c r="LY14" s="36">
        <f t="shared" si="153"/>
        <v>1349.8888259999999</v>
      </c>
      <c r="LZ14" s="36">
        <f t="shared" si="153"/>
        <v>1347.0228199999999</v>
      </c>
      <c r="MA14" s="36"/>
      <c r="MB14" s="36"/>
      <c r="MC14" s="36">
        <f t="shared" ref="MC14:MG14" si="154">(MC10+MC13)*0.220462</f>
        <v>1362.234698</v>
      </c>
      <c r="MD14" s="36">
        <f t="shared" si="154"/>
        <v>1345.7000479999999</v>
      </c>
      <c r="ME14" s="36">
        <f t="shared" si="154"/>
        <v>1311.3079760000001</v>
      </c>
      <c r="MF14" s="36">
        <f t="shared" si="154"/>
        <v>1318.142298</v>
      </c>
      <c r="MG14" s="36">
        <f t="shared" si="154"/>
        <v>1302.7099579999999</v>
      </c>
      <c r="MH14" s="36"/>
      <c r="MI14" s="36"/>
      <c r="MJ14" s="36">
        <f t="shared" ref="MJ14:MN14" si="155">(MJ10+MJ13)*0.220462</f>
        <v>1317.039988</v>
      </c>
      <c r="MK14" s="36">
        <f t="shared" si="155"/>
        <v>1311.969362</v>
      </c>
      <c r="ML14" s="36">
        <f t="shared" si="155"/>
        <v>1355.1799140000001</v>
      </c>
      <c r="MM14" s="36">
        <f t="shared" si="155"/>
        <v>1370.1713299999999</v>
      </c>
      <c r="MN14" s="36">
        <f t="shared" si="155"/>
        <v>1342.172656</v>
      </c>
      <c r="MO14" s="36"/>
      <c r="MP14" s="36"/>
      <c r="MQ14" s="36">
        <f t="shared" ref="MQ14:MU14" si="156">(MQ10+MQ13)*0.220462</f>
        <v>1277.356828</v>
      </c>
      <c r="MR14" s="36">
        <f t="shared" si="156"/>
        <v>1289.7027</v>
      </c>
      <c r="MS14" s="36">
        <f t="shared" si="156"/>
        <v>1285.9548459999999</v>
      </c>
      <c r="MT14" s="36">
        <f t="shared" si="156"/>
        <v>1299.4030279999999</v>
      </c>
      <c r="MU14" s="36">
        <f t="shared" si="156"/>
        <v>1299.4030279999999</v>
      </c>
      <c r="MV14" s="36"/>
      <c r="MW14" s="36"/>
      <c r="MX14" s="36">
        <f t="shared" ref="MX14:NB14" si="157">(MX10+MX13)*0.220462</f>
        <v>1349.6683639999999</v>
      </c>
      <c r="MY14" s="36">
        <f t="shared" si="157"/>
        <v>1334.89741</v>
      </c>
      <c r="MZ14" s="36">
        <f t="shared" si="157"/>
        <v>1338.20434</v>
      </c>
      <c r="NA14" s="36">
        <f t="shared" si="157"/>
        <v>1319.46507</v>
      </c>
      <c r="NB14" s="36">
        <f t="shared" si="157"/>
        <v>1319.46507</v>
      </c>
    </row>
    <row r="15" spans="1:367" x14ac:dyDescent="0.25">
      <c r="A15" s="17" t="s">
        <v>82</v>
      </c>
      <c r="B15" s="99"/>
      <c r="C15" s="99"/>
      <c r="D15" s="99"/>
      <c r="E15" s="99">
        <f>E14*E20</f>
        <v>5443.4891697758003</v>
      </c>
      <c r="F15" s="99">
        <f>F14*F20</f>
        <v>5784.665292199199</v>
      </c>
      <c r="G15" s="99">
        <f>G14*G20</f>
        <v>5743.5624671501992</v>
      </c>
      <c r="H15" s="99">
        <f>H14*H20</f>
        <v>5824.8562643699988</v>
      </c>
      <c r="I15" s="99">
        <f>I14*I20</f>
        <v>5805.9567184959997</v>
      </c>
      <c r="J15" s="99"/>
      <c r="K15" s="99"/>
      <c r="L15" s="99">
        <f>L14*L20</f>
        <v>5880.1818646560005</v>
      </c>
      <c r="M15" s="99">
        <f>M14*M20</f>
        <v>5844.9820860266</v>
      </c>
      <c r="N15" s="99">
        <f>N14*N20</f>
        <v>5577.8903668224002</v>
      </c>
      <c r="O15" s="99">
        <f>O14*O20</f>
        <v>5646.9120806735991</v>
      </c>
      <c r="P15" s="99">
        <f>P14*P20</f>
        <v>5444.0220484760002</v>
      </c>
      <c r="Q15" s="99"/>
      <c r="R15" s="99"/>
      <c r="S15" s="99">
        <f>S14*S20</f>
        <v>5323.6645674299998</v>
      </c>
      <c r="T15" s="99">
        <f>T14*T20</f>
        <v>5205.2828668279999</v>
      </c>
      <c r="U15" s="99">
        <f>U14*U20</f>
        <v>5312.4357763839998</v>
      </c>
      <c r="V15" s="99">
        <f t="shared" ref="V15:W15" si="158">V14*V20</f>
        <v>5312.5671717360001</v>
      </c>
      <c r="W15" s="99">
        <f t="shared" si="158"/>
        <v>5287.1420608929993</v>
      </c>
      <c r="X15" s="22"/>
      <c r="Y15" s="22"/>
      <c r="Z15" s="22">
        <f>Z14*Z20</f>
        <v>5363.2917080357993</v>
      </c>
      <c r="AA15" s="22">
        <f>AA14*AA20</f>
        <v>5320.9743137363994</v>
      </c>
      <c r="AB15" s="22">
        <f>AB14*AB20</f>
        <v>5414.9376873108004</v>
      </c>
      <c r="AC15" s="22">
        <f t="shared" ref="AC15:AD15" si="159">AC14*AC20</f>
        <v>5426.7882032429998</v>
      </c>
      <c r="AD15" s="22">
        <f t="shared" si="159"/>
        <v>5688.1460585663999</v>
      </c>
      <c r="AE15" s="22"/>
      <c r="AF15" s="22"/>
      <c r="AG15" s="22">
        <f>AG14*AG20</f>
        <v>5690.5174139769988</v>
      </c>
      <c r="AH15" s="22">
        <f>AH14*AH20</f>
        <v>5572.5611829887994</v>
      </c>
      <c r="AI15" s="22">
        <f>AI14*AI20</f>
        <v>5544.6492828319997</v>
      </c>
      <c r="AJ15" s="22">
        <f t="shared" ref="AJ15:AK15" si="160">AJ14*AJ20</f>
        <v>5685.5185042655994</v>
      </c>
      <c r="AK15" s="22">
        <f t="shared" si="160"/>
        <v>5590.1223481531997</v>
      </c>
      <c r="AL15" s="22"/>
      <c r="AM15" s="22"/>
      <c r="AN15" s="22">
        <f>AN14*AN20</f>
        <v>5599.8651150881988</v>
      </c>
      <c r="AO15" s="22">
        <f>AO14*AO20</f>
        <v>5703.4497369431992</v>
      </c>
      <c r="AP15" s="22">
        <f>AP14*AP20</f>
        <v>5584.4009844677994</v>
      </c>
      <c r="AQ15" s="22">
        <f t="shared" ref="AQ15:AR15" si="161">AQ14*AQ20</f>
        <v>5477.0556115857999</v>
      </c>
      <c r="AR15" s="22">
        <f t="shared" si="161"/>
        <v>5568.7274369935994</v>
      </c>
      <c r="AS15" s="22"/>
      <c r="AT15" s="22"/>
      <c r="AU15" s="99">
        <v>5599.8651150881988</v>
      </c>
      <c r="AV15" s="99">
        <v>5703.4497369431992</v>
      </c>
      <c r="AW15" s="22">
        <f>AW14*AW20</f>
        <v>5689.2764333790001</v>
      </c>
      <c r="AX15" s="22">
        <f t="shared" ref="AX15:AY15" si="162">AX14*AX20</f>
        <v>5716.5253161169994</v>
      </c>
      <c r="AY15" s="22">
        <f t="shared" si="162"/>
        <v>5735.7339497149997</v>
      </c>
      <c r="AZ15" s="22"/>
      <c r="BA15" s="22"/>
      <c r="BB15" s="22">
        <f>BB14*BB20</f>
        <v>5873.0732879279994</v>
      </c>
      <c r="BC15" s="22">
        <f>BC14*BC20</f>
        <v>5871.8722991367995</v>
      </c>
      <c r="BD15" s="22">
        <f>BD14*BD20</f>
        <v>6120.3160416552</v>
      </c>
      <c r="BE15" s="22">
        <f t="shared" ref="BE15:BF15" si="163">BE14*BE20</f>
        <v>6145.8694834283997</v>
      </c>
      <c r="BF15" s="22">
        <f t="shared" si="163"/>
        <v>6246.8365379111992</v>
      </c>
      <c r="BG15" s="22"/>
      <c r="BH15" s="22"/>
      <c r="BI15" s="22">
        <f>BI14*BI20</f>
        <v>6236.5512580866007</v>
      </c>
      <c r="BJ15" s="22">
        <f>BJ14*BJ20</f>
        <v>6412.2562533413993</v>
      </c>
      <c r="BK15" s="22">
        <f>BK14*BK20</f>
        <v>6541.7540448150003</v>
      </c>
      <c r="BL15" s="22">
        <f t="shared" ref="BL15:BM15" si="164">BL14*BL20</f>
        <v>6479.6921178880002</v>
      </c>
      <c r="BM15" s="22">
        <f t="shared" si="164"/>
        <v>6742.4053515411997</v>
      </c>
      <c r="BN15" s="22"/>
      <c r="BO15" s="22"/>
      <c r="BP15" s="22">
        <f>BP14*BP20</f>
        <v>6947.6535775679995</v>
      </c>
      <c r="BQ15" s="22">
        <f>BQ14*BQ20</f>
        <v>7215.685324694</v>
      </c>
      <c r="BR15" s="22">
        <f>BR14*BR20</f>
        <v>7188.0856428216002</v>
      </c>
      <c r="BS15" s="22">
        <f t="shared" ref="BS15:BT15" si="165">BS14*BS20</f>
        <v>7067.3025378383991</v>
      </c>
      <c r="BT15" s="22">
        <f t="shared" si="165"/>
        <v>7109.9567539813988</v>
      </c>
      <c r="BU15" s="22"/>
      <c r="BV15" s="22"/>
      <c r="BW15" s="22">
        <f>BW14*BW20</f>
        <v>6937.14106756</v>
      </c>
      <c r="BX15" s="22">
        <f>BX14*BX20</f>
        <v>6893.9382317299996</v>
      </c>
      <c r="BY15" s="22">
        <f>BY14*BY20</f>
        <v>6984.8005427200005</v>
      </c>
      <c r="BZ15" s="22">
        <f t="shared" ref="BZ15:CA15" si="166">BZ14*BZ20</f>
        <v>6716.1817052879996</v>
      </c>
      <c r="CA15" s="22">
        <f t="shared" si="166"/>
        <v>6711.4620547919994</v>
      </c>
      <c r="CB15" s="22"/>
      <c r="CC15" s="22"/>
      <c r="CD15" s="22">
        <f>CD14*CD20</f>
        <v>7017.4053292859999</v>
      </c>
      <c r="CE15" s="22">
        <f>CE14*CE20</f>
        <v>6798.59392828</v>
      </c>
      <c r="CF15" s="22">
        <f>CF14*CF20</f>
        <v>6901.7203198680008</v>
      </c>
      <c r="CG15" s="22">
        <f t="shared" ref="CG15:CH15" si="167">CG14*CG20</f>
        <v>6808.1672701680009</v>
      </c>
      <c r="CH15" s="22">
        <f t="shared" si="167"/>
        <v>6700.041241343999</v>
      </c>
      <c r="CI15" s="22"/>
      <c r="CJ15" s="22"/>
      <c r="CK15" s="22">
        <f t="shared" ref="CK15" si="168">CK14*CK20</f>
        <v>6877.4690589439997</v>
      </c>
      <c r="CL15" s="22">
        <f>CL14*CL20</f>
        <v>6526.5358836479991</v>
      </c>
      <c r="CM15" s="22">
        <f>CM14*CM20</f>
        <v>6759.6413793479996</v>
      </c>
      <c r="CN15" s="22">
        <f t="shared" ref="CN15" si="169">CN14*CN20</f>
        <v>6615.50023728</v>
      </c>
      <c r="CO15" s="22">
        <v>6714.4259459200002</v>
      </c>
      <c r="CP15" s="22"/>
      <c r="CQ15" s="22"/>
      <c r="CR15" s="22">
        <f t="shared" ref="CR15:CU16" si="170">CR12*0.220462</f>
        <v>4.1299283809776988</v>
      </c>
      <c r="CS15" s="22">
        <f t="shared" si="170"/>
        <v>4.1770805969086382</v>
      </c>
      <c r="CT15" s="22">
        <f t="shared" si="170"/>
        <v>4.0669642630072831</v>
      </c>
      <c r="CU15" s="22">
        <f t="shared" si="170"/>
        <v>4.1051494937353157</v>
      </c>
      <c r="CV15" s="22">
        <f t="shared" ref="CV15" si="171">CV12*0.220462</f>
        <v>4.0805315782611586</v>
      </c>
      <c r="CW15" s="22"/>
      <c r="CX15" s="22"/>
      <c r="CY15" s="22">
        <f t="shared" ref="CY15:DC16" si="172">CY12*0.220462</f>
        <v>3.9517220886438049</v>
      </c>
      <c r="CZ15" s="22">
        <f t="shared" si="172"/>
        <v>4.0481282508800369</v>
      </c>
      <c r="DA15" s="22">
        <f t="shared" si="172"/>
        <v>3.9595276125000898</v>
      </c>
      <c r="DB15" s="22">
        <f t="shared" si="172"/>
        <v>3.9854283763686285</v>
      </c>
      <c r="DC15" s="22">
        <f t="shared" si="172"/>
        <v>4.1003965638767701</v>
      </c>
      <c r="DD15" s="22"/>
      <c r="DE15" s="22"/>
      <c r="DF15" s="22">
        <f t="shared" ref="DF15:DJ16" si="173">DF12*0.220462</f>
        <v>4.0789240508484408</v>
      </c>
      <c r="DG15" s="22">
        <f t="shared" si="173"/>
        <v>4.3394913313748926</v>
      </c>
      <c r="DH15" s="22">
        <f t="shared" ref="DH15" si="174">DH12*0.220462</f>
        <v>4.6520061391899574</v>
      </c>
      <c r="DI15" s="22">
        <f t="shared" si="173"/>
        <v>4.646315611802569</v>
      </c>
      <c r="DJ15" s="22">
        <f t="shared" si="173"/>
        <v>4.6103843198808647</v>
      </c>
      <c r="DK15" s="22"/>
      <c r="DL15" s="22"/>
      <c r="DM15" s="22">
        <f t="shared" ref="DM15:DQ15" si="175">DM12*0.220462</f>
        <v>4.8277742688244318</v>
      </c>
      <c r="DN15" s="22">
        <f t="shared" si="175"/>
        <v>4.8625446241400176</v>
      </c>
      <c r="DO15" s="22">
        <f t="shared" si="175"/>
        <v>4.9817316381207073</v>
      </c>
      <c r="DP15" s="22">
        <f t="shared" si="175"/>
        <v>4.7132175347091252</v>
      </c>
      <c r="DQ15" s="22">
        <f t="shared" si="175"/>
        <v>4.9841149807912517</v>
      </c>
      <c r="DR15" s="22"/>
      <c r="DS15" s="22"/>
      <c r="DT15" s="22">
        <f t="shared" ref="DT15:DX15" si="176">DT12*0.220462</f>
        <v>4.9143052651859671</v>
      </c>
      <c r="DU15" s="22">
        <f t="shared" si="176"/>
        <v>4.7947261607430312</v>
      </c>
      <c r="DV15" s="22">
        <f t="shared" si="176"/>
        <v>4.7038821816307426</v>
      </c>
      <c r="DW15" s="22">
        <f t="shared" si="176"/>
        <v>4.7290078435379632</v>
      </c>
      <c r="DX15" s="22">
        <f t="shared" si="176"/>
        <v>4.7251023649864079</v>
      </c>
      <c r="DY15" s="22"/>
      <c r="DZ15" s="22"/>
      <c r="EA15" s="22">
        <f t="shared" ref="EA15:EE16" si="177">EA12*0.220462</f>
        <v>4.7024164470848948</v>
      </c>
      <c r="EB15" s="22">
        <f t="shared" si="177"/>
        <v>4.7547049895764255</v>
      </c>
      <c r="EC15" s="22">
        <f t="shared" si="177"/>
        <v>4.8140736582011545</v>
      </c>
      <c r="ED15" s="22">
        <f t="shared" si="177"/>
        <v>4.9321128917669794</v>
      </c>
      <c r="EE15" s="22">
        <f t="shared" si="177"/>
        <v>4.8391282004133895</v>
      </c>
      <c r="EF15" s="22"/>
      <c r="EG15" s="22"/>
      <c r="EH15" s="22">
        <f t="shared" ref="EH15:EL15" si="178">EH12*0.220462</f>
        <v>4.8260623997015255</v>
      </c>
      <c r="EI15" s="22">
        <f t="shared" si="178"/>
        <v>4.8575198585351185</v>
      </c>
      <c r="EJ15" s="22">
        <f t="shared" si="178"/>
        <v>4.846495963430363</v>
      </c>
      <c r="EK15" s="22">
        <f t="shared" si="178"/>
        <v>4.9088707247388115</v>
      </c>
      <c r="EL15" s="22">
        <f t="shared" si="178"/>
        <v>4.790853078939735</v>
      </c>
      <c r="EM15" s="22"/>
      <c r="EN15" s="22"/>
      <c r="EO15" s="22">
        <f t="shared" ref="EO15:ES16" si="179">EO12*0.220462</f>
        <v>4.6239344551675723</v>
      </c>
      <c r="EP15" s="22">
        <f t="shared" si="179"/>
        <v>4.7215833616611205</v>
      </c>
      <c r="EQ15" s="22">
        <f t="shared" si="179"/>
        <v>4.6352220842194276</v>
      </c>
      <c r="ER15" s="22">
        <f t="shared" si="179"/>
        <v>4.6924846777364735</v>
      </c>
      <c r="ES15" s="22">
        <f t="shared" si="179"/>
        <v>4.6531196648439463</v>
      </c>
      <c r="ET15" s="22"/>
      <c r="EU15" s="22"/>
      <c r="EV15" s="22">
        <f t="shared" ref="EV15:EZ16" si="180">EV12*0.220462</f>
        <v>4.6531196648439463</v>
      </c>
      <c r="EW15" s="22">
        <f t="shared" si="180"/>
        <v>4.6624760472472024</v>
      </c>
      <c r="EX15" s="22">
        <f t="shared" si="180"/>
        <v>4.7969623735643241</v>
      </c>
      <c r="EY15" s="22">
        <v>4.8242255868269801</v>
      </c>
      <c r="EZ15" s="22">
        <f t="shared" si="180"/>
        <v>4.8231648661774367</v>
      </c>
      <c r="FA15" s="22"/>
      <c r="FB15" s="22"/>
      <c r="FC15" s="22">
        <f t="shared" ref="FC15:FG15" si="181">FC12*0.220462</f>
        <v>4.8154783055511539</v>
      </c>
      <c r="FD15" s="22">
        <f t="shared" si="181"/>
        <v>4.8509274542280805</v>
      </c>
      <c r="FE15" s="22">
        <f t="shared" si="181"/>
        <v>4.8179508386263636</v>
      </c>
      <c r="FF15" s="22">
        <f t="shared" si="181"/>
        <v>4.7222864700279095</v>
      </c>
      <c r="FG15" s="22">
        <f t="shared" si="181"/>
        <v>4.4785554971510795</v>
      </c>
      <c r="FH15" s="22"/>
      <c r="FI15" s="22"/>
      <c r="FJ15" s="22">
        <f t="shared" ref="FJ15:FN16" si="182">FJ12*0.220462</f>
        <v>4.4000637216116392</v>
      </c>
      <c r="FK15" s="22">
        <f t="shared" si="182"/>
        <v>4.3072456617422361</v>
      </c>
      <c r="FL15" s="22">
        <f t="shared" si="182"/>
        <v>4.0554091115325717</v>
      </c>
      <c r="FM15" s="22">
        <f t="shared" si="182"/>
        <v>3.7623147566052002</v>
      </c>
      <c r="FN15" s="22">
        <f t="shared" si="182"/>
        <v>3.8427901495922723</v>
      </c>
      <c r="FO15" s="22"/>
      <c r="FP15" s="22"/>
      <c r="FQ15" s="22">
        <f t="shared" ref="FQ15:FU15" si="183">FQ12*0.220462</f>
        <v>3.9148848591141778</v>
      </c>
      <c r="FR15" s="22">
        <f t="shared" si="183"/>
        <v>3.941684196293918</v>
      </c>
      <c r="FS15" s="22">
        <f t="shared" si="183"/>
        <v>4.0161391776509108</v>
      </c>
      <c r="FT15" s="22">
        <f t="shared" si="183"/>
        <v>4.0331379551863416</v>
      </c>
      <c r="FU15" s="22">
        <f t="shared" si="183"/>
        <v>3.8095492170402205</v>
      </c>
      <c r="FV15" s="22"/>
      <c r="FW15" s="22"/>
      <c r="FX15" s="22">
        <f t="shared" ref="FX15:GB16" si="184">FX12*0.220462</f>
        <v>4.0481217089137642</v>
      </c>
      <c r="FY15" s="22">
        <f t="shared" si="184"/>
        <v>4.1705646126706784</v>
      </c>
      <c r="FZ15" s="22">
        <f t="shared" si="184"/>
        <v>4.2362274382170133</v>
      </c>
      <c r="GA15" s="22">
        <f t="shared" si="184"/>
        <v>4.2284259143897263</v>
      </c>
      <c r="GB15" s="22">
        <f t="shared" si="184"/>
        <v>4.2637330076514113</v>
      </c>
      <c r="GC15" s="22"/>
      <c r="GD15" s="22"/>
      <c r="GE15" s="22">
        <f t="shared" ref="GE15:GI15" si="185">GE12*0.220462</f>
        <v>4.2637330076514113</v>
      </c>
      <c r="GF15" s="22">
        <f t="shared" si="185"/>
        <v>4.1625667335710714</v>
      </c>
      <c r="GG15" s="22">
        <f t="shared" si="185"/>
        <v>4.2864799610968811</v>
      </c>
      <c r="GH15" s="22">
        <f t="shared" si="185"/>
        <v>4.2131333699096052</v>
      </c>
      <c r="GI15" s="22">
        <f t="shared" si="185"/>
        <v>4.015015255910046</v>
      </c>
      <c r="GJ15" s="22"/>
      <c r="GK15" s="22"/>
      <c r="GL15" s="22">
        <f t="shared" ref="GL15:GP16" si="186">GL12*0.220462</f>
        <v>4.2026889820723259</v>
      </c>
      <c r="GM15" s="22">
        <f t="shared" si="186"/>
        <v>4.2338224188439275</v>
      </c>
      <c r="GN15" s="22">
        <f t="shared" si="186"/>
        <v>4.3317961051012839</v>
      </c>
      <c r="GO15" s="22">
        <f t="shared" si="186"/>
        <v>4.4528394497286508</v>
      </c>
      <c r="GP15" s="22">
        <f t="shared" si="186"/>
        <v>4.5116247277614336</v>
      </c>
      <c r="GQ15" s="22"/>
      <c r="GR15" s="22"/>
      <c r="GS15" s="22">
        <f t="shared" ref="GS15:GW15" si="187">GS12*0.220462</f>
        <v>4.8383920681428725</v>
      </c>
      <c r="GT15" s="22">
        <f t="shared" si="187"/>
        <v>4.6970528199234032</v>
      </c>
      <c r="GU15" s="22">
        <f t="shared" si="187"/>
        <v>4.4047967338283813</v>
      </c>
      <c r="GV15" s="22">
        <f t="shared" si="187"/>
        <v>4.2813756252337711</v>
      </c>
      <c r="GW15" s="22">
        <f t="shared" si="187"/>
        <v>4.3067548981552504</v>
      </c>
      <c r="GX15" s="22"/>
      <c r="GY15" s="22"/>
      <c r="GZ15" s="22">
        <f t="shared" ref="GZ15:HD16" si="188">GZ12*0.220462</f>
        <v>4.3338658650804289</v>
      </c>
      <c r="HA15" s="22">
        <f t="shared" si="188"/>
        <v>4.3239359232001071</v>
      </c>
      <c r="HB15" s="22">
        <f t="shared" si="188"/>
        <v>4.3277528615175278</v>
      </c>
      <c r="HC15" s="22">
        <f t="shared" si="188"/>
        <v>4.2774908825863509</v>
      </c>
      <c r="HD15" s="22">
        <f t="shared" si="188"/>
        <v>4.2065508724314009</v>
      </c>
      <c r="HE15" s="22"/>
      <c r="HF15" s="22"/>
      <c r="HG15" s="22">
        <f t="shared" ref="HG15:HK16" si="189">HG12*0.220462</f>
        <v>4.1298589695611838</v>
      </c>
      <c r="HH15" s="22">
        <f t="shared" si="189"/>
        <v>4.2468485432977205</v>
      </c>
      <c r="HI15" s="22">
        <f t="shared" si="189"/>
        <v>4.3348128495025291</v>
      </c>
      <c r="HJ15" s="22">
        <f t="shared" si="189"/>
        <v>4.2590268416982466</v>
      </c>
      <c r="HK15" s="22">
        <f t="shared" si="189"/>
        <v>4.3591902677284855</v>
      </c>
      <c r="HL15" s="22"/>
      <c r="HM15" s="22"/>
      <c r="HN15" s="22">
        <f t="shared" ref="HN15:HR16" si="190">HN12*0.220462</f>
        <v>4.6266245497388168</v>
      </c>
      <c r="HO15" s="22">
        <f t="shared" si="190"/>
        <v>4.5011390431431968</v>
      </c>
      <c r="HP15" s="22">
        <f t="shared" si="190"/>
        <v>4.3222003618383535</v>
      </c>
      <c r="HQ15" s="22">
        <f t="shared" si="190"/>
        <v>4.3287166857782076</v>
      </c>
      <c r="HR15" s="22">
        <f t="shared" si="190"/>
        <v>4.3728684921779859</v>
      </c>
      <c r="HS15" s="22"/>
      <c r="HT15" s="22"/>
      <c r="HU15" s="22">
        <f t="shared" ref="HU15:HY15" si="191">HU12*0.220462</f>
        <v>4.4254281399377922</v>
      </c>
      <c r="HV15" s="22">
        <f t="shared" si="191"/>
        <v>4.4033934231316243</v>
      </c>
      <c r="HW15" s="22">
        <f t="shared" si="191"/>
        <v>4.4115702022379004</v>
      </c>
      <c r="HX15" s="22">
        <f t="shared" si="191"/>
        <v>4.4324630590013543</v>
      </c>
      <c r="HY15" s="22">
        <f t="shared" si="191"/>
        <v>4.2869205862159552</v>
      </c>
      <c r="HZ15" s="22"/>
      <c r="IA15" s="22"/>
      <c r="IB15" s="22">
        <f t="shared" ref="IB15:IF15" si="192">IB12*0.220462</f>
        <v>4.1887374349919995</v>
      </c>
      <c r="IC15" s="22">
        <f t="shared" si="192"/>
        <v>4.1790111393299929</v>
      </c>
      <c r="ID15" s="22">
        <f t="shared" si="192"/>
        <v>4.1634189747393213</v>
      </c>
      <c r="IE15" s="22">
        <f t="shared" si="192"/>
        <v>4.1942482804566206</v>
      </c>
      <c r="IF15" s="22">
        <f t="shared" si="192"/>
        <v>4.1002094263005775</v>
      </c>
      <c r="IG15" s="22"/>
      <c r="IH15" s="22"/>
      <c r="II15" s="22">
        <f t="shared" ref="II15:IM16" si="193">II12*0.220462</f>
        <v>4.0562350613378371</v>
      </c>
      <c r="IJ15" s="22">
        <f t="shared" si="193"/>
        <v>4.027786361630378</v>
      </c>
      <c r="IK15" s="22">
        <f t="shared" si="193"/>
        <v>3.9587508069837116</v>
      </c>
      <c r="IL15" s="22">
        <f t="shared" si="193"/>
        <v>3.927279403163686</v>
      </c>
      <c r="IM15" s="22">
        <f t="shared" si="193"/>
        <v>3.94932669494009</v>
      </c>
      <c r="IN15" s="22"/>
      <c r="IO15" s="22"/>
      <c r="IP15" s="22">
        <f t="shared" ref="IP15:IT15" si="194">IP12*0.220462</f>
        <v>4.0000085272646109</v>
      </c>
      <c r="IQ15" s="22">
        <f t="shared" si="194"/>
        <v>4.0000085272646109</v>
      </c>
      <c r="IR15" s="22">
        <f t="shared" si="194"/>
        <v>3.8461028903000001</v>
      </c>
      <c r="IS15" s="22">
        <f t="shared" si="194"/>
        <v>3.8107315643567241</v>
      </c>
      <c r="IT15" s="22">
        <f t="shared" si="194"/>
        <v>3.7152478395070756</v>
      </c>
      <c r="IU15" s="22"/>
      <c r="IV15" s="22"/>
      <c r="IW15" s="22">
        <f t="shared" ref="IW15:JA15" si="195">IW12*0.220462</f>
        <v>3.6893959109987748</v>
      </c>
      <c r="IX15" s="22">
        <f t="shared" si="195"/>
        <v>3.7429972940297827</v>
      </c>
      <c r="IY15" s="22">
        <f t="shared" si="195"/>
        <v>3.7557244933999994</v>
      </c>
      <c r="IZ15" s="22">
        <f t="shared" si="195"/>
        <v>3.6502399001222674</v>
      </c>
      <c r="JA15" s="22">
        <f t="shared" si="195"/>
        <v>3.7011507656422609</v>
      </c>
      <c r="JB15" s="22"/>
      <c r="JC15" s="22"/>
      <c r="JD15" s="22">
        <f t="shared" ref="JD15:JH16" si="196">JD12*0.220462</f>
        <v>3.6104137243101184</v>
      </c>
      <c r="JE15" s="22">
        <f t="shared" si="196"/>
        <v>3.6158489205514788</v>
      </c>
      <c r="JF15" s="22">
        <f t="shared" si="196"/>
        <v>3.5972581642041734</v>
      </c>
      <c r="JG15" s="22">
        <f t="shared" si="196"/>
        <v>3.5925689005209058</v>
      </c>
      <c r="JH15" s="22">
        <f t="shared" si="196"/>
        <v>3.6080733960157252</v>
      </c>
      <c r="JI15" s="22"/>
      <c r="JJ15" s="22"/>
      <c r="JK15" s="22">
        <f t="shared" ref="JK15:JO15" si="197">JK12*0.220462</f>
        <v>3.5629116909156284</v>
      </c>
      <c r="JL15" s="22">
        <f t="shared" si="197"/>
        <v>3.5501628730052848</v>
      </c>
      <c r="JM15" s="22">
        <f t="shared" si="197"/>
        <v>3.5962477285111025</v>
      </c>
      <c r="JN15" s="22">
        <f t="shared" si="197"/>
        <v>3.6488307745789297</v>
      </c>
      <c r="JO15" s="22">
        <f t="shared" si="197"/>
        <v>3.5931518046831989</v>
      </c>
      <c r="JP15" s="22"/>
      <c r="JQ15" s="22"/>
      <c r="JR15" s="22">
        <f t="shared" ref="JR15:JV16" si="198">JR12*0.220462</f>
        <v>3.5032077418349492</v>
      </c>
      <c r="JS15" s="22">
        <f t="shared" si="198"/>
        <v>3.5846253825159393</v>
      </c>
      <c r="JT15" s="22">
        <f t="shared" si="198"/>
        <v>3.6009026284917116</v>
      </c>
      <c r="JU15" s="22">
        <f t="shared" si="198"/>
        <v>3.6712095719140936</v>
      </c>
      <c r="JV15" s="22">
        <f t="shared" si="198"/>
        <v>3.6356758113287047</v>
      </c>
      <c r="JW15" s="22"/>
      <c r="JX15" s="22"/>
      <c r="JY15" s="22">
        <f t="shared" ref="JY15:KC15" si="199">JY12*0.220462</f>
        <v>3.5127123228707258</v>
      </c>
      <c r="JZ15" s="22">
        <f t="shared" si="199"/>
        <v>3.5127123228707258</v>
      </c>
      <c r="KA15" s="22">
        <f t="shared" si="199"/>
        <v>3.468506096220052</v>
      </c>
      <c r="KB15" s="22">
        <f t="shared" si="199"/>
        <v>3.468206425039714</v>
      </c>
      <c r="KC15" s="22">
        <f t="shared" si="199"/>
        <v>3.5103795818792829</v>
      </c>
      <c r="KD15" s="22"/>
      <c r="KE15" s="22"/>
      <c r="KF15" s="22">
        <f t="shared" ref="KF15:KJ16" si="200">KF12*0.220462</f>
        <v>3.5745151943518083</v>
      </c>
      <c r="KG15" s="22">
        <f t="shared" si="200"/>
        <v>3.595840099574481</v>
      </c>
      <c r="KH15" s="22">
        <f t="shared" si="200"/>
        <v>3.6642344742796555</v>
      </c>
      <c r="KI15" s="22">
        <f t="shared" si="200"/>
        <v>3.5948547686154355</v>
      </c>
      <c r="KJ15" s="22">
        <f t="shared" si="200"/>
        <v>3.5283419945492338</v>
      </c>
      <c r="KK15" s="22"/>
      <c r="KL15" s="22"/>
      <c r="KM15" s="22">
        <f t="shared" ref="KM15:KQ15" si="201">KM12*0.220462</f>
        <v>3.5688156483941853</v>
      </c>
      <c r="KN15" s="22">
        <f t="shared" si="201"/>
        <v>3.5051894403884716</v>
      </c>
      <c r="KO15" s="22">
        <f t="shared" si="201"/>
        <v>3.5294709947156293</v>
      </c>
      <c r="KP15" s="22">
        <f t="shared" si="201"/>
        <v>3.5086511455601044</v>
      </c>
      <c r="KQ15" s="22">
        <f t="shared" si="201"/>
        <v>3.5317078312546011</v>
      </c>
      <c r="KR15" s="22"/>
      <c r="KS15" s="22"/>
      <c r="KT15" s="22">
        <f t="shared" ref="KT15:KX15" si="202">KT12*0.220462</f>
        <v>3.5551917950008023</v>
      </c>
      <c r="KU15" s="22">
        <f t="shared" si="202"/>
        <v>3.5551917950008023</v>
      </c>
      <c r="KV15" s="22">
        <f t="shared" si="202"/>
        <v>3.6178451090222223</v>
      </c>
      <c r="KW15" s="22">
        <f t="shared" si="202"/>
        <v>3.5954757131779487</v>
      </c>
      <c r="KX15" s="22">
        <f t="shared" si="202"/>
        <v>3.4528805228889534</v>
      </c>
      <c r="KY15" s="22"/>
      <c r="KZ15" s="22"/>
      <c r="LA15" s="22">
        <f t="shared" ref="LA15:LE16" si="203">LA12*0.220462</f>
        <v>3.3817964694045299</v>
      </c>
      <c r="LB15" s="22">
        <f t="shared" si="203"/>
        <v>3.3520243709255486</v>
      </c>
      <c r="LC15" s="22">
        <f t="shared" si="203"/>
        <v>3.4782316097267176</v>
      </c>
      <c r="LD15" s="22">
        <f t="shared" si="203"/>
        <v>3.4685780165055622</v>
      </c>
      <c r="LE15" s="22">
        <f t="shared" si="203"/>
        <v>3.488071082381258</v>
      </c>
      <c r="LF15" s="22"/>
      <c r="LG15" s="22"/>
      <c r="LH15" s="22">
        <f t="shared" ref="LH15" si="204">LH12*0.220462</f>
        <v>3.4931724660483607</v>
      </c>
      <c r="LI15" s="22">
        <f t="shared" ref="LI15:LL15" si="205">LI12*0.220462</f>
        <v>3.4888617094279746</v>
      </c>
      <c r="LJ15" s="22">
        <f t="shared" si="205"/>
        <v>3.5859303894969101</v>
      </c>
      <c r="LK15" s="22">
        <f t="shared" si="205"/>
        <v>3.5399664045808468</v>
      </c>
      <c r="LL15" s="22">
        <f t="shared" si="205"/>
        <v>3.5831907449651914</v>
      </c>
      <c r="LM15" s="22"/>
      <c r="LN15" s="22"/>
      <c r="LO15" s="22">
        <f t="shared" ref="LO15:LS15" si="206">LO12*0.220462</f>
        <v>3.6065377694832619</v>
      </c>
      <c r="LP15" s="22">
        <f t="shared" si="206"/>
        <v>3.5512259697754334</v>
      </c>
      <c r="LQ15" s="22">
        <f t="shared" si="206"/>
        <v>3.6010904443493739</v>
      </c>
      <c r="LR15" s="22">
        <f t="shared" si="206"/>
        <v>3.6010904443493739</v>
      </c>
      <c r="LS15" s="22">
        <f t="shared" si="206"/>
        <v>3.9446894706612761</v>
      </c>
      <c r="LT15" s="22"/>
      <c r="LU15" s="22"/>
      <c r="LV15" s="22">
        <f t="shared" ref="LV15:LZ15" si="207">LV12*0.220462</f>
        <v>3.8557183116114375</v>
      </c>
      <c r="LW15" s="22">
        <f t="shared" si="207"/>
        <v>3.6472474451236923</v>
      </c>
      <c r="LX15" s="22">
        <f t="shared" si="207"/>
        <v>3.6432765714763073</v>
      </c>
      <c r="LY15" s="22">
        <f t="shared" si="207"/>
        <v>4.0622670062352801</v>
      </c>
      <c r="LZ15" s="22">
        <f t="shared" si="207"/>
        <v>3.9714646188500282</v>
      </c>
      <c r="MA15" s="22"/>
      <c r="MB15" s="22"/>
      <c r="MC15" s="22">
        <f t="shared" ref="MC15:MG15" si="208">MC12*0.220462</f>
        <v>3.8434535934985767</v>
      </c>
      <c r="MD15" s="22">
        <f t="shared" si="208"/>
        <v>3.6748982847902436</v>
      </c>
      <c r="ME15" s="22">
        <f t="shared" si="208"/>
        <v>3.5564782593947779</v>
      </c>
      <c r="MF15" s="22">
        <f t="shared" si="208"/>
        <v>3.5783195455479166</v>
      </c>
      <c r="MG15" s="22">
        <f t="shared" si="208"/>
        <v>3.4659497187810508</v>
      </c>
      <c r="MH15" s="22"/>
      <c r="MI15" s="22"/>
      <c r="MJ15" s="22">
        <f t="shared" ref="MJ15:MN15" si="209">MJ12*0.220462</f>
        <v>3.4784917206056725</v>
      </c>
      <c r="MK15" s="22">
        <f t="shared" si="209"/>
        <v>3.4299425970453727</v>
      </c>
      <c r="ML15" s="22">
        <f t="shared" si="209"/>
        <v>3.5176350764086091</v>
      </c>
      <c r="MM15" s="22">
        <f t="shared" si="209"/>
        <v>3.5406303875161291</v>
      </c>
      <c r="MN15" s="22">
        <f t="shared" si="209"/>
        <v>3.5619643998404791</v>
      </c>
      <c r="MO15" s="22"/>
      <c r="MP15" s="22"/>
      <c r="MQ15" s="22">
        <f t="shared" ref="MQ15:MU15" si="210">MQ12*0.220462</f>
        <v>3.597691475007494</v>
      </c>
      <c r="MR15" s="22">
        <f t="shared" si="210"/>
        <v>3.5411304361065148</v>
      </c>
      <c r="MS15" s="22">
        <f t="shared" si="210"/>
        <v>3.5395531219743921</v>
      </c>
      <c r="MT15" s="22">
        <f t="shared" si="210"/>
        <v>3.5062819473459461</v>
      </c>
      <c r="MU15" s="22">
        <f t="shared" si="210"/>
        <v>3.5062819473459461</v>
      </c>
      <c r="MV15" s="22"/>
      <c r="MW15" s="22"/>
      <c r="MX15" s="22">
        <f t="shared" ref="MX15:NB15" si="211">MX12*0.220462</f>
        <v>3.507366600691705</v>
      </c>
      <c r="MY15" s="22">
        <f t="shared" si="211"/>
        <v>3.4817932027593113</v>
      </c>
      <c r="MZ15" s="22">
        <f t="shared" si="211"/>
        <v>3.478250761422188</v>
      </c>
      <c r="NA15" s="22">
        <f t="shared" si="211"/>
        <v>3.4261076724061588</v>
      </c>
      <c r="NB15" s="22">
        <f t="shared" si="211"/>
        <v>3.4261076724061588</v>
      </c>
    </row>
    <row r="16" spans="1:367" x14ac:dyDescent="0.25">
      <c r="A16" s="37" t="s">
        <v>126</v>
      </c>
      <c r="B16" s="53"/>
      <c r="C16" s="53"/>
      <c r="D16" s="53"/>
      <c r="E16" s="53">
        <f>E13*0.22</f>
        <v>107.8</v>
      </c>
      <c r="F16" s="53">
        <f>F13*0.22</f>
        <v>107.8</v>
      </c>
      <c r="G16" s="53">
        <f>G13*0.22</f>
        <v>101.2</v>
      </c>
      <c r="H16" s="53">
        <f>H13*0.22</f>
        <v>112.2</v>
      </c>
      <c r="I16" s="53">
        <f>I13*0.22</f>
        <v>116.6</v>
      </c>
      <c r="J16" s="53"/>
      <c r="K16" s="53"/>
      <c r="L16" s="53">
        <f>L13*0.22</f>
        <v>118.8</v>
      </c>
      <c r="M16" s="53">
        <f>M13*0.22</f>
        <v>118.8</v>
      </c>
      <c r="N16" s="53">
        <f>N13*0.22</f>
        <v>110</v>
      </c>
      <c r="O16" s="53">
        <f>O13*0.22</f>
        <v>110</v>
      </c>
      <c r="P16" s="53">
        <f>P13*0.22</f>
        <v>110</v>
      </c>
      <c r="Q16" s="53"/>
      <c r="R16" s="53"/>
      <c r="S16" s="53">
        <f>S13*0.220462</f>
        <v>85.98017999999999</v>
      </c>
      <c r="T16" s="53">
        <f>T13*0.220462</f>
        <v>63.933979999999998</v>
      </c>
      <c r="U16" s="53">
        <f>U13*0.220462</f>
        <v>63.933979999999998</v>
      </c>
      <c r="V16" s="53">
        <f t="shared" ref="V16:W16" si="212">V13*0.220462</f>
        <v>41.887779999999999</v>
      </c>
      <c r="W16" s="53">
        <f t="shared" si="212"/>
        <v>41.887779999999999</v>
      </c>
      <c r="X16" s="40"/>
      <c r="Y16" s="40"/>
      <c r="Z16" s="40">
        <f>Z13*0.220462</f>
        <v>41.887779999999999</v>
      </c>
      <c r="AA16" s="40">
        <f>AA13*0.220462</f>
        <v>19.84158</v>
      </c>
      <c r="AB16" s="40">
        <f>AB13*0.220462</f>
        <v>19.84158</v>
      </c>
      <c r="AC16" s="40">
        <f t="shared" ref="AC16:AD16" si="213">AC13*0.220462</f>
        <v>15.43234</v>
      </c>
      <c r="AD16" s="40">
        <f t="shared" si="213"/>
        <v>55.115499999999997</v>
      </c>
      <c r="AE16" s="40"/>
      <c r="AF16" s="40"/>
      <c r="AG16" s="40">
        <f>AG13*0.220462</f>
        <v>50.70626</v>
      </c>
      <c r="AH16" s="40">
        <f>AH13*0.220462</f>
        <v>57.320119999999996</v>
      </c>
      <c r="AI16" s="40">
        <f>AI13*0.220462</f>
        <v>57.320119999999996</v>
      </c>
      <c r="AJ16" s="40">
        <f t="shared" ref="AJ16:AK16" si="214">AJ13*0.220462</f>
        <v>63.933979999999998</v>
      </c>
      <c r="AK16" s="40">
        <f t="shared" si="214"/>
        <v>52.910879999999999</v>
      </c>
      <c r="AL16" s="40"/>
      <c r="AM16" s="40"/>
      <c r="AN16" s="40">
        <f>AN13*0.220462</f>
        <v>37.478539999999995</v>
      </c>
      <c r="AO16" s="40">
        <f>AO13*0.220462</f>
        <v>26.455439999999999</v>
      </c>
      <c r="AP16" s="40">
        <f>AP13*0.220462</f>
        <v>26.455439999999999</v>
      </c>
      <c r="AQ16" s="40">
        <f t="shared" ref="AQ16:AR16" si="215">AQ13*0.220462</f>
        <v>15.43234</v>
      </c>
      <c r="AR16" s="40">
        <f t="shared" si="215"/>
        <v>19.84158</v>
      </c>
      <c r="AS16" s="40"/>
      <c r="AT16" s="40"/>
      <c r="AU16" s="53">
        <v>37.478539999999995</v>
      </c>
      <c r="AV16" s="53">
        <v>26.455439999999999</v>
      </c>
      <c r="AW16" s="40">
        <f>AW13*0.220462</f>
        <v>19.84158</v>
      </c>
      <c r="AX16" s="40">
        <f t="shared" ref="AX16:AY16" si="216">AX13*0.220462</f>
        <v>19.84158</v>
      </c>
      <c r="AY16" s="40">
        <f t="shared" si="216"/>
        <v>15.43234</v>
      </c>
      <c r="AZ16" s="40"/>
      <c r="BA16" s="40"/>
      <c r="BB16" s="40">
        <f>BB13*0.220462</f>
        <v>11.023099999999999</v>
      </c>
      <c r="BC16" s="40">
        <f>BC13*0.220462</f>
        <v>-2.2046199999999998</v>
      </c>
      <c r="BD16" s="40">
        <f>BD13*0.220462</f>
        <v>2.2046199999999998</v>
      </c>
      <c r="BE16" s="40">
        <f t="shared" ref="BE16:BF16" si="217">BE13*0.220462</f>
        <v>2.2046199999999998</v>
      </c>
      <c r="BF16" s="40">
        <f t="shared" si="217"/>
        <v>-2.2046199999999998</v>
      </c>
      <c r="BG16" s="40"/>
      <c r="BH16" s="40"/>
      <c r="BI16" s="40">
        <f>BI13*0.220462</f>
        <v>-2.2046199999999998</v>
      </c>
      <c r="BJ16" s="40">
        <f>BJ13*0.220462</f>
        <v>-2.2046199999999998</v>
      </c>
      <c r="BK16" s="40">
        <f>BK13*0.220462</f>
        <v>8.8184799999999992</v>
      </c>
      <c r="BL16" s="40">
        <f t="shared" ref="BL16:BM16" si="218">BL13*0.220462</f>
        <v>2.2046199999999998</v>
      </c>
      <c r="BM16" s="40">
        <f t="shared" si="218"/>
        <v>8.8184799999999992</v>
      </c>
      <c r="BN16" s="40"/>
      <c r="BO16" s="40"/>
      <c r="BP16" s="40">
        <f>BP13*0.220462</f>
        <v>19.84158</v>
      </c>
      <c r="BQ16" s="40">
        <f>BQ13*0.220462</f>
        <v>19.84158</v>
      </c>
      <c r="BR16" s="40">
        <f>BR13*0.220462</f>
        <v>30.86468</v>
      </c>
      <c r="BS16" s="40">
        <f t="shared" ref="BS16:BT16" si="219">BS13*0.220462</f>
        <v>19.84158</v>
      </c>
      <c r="BT16" s="40">
        <f t="shared" si="219"/>
        <v>8.8184799999999992</v>
      </c>
      <c r="BU16" s="40"/>
      <c r="BV16" s="40"/>
      <c r="BW16" s="40">
        <f>BW13*0.220462</f>
        <v>19.84158</v>
      </c>
      <c r="BX16" s="40">
        <f>BX13*0.220462</f>
        <v>19.84158</v>
      </c>
      <c r="BY16" s="40">
        <f>BY13*0.220462</f>
        <v>30.86468</v>
      </c>
      <c r="BZ16" s="40">
        <f t="shared" ref="BZ16:CA16" si="220">BZ13*0.220462</f>
        <v>30.86468</v>
      </c>
      <c r="CA16" s="40">
        <f t="shared" si="220"/>
        <v>30.86468</v>
      </c>
      <c r="CB16" s="40"/>
      <c r="CC16" s="40"/>
      <c r="CD16" s="40">
        <f>CD13*0.220462</f>
        <v>26.455439999999999</v>
      </c>
      <c r="CE16" s="40">
        <f>CE13*0.220462</f>
        <v>-19.84158</v>
      </c>
      <c r="CF16" s="40">
        <f>CF13*0.220462</f>
        <v>-19.84158</v>
      </c>
      <c r="CG16" s="40">
        <f t="shared" ref="CG16:CM16" si="221">CG13*0.220462</f>
        <v>-8.8184799999999992</v>
      </c>
      <c r="CH16" s="40">
        <f t="shared" si="221"/>
        <v>17.636959999999998</v>
      </c>
      <c r="CI16" s="40"/>
      <c r="CJ16" s="40"/>
      <c r="CK16" s="40">
        <f t="shared" si="221"/>
        <v>19.84158</v>
      </c>
      <c r="CL16" s="40">
        <f t="shared" si="221"/>
        <v>19.84158</v>
      </c>
      <c r="CM16" s="40">
        <f t="shared" si="221"/>
        <v>19.84158</v>
      </c>
      <c r="CN16" s="40">
        <f t="shared" ref="CN16" si="222">CN13*0.220462</f>
        <v>15.43234</v>
      </c>
      <c r="CO16" s="40">
        <v>15.43234</v>
      </c>
      <c r="CP16" s="40"/>
      <c r="CQ16" s="40"/>
      <c r="CR16" s="40">
        <f t="shared" si="170"/>
        <v>22.046199999999999</v>
      </c>
      <c r="CS16" s="40">
        <f>CS13*0.220462</f>
        <v>22.046199999999999</v>
      </c>
      <c r="CT16" s="40">
        <f>CT13*0.220462</f>
        <v>37.478539999999995</v>
      </c>
      <c r="CU16" s="40">
        <f t="shared" ref="CU16" si="223">CU13*0.220462</f>
        <v>13.22772</v>
      </c>
      <c r="CV16" s="40">
        <f t="shared" ref="CV16" si="224">CV13*0.220462</f>
        <v>13.22772</v>
      </c>
      <c r="CW16" s="40"/>
      <c r="CX16" s="40"/>
      <c r="CY16" s="40">
        <f t="shared" ref="CY16" si="225">CY13*0.220462</f>
        <v>13.22772</v>
      </c>
      <c r="CZ16" s="40">
        <f>CZ13*0.220462</f>
        <v>0</v>
      </c>
      <c r="DA16" s="40">
        <f>DA13*0.220462</f>
        <v>0</v>
      </c>
      <c r="DB16" s="40">
        <f t="shared" si="172"/>
        <v>2.2046199999999998</v>
      </c>
      <c r="DC16" s="40">
        <f t="shared" si="172"/>
        <v>-17.636959999999998</v>
      </c>
      <c r="DD16" s="40"/>
      <c r="DE16" s="40"/>
      <c r="DF16" s="40">
        <f t="shared" si="173"/>
        <v>-24.250819999999997</v>
      </c>
      <c r="DG16" s="40">
        <f>DG13*0.220462</f>
        <v>-57.320119999999996</v>
      </c>
      <c r="DH16" s="40">
        <f>DH13*0.220462</f>
        <v>-57.320119999999996</v>
      </c>
      <c r="DI16" s="40">
        <f t="shared" ref="DI16:DJ16" si="226">DI13*0.220462</f>
        <v>-88.184799999999996</v>
      </c>
      <c r="DJ16" s="40">
        <f t="shared" si="226"/>
        <v>-101.41252</v>
      </c>
      <c r="DK16" s="40"/>
      <c r="DL16" s="40"/>
      <c r="DM16" s="40">
        <f t="shared" ref="DM16" si="227">DM13*0.220462</f>
        <v>-134.48182</v>
      </c>
      <c r="DN16" s="40">
        <f>DN13*0.220462</f>
        <v>-134.48182</v>
      </c>
      <c r="DO16" s="40">
        <f>DO13*0.220462</f>
        <v>-74.957079999999991</v>
      </c>
      <c r="DP16" s="40">
        <f t="shared" ref="DP16:DQ16" si="228">DP13*0.220462</f>
        <v>-74.957079999999991</v>
      </c>
      <c r="DQ16" s="40">
        <f t="shared" si="228"/>
        <v>-123.45872</v>
      </c>
      <c r="DR16" s="40"/>
      <c r="DS16" s="40"/>
      <c r="DT16" s="40">
        <f t="shared" ref="DT16" si="229">DT13*0.220462</f>
        <v>-123.45872</v>
      </c>
      <c r="DU16" s="40">
        <f>DU13*0.220462</f>
        <v>-167.55112</v>
      </c>
      <c r="DV16" s="40">
        <f>DV13*0.220462</f>
        <v>-167.55112</v>
      </c>
      <c r="DW16" s="40">
        <f t="shared" ref="DW16:DX16" si="230">DW13*0.220462</f>
        <v>-156.52802</v>
      </c>
      <c r="DX16" s="40">
        <f t="shared" si="230"/>
        <v>-101.41252</v>
      </c>
      <c r="DY16" s="40"/>
      <c r="DZ16" s="40"/>
      <c r="EA16" s="40">
        <f t="shared" si="177"/>
        <v>-101.41252</v>
      </c>
      <c r="EB16" s="40">
        <f>EB13*0.220462</f>
        <v>-97.00327999999999</v>
      </c>
      <c r="EC16" s="40">
        <f>EC13*0.220462</f>
        <v>-123.45872</v>
      </c>
      <c r="ED16" s="40">
        <f t="shared" ref="ED16:EE16" si="231">ED13*0.220462</f>
        <v>-123.45872</v>
      </c>
      <c r="EE16" s="40">
        <f t="shared" si="231"/>
        <v>-123.45872</v>
      </c>
      <c r="EF16" s="40"/>
      <c r="EG16" s="40"/>
      <c r="EH16" s="40">
        <f t="shared" ref="EH16" si="232">EH13*0.220462</f>
        <v>-123.45872</v>
      </c>
      <c r="EI16" s="40">
        <f>EI13*0.220462</f>
        <v>-123.45872</v>
      </c>
      <c r="EJ16" s="40">
        <f>EJ13*0.220462</f>
        <v>-123.45872</v>
      </c>
      <c r="EK16" s="40">
        <f t="shared" ref="EK16:EL16" si="233">EK13*0.220462</f>
        <v>-123.45872</v>
      </c>
      <c r="EL16" s="40">
        <f t="shared" si="233"/>
        <v>-90.389420000000001</v>
      </c>
      <c r="EM16" s="40"/>
      <c r="EN16" s="40"/>
      <c r="EO16" s="40">
        <f t="shared" si="179"/>
        <v>-90.389420000000001</v>
      </c>
      <c r="EP16" s="40">
        <f>EP13*0.220462</f>
        <v>-145.50492</v>
      </c>
      <c r="EQ16" s="40">
        <f>EQ13*0.220462</f>
        <v>-145.50492</v>
      </c>
      <c r="ER16" s="40">
        <f t="shared" ref="ER16:ES16" si="234">ER13*0.220462</f>
        <v>-134.48182</v>
      </c>
      <c r="ES16" s="40">
        <f t="shared" si="234"/>
        <v>-178.57422</v>
      </c>
      <c r="ET16" s="40"/>
      <c r="EU16" s="40"/>
      <c r="EV16" s="40">
        <f t="shared" si="180"/>
        <v>-178.57422</v>
      </c>
      <c r="EW16" s="40">
        <f>EW13*0.220462</f>
        <v>-222.66661999999999</v>
      </c>
      <c r="EX16" s="40">
        <f>EX13*0.220462</f>
        <v>-227.07585999999998</v>
      </c>
      <c r="EY16" s="40">
        <v>-227.07585999999998</v>
      </c>
      <c r="EZ16" s="40">
        <f t="shared" ref="EZ16" si="235">EZ13*0.220462</f>
        <v>-277.78211999999996</v>
      </c>
      <c r="FA16" s="40"/>
      <c r="FB16" s="40"/>
      <c r="FC16" s="40">
        <f t="shared" ref="FC16" si="236">FC13*0.220462</f>
        <v>-277.78211999999996</v>
      </c>
      <c r="FD16" s="40">
        <f>FD13*0.220462</f>
        <v>-288.80521999999996</v>
      </c>
      <c r="FE16" s="40">
        <f>FE13*0.220462</f>
        <v>-332.89761999999996</v>
      </c>
      <c r="FF16" s="40">
        <f t="shared" ref="FF16:FG16" si="237">FF13*0.220462</f>
        <v>-388.01311999999996</v>
      </c>
      <c r="FG16" s="40">
        <f t="shared" si="237"/>
        <v>-332.89761999999996</v>
      </c>
      <c r="FH16" s="40"/>
      <c r="FI16" s="40"/>
      <c r="FJ16" s="40">
        <f t="shared" si="182"/>
        <v>-332.89761999999996</v>
      </c>
      <c r="FK16" s="40">
        <f>FK13*0.220462</f>
        <v>-310.85141999999996</v>
      </c>
      <c r="FL16" s="40">
        <f>FL13*0.220462</f>
        <v>-310.85141999999996</v>
      </c>
      <c r="FM16" s="40">
        <f t="shared" ref="FM16:FN16" si="238">FM13*0.220462</f>
        <v>-244.71281999999999</v>
      </c>
      <c r="FN16" s="40">
        <f t="shared" si="238"/>
        <v>-233.68971999999999</v>
      </c>
      <c r="FO16" s="40"/>
      <c r="FP16" s="40"/>
      <c r="FQ16" s="40">
        <f t="shared" ref="FQ16" si="239">FQ13*0.220462</f>
        <v>-244.71281999999999</v>
      </c>
      <c r="FR16" s="40">
        <f>FR13*0.220462</f>
        <v>-244.71281999999999</v>
      </c>
      <c r="FS16" s="40">
        <f>FS13*0.220462</f>
        <v>-244.71281999999999</v>
      </c>
      <c r="FT16" s="40">
        <f t="shared" ref="FT16:FU16" si="240">FT13*0.220462</f>
        <v>-244.71281999999999</v>
      </c>
      <c r="FU16" s="40">
        <f t="shared" si="240"/>
        <v>-244.71281999999999</v>
      </c>
      <c r="FV16" s="40"/>
      <c r="FW16" s="40"/>
      <c r="FX16" s="40">
        <f t="shared" si="184"/>
        <v>-244.71281999999999</v>
      </c>
      <c r="FY16" s="40">
        <f>FY13*0.220462</f>
        <v>-244.71281999999999</v>
      </c>
      <c r="FZ16" s="40">
        <f>FZ13*0.220462</f>
        <v>-288.80521999999996</v>
      </c>
      <c r="GA16" s="40">
        <f t="shared" ref="GA16:GB16" si="241">GA13*0.220462</f>
        <v>-288.80521999999996</v>
      </c>
      <c r="GB16" s="40">
        <f t="shared" si="241"/>
        <v>-277.78211999999996</v>
      </c>
      <c r="GC16" s="40"/>
      <c r="GD16" s="40"/>
      <c r="GE16" s="40">
        <f t="shared" ref="GE16" si="242">GE13*0.220462</f>
        <v>-255.73591999999999</v>
      </c>
      <c r="GF16" s="40">
        <f>GF13*0.220462</f>
        <v>-198.41579999999999</v>
      </c>
      <c r="GG16" s="40">
        <f>GG13*0.220462</f>
        <v>-154.32339999999999</v>
      </c>
      <c r="GH16" s="40">
        <f t="shared" ref="GH16:GI16" si="243">GH13*0.220462</f>
        <v>-176.36959999999999</v>
      </c>
      <c r="GI16" s="40">
        <f t="shared" si="243"/>
        <v>-176.36959999999999</v>
      </c>
      <c r="GJ16" s="40"/>
      <c r="GK16" s="40"/>
      <c r="GL16" s="40">
        <f t="shared" si="186"/>
        <v>-220.46199999999999</v>
      </c>
      <c r="GM16" s="40">
        <f>GM13*0.220462</f>
        <v>-220.46199999999999</v>
      </c>
      <c r="GN16" s="40">
        <f>GN13*0.220462</f>
        <v>-220.46199999999999</v>
      </c>
      <c r="GO16" s="40">
        <f t="shared" ref="GO16:GP16" si="244">GO13*0.220462</f>
        <v>-202.82504</v>
      </c>
      <c r="GP16" s="40">
        <f t="shared" si="244"/>
        <v>-209.43889999999999</v>
      </c>
      <c r="GQ16" s="40"/>
      <c r="GR16" s="40"/>
      <c r="GS16" s="40">
        <f t="shared" ref="GS16" si="245">GS13*0.220462</f>
        <v>-216.05275999999998</v>
      </c>
      <c r="GT16" s="40">
        <f>GT13*0.220462</f>
        <v>-216.05275999999998</v>
      </c>
      <c r="GU16" s="40">
        <f>GU13*0.220462</f>
        <v>-216.05275999999998</v>
      </c>
      <c r="GV16" s="40">
        <f t="shared" ref="GV16:GW16" si="246">GV13*0.220462</f>
        <v>-171.96035999999998</v>
      </c>
      <c r="GW16" s="40">
        <f t="shared" si="246"/>
        <v>-154.32339999999999</v>
      </c>
      <c r="GX16" s="40"/>
      <c r="GY16" s="40"/>
      <c r="GZ16" s="40">
        <f t="shared" si="188"/>
        <v>-154.32339999999999</v>
      </c>
      <c r="HA16" s="40">
        <f>HA13*0.220462</f>
        <v>-163.14187999999999</v>
      </c>
      <c r="HB16" s="40">
        <f>HB13*0.220462</f>
        <v>-116.84486</v>
      </c>
      <c r="HC16" s="40">
        <f t="shared" ref="HC16:HD16" si="247">HC13*0.220462</f>
        <v>-132.27719999999999</v>
      </c>
      <c r="HD16" s="40">
        <f t="shared" si="247"/>
        <v>-132.27719999999999</v>
      </c>
      <c r="HE16" s="40"/>
      <c r="HF16" s="40"/>
      <c r="HG16" s="40">
        <f t="shared" si="189"/>
        <v>-132.27719999999999</v>
      </c>
      <c r="HH16" s="40">
        <f>HH13*0.220462</f>
        <v>-121.25409999999999</v>
      </c>
      <c r="HI16" s="40">
        <f>HI13*0.220462</f>
        <v>-110.23099999999999</v>
      </c>
      <c r="HJ16" s="40">
        <f t="shared" ref="HJ16:HK16" si="248">HJ13*0.220462</f>
        <v>-110.23099999999999</v>
      </c>
      <c r="HK16" s="40">
        <f t="shared" si="248"/>
        <v>-110.23099999999999</v>
      </c>
      <c r="HL16" s="40"/>
      <c r="HM16" s="40"/>
      <c r="HN16" s="40">
        <f t="shared" si="190"/>
        <v>-99.207899999999995</v>
      </c>
      <c r="HO16" s="40">
        <f>HO13*0.220462</f>
        <v>-110.23099999999999</v>
      </c>
      <c r="HP16" s="40">
        <f>HP13*0.220462</f>
        <v>-110.23099999999999</v>
      </c>
      <c r="HQ16" s="40">
        <f t="shared" ref="HQ16:HR16" si="249">HQ13*0.220462</f>
        <v>-121.25409999999999</v>
      </c>
      <c r="HR16" s="40">
        <f t="shared" si="249"/>
        <v>-110.23099999999999</v>
      </c>
      <c r="HS16" s="40"/>
      <c r="HT16" s="40"/>
      <c r="HU16" s="40">
        <f t="shared" ref="HU16" si="250">HU13*0.220462</f>
        <v>-99.207899999999995</v>
      </c>
      <c r="HV16" s="40">
        <f>HV13*0.220462</f>
        <v>-77.161699999999996</v>
      </c>
      <c r="HW16" s="40">
        <f>HW13*0.220462</f>
        <v>-33.069299999999998</v>
      </c>
      <c r="HX16" s="40">
        <f t="shared" ref="HX16:HY16" si="251">HX13*0.220462</f>
        <v>-13.22772</v>
      </c>
      <c r="HY16" s="40">
        <f t="shared" si="251"/>
        <v>-11.023099999999999</v>
      </c>
      <c r="HZ16" s="40"/>
      <c r="IA16" s="40"/>
      <c r="IB16" s="40">
        <f>IB13*0.220462</f>
        <v>0</v>
      </c>
      <c r="IC16" s="40">
        <f>IC13*0.220462</f>
        <v>-11.023099999999999</v>
      </c>
      <c r="ID16" s="40">
        <f>ID13*0.220462</f>
        <v>-22.046199999999999</v>
      </c>
      <c r="IE16" s="40">
        <f t="shared" ref="IE16:IF16" si="252">IE13*0.220462</f>
        <v>-33.069299999999998</v>
      </c>
      <c r="IF16" s="40">
        <f t="shared" si="252"/>
        <v>-11.023099999999999</v>
      </c>
      <c r="IG16" s="40"/>
      <c r="IH16" s="40"/>
      <c r="II16" s="40">
        <f t="shared" si="193"/>
        <v>-13.22772</v>
      </c>
      <c r="IJ16" s="40">
        <f>IJ13*0.220462</f>
        <v>-4.4092399999999996</v>
      </c>
      <c r="IK16" s="40">
        <f>IK13*0.220462</f>
        <v>17.636959999999998</v>
      </c>
      <c r="IL16" s="40">
        <f t="shared" ref="IL16:IM16" si="253">IL13*0.220462</f>
        <v>15.43234</v>
      </c>
      <c r="IM16" s="40">
        <f t="shared" si="253"/>
        <v>11.023099999999999</v>
      </c>
      <c r="IN16" s="40"/>
      <c r="IO16" s="40"/>
      <c r="IP16" s="40">
        <f t="shared" ref="IP16" si="254">IP13*0.220462</f>
        <v>11.023099999999999</v>
      </c>
      <c r="IQ16" s="40">
        <f>IQ13*0.220462</f>
        <v>11.023099999999999</v>
      </c>
      <c r="IR16" s="40">
        <f>IR13*0.220462</f>
        <v>26.455439999999999</v>
      </c>
      <c r="IS16" s="40">
        <f t="shared" ref="IS16:IT16" si="255">IS13*0.220462</f>
        <v>37.478539999999995</v>
      </c>
      <c r="IT16" s="40">
        <f t="shared" si="255"/>
        <v>33.069299999999998</v>
      </c>
      <c r="IU16" s="40"/>
      <c r="IV16" s="40"/>
      <c r="IW16" s="40">
        <f t="shared" ref="IW16" si="256">IW13*0.220462</f>
        <v>66.138599999999997</v>
      </c>
      <c r="IX16" s="40">
        <f>IX13*0.220462</f>
        <v>66.138599999999997</v>
      </c>
      <c r="IY16" s="40">
        <f>IY13*0.220462</f>
        <v>66.138599999999997</v>
      </c>
      <c r="IZ16" s="40">
        <f t="shared" ref="IZ16:JA16" si="257">IZ13*0.220462</f>
        <v>44.092399999999998</v>
      </c>
      <c r="JA16" s="40">
        <f t="shared" si="257"/>
        <v>46.297019999999996</v>
      </c>
      <c r="JB16" s="40"/>
      <c r="JC16" s="40"/>
      <c r="JD16" s="40">
        <f t="shared" si="196"/>
        <v>48.501639999999995</v>
      </c>
      <c r="JE16" s="40">
        <f>JE13*0.220462</f>
        <v>57.320119999999996</v>
      </c>
      <c r="JF16" s="40">
        <f>JF13*0.220462</f>
        <v>57.320119999999996</v>
      </c>
      <c r="JG16" s="40">
        <f t="shared" ref="JG16:JH16" si="258">JG13*0.220462</f>
        <v>57.320119999999996</v>
      </c>
      <c r="JH16" s="40">
        <f t="shared" si="258"/>
        <v>48.501639999999995</v>
      </c>
      <c r="JI16" s="40"/>
      <c r="JJ16" s="40"/>
      <c r="JK16" s="40">
        <f t="shared" ref="JK16" si="259">JK13*0.220462</f>
        <v>33.069299999999998</v>
      </c>
      <c r="JL16" s="40">
        <f>JL13*0.220462</f>
        <v>22.046199999999999</v>
      </c>
      <c r="JM16" s="40">
        <f>JM13*0.220462</f>
        <v>22.046199999999999</v>
      </c>
      <c r="JN16" s="40">
        <f t="shared" ref="JN16:JO16" si="260">JN13*0.220462</f>
        <v>22.046199999999999</v>
      </c>
      <c r="JO16" s="40">
        <f t="shared" si="260"/>
        <v>26.455439999999999</v>
      </c>
      <c r="JP16" s="40"/>
      <c r="JQ16" s="40"/>
      <c r="JR16" s="40">
        <f t="shared" si="198"/>
        <v>26.455439999999999</v>
      </c>
      <c r="JS16" s="40">
        <f>JS13*0.220462</f>
        <v>26.455439999999999</v>
      </c>
      <c r="JT16" s="40">
        <f>JT13*0.220462</f>
        <v>0</v>
      </c>
      <c r="JU16" s="40">
        <f t="shared" ref="JU16:JV16" si="261">JU13*0.220462</f>
        <v>0</v>
      </c>
      <c r="JV16" s="40">
        <f t="shared" si="261"/>
        <v>0</v>
      </c>
      <c r="JW16" s="40"/>
      <c r="JX16" s="40"/>
      <c r="JY16" s="40">
        <f t="shared" ref="JY16" si="262">JY13*0.220462</f>
        <v>44.092399999999998</v>
      </c>
      <c r="JZ16" s="40">
        <f>JZ13*0.220462</f>
        <v>44.092399999999998</v>
      </c>
      <c r="KA16" s="40">
        <f>KA13*0.220462</f>
        <v>59.524739999999994</v>
      </c>
      <c r="KB16" s="40">
        <f t="shared" ref="KB16:KC16" si="263">KB13*0.220462</f>
        <v>41.887779999999999</v>
      </c>
      <c r="KC16" s="40">
        <f t="shared" si="263"/>
        <v>48.501639999999995</v>
      </c>
      <c r="KD16" s="40"/>
      <c r="KE16" s="40"/>
      <c r="KF16" s="40">
        <f t="shared" si="200"/>
        <v>48.501639999999995</v>
      </c>
      <c r="KG16" s="40">
        <f>KG13*0.220462</f>
        <v>39.683160000000001</v>
      </c>
      <c r="KH16" s="40">
        <f>KH13*0.220462</f>
        <v>13.22772</v>
      </c>
      <c r="KI16" s="40">
        <f t="shared" ref="KI16:KJ16" si="264">KI13*0.220462</f>
        <v>11.023099999999999</v>
      </c>
      <c r="KJ16" s="40">
        <f t="shared" si="264"/>
        <v>11.023099999999999</v>
      </c>
      <c r="KK16" s="40"/>
      <c r="KL16" s="40"/>
      <c r="KM16" s="40">
        <f t="shared" ref="KM16" si="265">KM13*0.220462</f>
        <v>17.636959999999998</v>
      </c>
      <c r="KN16" s="40">
        <f>KN13*0.220462</f>
        <v>17.636959999999998</v>
      </c>
      <c r="KO16" s="40">
        <f>KO13*0.220462</f>
        <v>44.092399999999998</v>
      </c>
      <c r="KP16" s="40">
        <f t="shared" ref="KP16:KQ16" si="266">KP13*0.220462</f>
        <v>44.092399999999998</v>
      </c>
      <c r="KQ16" s="40">
        <f t="shared" si="266"/>
        <v>48.501639999999995</v>
      </c>
      <c r="KR16" s="40"/>
      <c r="KS16" s="40"/>
      <c r="KT16" s="40">
        <f t="shared" ref="KT16" si="267">KT13*0.220462</f>
        <v>55.115499999999997</v>
      </c>
      <c r="KU16" s="40">
        <f>KU13*0.220462</f>
        <v>55.115499999999997</v>
      </c>
      <c r="KV16" s="40">
        <f>KV13*0.220462</f>
        <v>59.524739999999994</v>
      </c>
      <c r="KW16" s="40">
        <f t="shared" ref="KW16:KX16" si="268">KW13*0.220462</f>
        <v>61.72936</v>
      </c>
      <c r="KX16" s="40">
        <f t="shared" si="268"/>
        <v>61.72936</v>
      </c>
      <c r="KY16" s="40"/>
      <c r="KZ16" s="40"/>
      <c r="LA16" s="40">
        <f t="shared" si="203"/>
        <v>61.72936</v>
      </c>
      <c r="LB16" s="40">
        <f>LB13*0.220462</f>
        <v>59.524739999999994</v>
      </c>
      <c r="LC16" s="40">
        <f>LC13*0.220462</f>
        <v>66.138599999999997</v>
      </c>
      <c r="LD16" s="40">
        <f t="shared" ref="LD16:LE16" si="269">LD13*0.220462</f>
        <v>37.478539999999995</v>
      </c>
      <c r="LE16" s="40">
        <f t="shared" si="269"/>
        <v>37.478539999999995</v>
      </c>
      <c r="LF16" s="40"/>
      <c r="LG16" s="40"/>
      <c r="LH16" s="40">
        <f t="shared" ref="LH16" si="270">LH13*0.220462</f>
        <v>37.478539999999995</v>
      </c>
      <c r="LI16" s="40">
        <f>LI13*0.220462</f>
        <v>72.752459999999999</v>
      </c>
      <c r="LJ16" s="40">
        <f>LJ13*0.220462</f>
        <v>66.138599999999997</v>
      </c>
      <c r="LK16" s="40">
        <f t="shared" ref="LK16:LL16" si="271">LK13*0.220462</f>
        <v>66.138599999999997</v>
      </c>
      <c r="LL16" s="40">
        <f t="shared" si="271"/>
        <v>77.161699999999996</v>
      </c>
      <c r="LM16" s="40"/>
      <c r="LN16" s="40"/>
      <c r="LO16" s="40">
        <f t="shared" ref="LO16" si="272">LO13*0.220462</f>
        <v>88.184799999999996</v>
      </c>
      <c r="LP16" s="40">
        <f>LP13*0.220462</f>
        <v>88.184799999999996</v>
      </c>
      <c r="LQ16" s="40">
        <f>LQ13*0.220462</f>
        <v>77.161699999999996</v>
      </c>
      <c r="LR16" s="40">
        <f t="shared" ref="LR16:LS16" si="273">LR13*0.220462</f>
        <v>77.161699999999996</v>
      </c>
      <c r="LS16" s="40">
        <f t="shared" si="273"/>
        <v>88.184799999999996</v>
      </c>
      <c r="LT16" s="40"/>
      <c r="LU16" s="40"/>
      <c r="LV16" s="40">
        <f t="shared" ref="LV16" si="274">LV13*0.220462</f>
        <v>88.184799999999996</v>
      </c>
      <c r="LW16" s="40">
        <f>LW13*0.220462</f>
        <v>70.547839999999994</v>
      </c>
      <c r="LX16" s="40">
        <f>LX13*0.220462</f>
        <v>70.547839999999994</v>
      </c>
      <c r="LY16" s="40">
        <f t="shared" ref="LY16:LZ16" si="275">LY13*0.220462</f>
        <v>66.138599999999997</v>
      </c>
      <c r="LZ16" s="40">
        <f t="shared" si="275"/>
        <v>88.184799999999996</v>
      </c>
      <c r="MA16" s="40"/>
      <c r="MB16" s="40"/>
      <c r="MC16" s="40">
        <f t="shared" ref="MC16" si="276">MC13*0.220462</f>
        <v>88.184799999999996</v>
      </c>
      <c r="MD16" s="40">
        <f>MD13*0.220462</f>
        <v>88.184799999999996</v>
      </c>
      <c r="ME16" s="40">
        <f>ME13*0.220462</f>
        <v>88.184799999999996</v>
      </c>
      <c r="MF16" s="40">
        <f t="shared" ref="MF16:MG16" si="277">MF13*0.220462</f>
        <v>110.23099999999999</v>
      </c>
      <c r="MG16" s="40">
        <f t="shared" si="277"/>
        <v>121.25409999999999</v>
      </c>
      <c r="MH16" s="40"/>
      <c r="MI16" s="40"/>
      <c r="MJ16" s="40">
        <f t="shared" ref="MJ16" si="278">MJ13*0.220462</f>
        <v>143.30029999999999</v>
      </c>
      <c r="MK16" s="40">
        <f>MK13*0.220462</f>
        <v>165.34649999999999</v>
      </c>
      <c r="ML16" s="40">
        <f>ML13*0.220462</f>
        <v>176.36959999999999</v>
      </c>
      <c r="MM16" s="40">
        <f t="shared" ref="MM16:MN16" si="279">MM13*0.220462</f>
        <v>165.34649999999999</v>
      </c>
      <c r="MN16" s="40">
        <f t="shared" si="279"/>
        <v>154.32339999999999</v>
      </c>
      <c r="MO16" s="40"/>
      <c r="MP16" s="40"/>
      <c r="MQ16" s="40">
        <f t="shared" ref="MQ16" si="280">MQ13*0.220462</f>
        <v>110.23099999999999</v>
      </c>
      <c r="MR16" s="40">
        <f>MR13*0.220462</f>
        <v>101.41252</v>
      </c>
      <c r="MS16" s="40">
        <f>MS13*0.220462</f>
        <v>77.161699999999996</v>
      </c>
      <c r="MT16" s="40">
        <f t="shared" ref="MT16:MU16" si="281">MT13*0.220462</f>
        <v>77.161699999999996</v>
      </c>
      <c r="MU16" s="40">
        <f t="shared" si="281"/>
        <v>77.161699999999996</v>
      </c>
      <c r="MV16" s="40"/>
      <c r="MW16" s="40"/>
      <c r="MX16" s="40">
        <f t="shared" ref="MX16" si="282">MX13*0.220462</f>
        <v>99.207899999999995</v>
      </c>
      <c r="MY16" s="40">
        <f>MY13*0.220462</f>
        <v>88.184799999999996</v>
      </c>
      <c r="MZ16" s="40">
        <f>MZ13*0.220462</f>
        <v>88.184799999999996</v>
      </c>
      <c r="NA16" s="40">
        <f t="shared" ref="NA16:NB16" si="283">NA13*0.220462</f>
        <v>88.184799999999996</v>
      </c>
      <c r="NB16" s="40">
        <f t="shared" si="283"/>
        <v>88.184799999999996</v>
      </c>
    </row>
    <row r="17" spans="1:367" x14ac:dyDescent="0.25">
      <c r="A17" s="20" t="s">
        <v>83</v>
      </c>
      <c r="B17" s="97"/>
      <c r="C17" s="97"/>
      <c r="D17" s="97"/>
      <c r="E17" s="97">
        <v>500</v>
      </c>
      <c r="F17" s="97">
        <v>500</v>
      </c>
      <c r="G17" s="97">
        <v>470</v>
      </c>
      <c r="H17" s="97">
        <v>520</v>
      </c>
      <c r="I17" s="97">
        <v>540</v>
      </c>
      <c r="J17" s="97"/>
      <c r="K17" s="97"/>
      <c r="L17" s="97">
        <v>550</v>
      </c>
      <c r="M17" s="97">
        <v>550</v>
      </c>
      <c r="N17" s="97">
        <v>510</v>
      </c>
      <c r="O17" s="97">
        <v>510</v>
      </c>
      <c r="P17" s="97">
        <v>510</v>
      </c>
      <c r="Q17" s="97"/>
      <c r="R17" s="97"/>
      <c r="S17" s="97">
        <v>400</v>
      </c>
      <c r="T17" s="97">
        <v>300</v>
      </c>
      <c r="U17" s="21">
        <v>300</v>
      </c>
      <c r="V17" s="21">
        <v>200</v>
      </c>
      <c r="W17" s="21">
        <v>200</v>
      </c>
      <c r="X17" s="21"/>
      <c r="Y17" s="21"/>
      <c r="Z17" s="21">
        <v>200</v>
      </c>
      <c r="AA17" s="21">
        <v>100</v>
      </c>
      <c r="AB17" s="21">
        <v>100</v>
      </c>
      <c r="AC17" s="21">
        <v>80</v>
      </c>
      <c r="AD17" s="21">
        <v>260</v>
      </c>
      <c r="AE17" s="21"/>
      <c r="AF17" s="21"/>
      <c r="AG17" s="21">
        <v>240</v>
      </c>
      <c r="AH17" s="21">
        <v>270</v>
      </c>
      <c r="AI17" s="21">
        <v>270</v>
      </c>
      <c r="AJ17" s="21">
        <v>300</v>
      </c>
      <c r="AK17" s="21">
        <v>250</v>
      </c>
      <c r="AL17" s="21"/>
      <c r="AM17" s="21"/>
      <c r="AN17" s="21">
        <v>180</v>
      </c>
      <c r="AO17" s="21">
        <v>130</v>
      </c>
      <c r="AP17" s="21">
        <v>130</v>
      </c>
      <c r="AQ17" s="21">
        <v>80</v>
      </c>
      <c r="AR17" s="21">
        <v>100</v>
      </c>
      <c r="AS17" s="21"/>
      <c r="AT17" s="21"/>
      <c r="AU17" s="97">
        <v>180</v>
      </c>
      <c r="AV17" s="97">
        <v>130</v>
      </c>
      <c r="AW17" s="21">
        <v>100</v>
      </c>
      <c r="AX17" s="21">
        <v>100</v>
      </c>
      <c r="AY17" s="21">
        <v>80</v>
      </c>
      <c r="AZ17" s="21"/>
      <c r="BA17" s="21"/>
      <c r="BB17" s="21">
        <v>60</v>
      </c>
      <c r="BC17" s="21">
        <v>0</v>
      </c>
      <c r="BD17" s="21">
        <v>20</v>
      </c>
      <c r="BE17" s="21">
        <v>20</v>
      </c>
      <c r="BF17" s="21">
        <v>0</v>
      </c>
      <c r="BG17" s="21"/>
      <c r="BH17" s="21"/>
      <c r="BI17" s="21">
        <v>0</v>
      </c>
      <c r="BJ17" s="21">
        <v>0</v>
      </c>
      <c r="BK17" s="21">
        <v>50</v>
      </c>
      <c r="BL17" s="21">
        <v>20</v>
      </c>
      <c r="BM17" s="21">
        <v>50</v>
      </c>
      <c r="BN17" s="21"/>
      <c r="BO17" s="21"/>
      <c r="BP17" s="21">
        <v>100</v>
      </c>
      <c r="BQ17" s="21">
        <v>100</v>
      </c>
      <c r="BR17" s="21">
        <v>150</v>
      </c>
      <c r="BS17" s="21">
        <v>100</v>
      </c>
      <c r="BT17" s="21">
        <v>50</v>
      </c>
      <c r="BU17" s="21"/>
      <c r="BV17" s="21"/>
      <c r="BW17" s="21">
        <v>100</v>
      </c>
      <c r="BX17" s="21">
        <v>100</v>
      </c>
      <c r="BY17" s="21">
        <v>150</v>
      </c>
      <c r="BZ17" s="21">
        <v>150</v>
      </c>
      <c r="CA17" s="21">
        <v>150</v>
      </c>
      <c r="CB17" s="21"/>
      <c r="CC17" s="21"/>
      <c r="CD17" s="21">
        <v>130</v>
      </c>
      <c r="CE17" s="21">
        <v>-80</v>
      </c>
      <c r="CF17" s="21">
        <v>-80</v>
      </c>
      <c r="CG17" s="21">
        <v>-30</v>
      </c>
      <c r="CH17" s="21">
        <v>90</v>
      </c>
      <c r="CI17" s="21"/>
      <c r="CJ17" s="21"/>
      <c r="CK17" s="21">
        <v>100</v>
      </c>
      <c r="CL17" s="21">
        <v>100</v>
      </c>
      <c r="CM17" s="21">
        <v>100</v>
      </c>
      <c r="CN17" s="21">
        <v>80</v>
      </c>
      <c r="CO17" s="21">
        <v>80</v>
      </c>
      <c r="CP17" s="21"/>
      <c r="CQ17" s="21"/>
      <c r="CR17" s="21">
        <v>110</v>
      </c>
      <c r="CS17" s="21">
        <v>110</v>
      </c>
      <c r="CT17" s="21">
        <v>180</v>
      </c>
      <c r="CU17" s="21">
        <v>70</v>
      </c>
      <c r="CV17" s="21">
        <v>70</v>
      </c>
      <c r="CW17" s="21"/>
      <c r="CX17" s="21"/>
      <c r="CY17" s="21">
        <v>70</v>
      </c>
      <c r="CZ17" s="21">
        <v>10</v>
      </c>
      <c r="DA17" s="21">
        <v>10</v>
      </c>
      <c r="DB17" s="21">
        <v>20</v>
      </c>
      <c r="DC17" s="21">
        <v>-70</v>
      </c>
      <c r="DD17" s="21"/>
      <c r="DE17" s="21"/>
      <c r="DF17" s="21">
        <v>-100</v>
      </c>
      <c r="DG17" s="21">
        <v>-250</v>
      </c>
      <c r="DH17" s="21">
        <v>-250</v>
      </c>
      <c r="DI17" s="21">
        <v>-390</v>
      </c>
      <c r="DJ17" s="21">
        <v>-450</v>
      </c>
      <c r="DK17" s="21"/>
      <c r="DL17" s="21"/>
      <c r="DM17" s="21">
        <v>-600</v>
      </c>
      <c r="DN17" s="21">
        <v>-600</v>
      </c>
      <c r="DO17" s="21">
        <v>-330</v>
      </c>
      <c r="DP17" s="21">
        <v>-330</v>
      </c>
      <c r="DQ17" s="21">
        <v>-550</v>
      </c>
      <c r="DR17" s="21"/>
      <c r="DS17" s="21"/>
      <c r="DT17" s="21">
        <v>-550</v>
      </c>
      <c r="DU17" s="21">
        <v>-750</v>
      </c>
      <c r="DV17" s="21">
        <v>-750</v>
      </c>
      <c r="DW17" s="21">
        <v>-700</v>
      </c>
      <c r="DX17" s="21">
        <v>-450</v>
      </c>
      <c r="DY17" s="21"/>
      <c r="DZ17" s="21"/>
      <c r="EA17" s="21">
        <v>-450</v>
      </c>
      <c r="EB17" s="21">
        <v>-430</v>
      </c>
      <c r="EC17" s="21">
        <v>-550</v>
      </c>
      <c r="ED17" s="21">
        <v>-550</v>
      </c>
      <c r="EE17" s="21">
        <v>-550</v>
      </c>
      <c r="EF17" s="21"/>
      <c r="EG17" s="21"/>
      <c r="EH17" s="21">
        <v>-550</v>
      </c>
      <c r="EI17" s="21">
        <v>-550</v>
      </c>
      <c r="EJ17" s="21">
        <v>-550</v>
      </c>
      <c r="EK17" s="21">
        <v>-550</v>
      </c>
      <c r="EL17" s="21">
        <v>-400</v>
      </c>
      <c r="EM17" s="21"/>
      <c r="EN17" s="21"/>
      <c r="EO17" s="21">
        <v>-400</v>
      </c>
      <c r="EP17" s="21">
        <v>-650</v>
      </c>
      <c r="EQ17" s="21">
        <v>-650</v>
      </c>
      <c r="ER17" s="21">
        <v>-600</v>
      </c>
      <c r="ES17" s="21">
        <v>-800</v>
      </c>
      <c r="ET17" s="21"/>
      <c r="EU17" s="21"/>
      <c r="EV17" s="21">
        <v>-800</v>
      </c>
      <c r="EW17" s="21">
        <v>-1000</v>
      </c>
      <c r="EX17" s="21">
        <v>-1020</v>
      </c>
      <c r="EY17" s="21">
        <v>-1020</v>
      </c>
      <c r="EZ17" s="21">
        <v>-1250</v>
      </c>
      <c r="FA17" s="21"/>
      <c r="FB17" s="21"/>
      <c r="FC17" s="21">
        <v>-1250</v>
      </c>
      <c r="FD17" s="21">
        <v>-1300</v>
      </c>
      <c r="FE17" s="21">
        <v>-1500</v>
      </c>
      <c r="FF17" s="21">
        <v>-1750</v>
      </c>
      <c r="FG17" s="21">
        <v>-1500</v>
      </c>
      <c r="FH17" s="21"/>
      <c r="FI17" s="21"/>
      <c r="FJ17" s="21">
        <v>-1500</v>
      </c>
      <c r="FK17" s="21">
        <v>-1400</v>
      </c>
      <c r="FL17" s="21">
        <v>-1400</v>
      </c>
      <c r="FM17" s="21">
        <v>-1100</v>
      </c>
      <c r="FN17" s="21">
        <v>-1050</v>
      </c>
      <c r="FO17" s="21"/>
      <c r="FP17" s="21"/>
      <c r="FQ17" s="21">
        <v>-1100</v>
      </c>
      <c r="FR17" s="21">
        <v>-1100</v>
      </c>
      <c r="FS17" s="21">
        <v>-1100</v>
      </c>
      <c r="FT17" s="21">
        <v>-1100</v>
      </c>
      <c r="FU17" s="21">
        <v>-1100</v>
      </c>
      <c r="FV17" s="21"/>
      <c r="FW17" s="21"/>
      <c r="FX17" s="21">
        <v>-1100</v>
      </c>
      <c r="FY17" s="21">
        <v>-1100</v>
      </c>
      <c r="FZ17" s="21">
        <v>-1300</v>
      </c>
      <c r="GA17" s="21">
        <v>-1300</v>
      </c>
      <c r="GB17" s="21">
        <v>-1250</v>
      </c>
      <c r="GC17" s="21"/>
      <c r="GD17" s="21"/>
      <c r="GE17" s="21">
        <v>-1150</v>
      </c>
      <c r="GF17" s="21">
        <v>-900</v>
      </c>
      <c r="GG17" s="21">
        <v>-700</v>
      </c>
      <c r="GH17" s="21">
        <v>-800</v>
      </c>
      <c r="GI17" s="21">
        <v>-800</v>
      </c>
      <c r="GJ17" s="21"/>
      <c r="GK17" s="21"/>
      <c r="GL17" s="21">
        <v>-1000</v>
      </c>
      <c r="GM17" s="21">
        <v>-1000</v>
      </c>
      <c r="GN17" s="21">
        <v>-1000</v>
      </c>
      <c r="GO17" s="21">
        <v>-920</v>
      </c>
      <c r="GP17" s="21">
        <v>-950</v>
      </c>
      <c r="GQ17" s="21"/>
      <c r="GR17" s="21"/>
      <c r="GS17" s="21">
        <v>-980</v>
      </c>
      <c r="GT17" s="21">
        <v>-980</v>
      </c>
      <c r="GU17" s="21">
        <v>-980</v>
      </c>
      <c r="GV17" s="21">
        <v>-780</v>
      </c>
      <c r="GW17" s="21">
        <v>-700</v>
      </c>
      <c r="GX17" s="21"/>
      <c r="GY17" s="21"/>
      <c r="GZ17" s="21">
        <v>-700</v>
      </c>
      <c r="HA17" s="21">
        <v>-740</v>
      </c>
      <c r="HB17" s="21">
        <v>-530</v>
      </c>
      <c r="HC17" s="21">
        <v>-600</v>
      </c>
      <c r="HD17" s="21">
        <v>-600</v>
      </c>
      <c r="HE17" s="21"/>
      <c r="HF17" s="21"/>
      <c r="HG17" s="21">
        <v>-600</v>
      </c>
      <c r="HH17" s="21">
        <v>-550</v>
      </c>
      <c r="HI17" s="21">
        <v>-500</v>
      </c>
      <c r="HJ17" s="21">
        <v>-500</v>
      </c>
      <c r="HK17" s="21">
        <v>-500</v>
      </c>
      <c r="HL17" s="21"/>
      <c r="HM17" s="21"/>
      <c r="HN17" s="21">
        <v>-450</v>
      </c>
      <c r="HO17" s="21">
        <v>-500</v>
      </c>
      <c r="HP17" s="21">
        <v>-500</v>
      </c>
      <c r="HQ17" s="21">
        <v>-550</v>
      </c>
      <c r="HR17" s="21">
        <v>-500</v>
      </c>
      <c r="HS17" s="21"/>
      <c r="HT17" s="21"/>
      <c r="HU17" s="21">
        <v>-450</v>
      </c>
      <c r="HV17" s="21">
        <v>-350</v>
      </c>
      <c r="HW17" s="21">
        <v>-150</v>
      </c>
      <c r="HX17" s="21">
        <v>-60</v>
      </c>
      <c r="HY17" s="21">
        <v>-50</v>
      </c>
      <c r="HZ17" s="21"/>
      <c r="IA17" s="21"/>
      <c r="IB17" s="21">
        <v>0</v>
      </c>
      <c r="IC17" s="21">
        <v>-50</v>
      </c>
      <c r="ID17" s="21">
        <v>-100</v>
      </c>
      <c r="IE17" s="21">
        <v>-150</v>
      </c>
      <c r="IF17" s="21">
        <v>-50</v>
      </c>
      <c r="IG17" s="21"/>
      <c r="IH17" s="21"/>
      <c r="II17" s="21">
        <v>-60</v>
      </c>
      <c r="IJ17" s="21">
        <v>-20</v>
      </c>
      <c r="IK17" s="21">
        <v>80</v>
      </c>
      <c r="IL17" s="21">
        <v>70</v>
      </c>
      <c r="IM17" s="21">
        <v>50</v>
      </c>
      <c r="IN17" s="21"/>
      <c r="IO17" s="21"/>
      <c r="IP17" s="21">
        <v>50</v>
      </c>
      <c r="IQ17" s="21">
        <v>50</v>
      </c>
      <c r="IR17" s="21">
        <v>120</v>
      </c>
      <c r="IS17" s="21">
        <v>170</v>
      </c>
      <c r="IT17" s="21">
        <v>150</v>
      </c>
      <c r="IU17" s="21"/>
      <c r="IV17" s="21"/>
      <c r="IW17" s="21">
        <v>300</v>
      </c>
      <c r="IX17" s="21">
        <v>300</v>
      </c>
      <c r="IY17" s="21">
        <v>300</v>
      </c>
      <c r="IZ17" s="21">
        <v>200</v>
      </c>
      <c r="JA17" s="21">
        <v>210</v>
      </c>
      <c r="JB17" s="21"/>
      <c r="JC17" s="21"/>
      <c r="JD17" s="21">
        <v>220</v>
      </c>
      <c r="JE17" s="21">
        <v>260</v>
      </c>
      <c r="JF17" s="21">
        <v>260</v>
      </c>
      <c r="JG17" s="21">
        <v>260</v>
      </c>
      <c r="JH17" s="21">
        <v>220</v>
      </c>
      <c r="JI17" s="21"/>
      <c r="JJ17" s="21"/>
      <c r="JK17" s="21">
        <v>150</v>
      </c>
      <c r="JL17" s="21">
        <v>100</v>
      </c>
      <c r="JM17" s="21">
        <v>100</v>
      </c>
      <c r="JN17" s="21">
        <v>100</v>
      </c>
      <c r="JO17" s="21">
        <v>120</v>
      </c>
      <c r="JP17" s="21"/>
      <c r="JQ17" s="21"/>
      <c r="JR17" s="21">
        <v>120</v>
      </c>
      <c r="JS17" s="21">
        <v>120</v>
      </c>
      <c r="JT17" s="21">
        <v>0</v>
      </c>
      <c r="JU17" s="21">
        <v>0</v>
      </c>
      <c r="JV17" s="21">
        <v>0</v>
      </c>
      <c r="JW17" s="21"/>
      <c r="JX17" s="21"/>
      <c r="JY17" s="21">
        <v>200</v>
      </c>
      <c r="JZ17" s="21">
        <v>200</v>
      </c>
      <c r="KA17" s="21">
        <v>270</v>
      </c>
      <c r="KB17" s="21">
        <v>190</v>
      </c>
      <c r="KC17" s="21">
        <v>220</v>
      </c>
      <c r="KD17" s="21"/>
      <c r="KE17" s="21"/>
      <c r="KF17" s="21">
        <v>220</v>
      </c>
      <c r="KG17" s="21">
        <v>180</v>
      </c>
      <c r="KH17" s="21">
        <v>60</v>
      </c>
      <c r="KI17" s="21">
        <v>50</v>
      </c>
      <c r="KJ17" s="21">
        <v>50</v>
      </c>
      <c r="KK17" s="21"/>
      <c r="KL17" s="21"/>
      <c r="KM17" s="21">
        <v>80</v>
      </c>
      <c r="KN17" s="21">
        <v>80</v>
      </c>
      <c r="KO17" s="21">
        <v>200</v>
      </c>
      <c r="KP17" s="21">
        <v>200</v>
      </c>
      <c r="KQ17" s="21">
        <v>220</v>
      </c>
      <c r="KR17" s="21"/>
      <c r="KS17" s="21"/>
      <c r="KT17" s="21">
        <v>250</v>
      </c>
      <c r="KU17" s="21">
        <v>250</v>
      </c>
      <c r="KV17" s="21">
        <v>270</v>
      </c>
      <c r="KW17" s="21">
        <v>280</v>
      </c>
      <c r="KX17" s="21">
        <v>280</v>
      </c>
      <c r="KY17" s="21"/>
      <c r="KZ17" s="21"/>
      <c r="LA17" s="21">
        <v>280</v>
      </c>
      <c r="LB17" s="21">
        <v>270</v>
      </c>
      <c r="LC17" s="21">
        <v>300</v>
      </c>
      <c r="LD17" s="21">
        <v>170</v>
      </c>
      <c r="LE17" s="21">
        <v>170</v>
      </c>
      <c r="LF17" s="21"/>
      <c r="LG17" s="21"/>
      <c r="LH17" s="21">
        <v>170</v>
      </c>
      <c r="LI17" s="21">
        <v>330</v>
      </c>
      <c r="LJ17" s="21">
        <v>300</v>
      </c>
      <c r="LK17" s="21">
        <v>300</v>
      </c>
      <c r="LL17" s="21">
        <v>350</v>
      </c>
      <c r="LM17" s="21"/>
      <c r="LN17" s="21"/>
      <c r="LO17" s="21">
        <v>400</v>
      </c>
      <c r="LP17" s="21">
        <v>400</v>
      </c>
      <c r="LQ17" s="21">
        <v>350</v>
      </c>
      <c r="LR17" s="21">
        <v>350</v>
      </c>
      <c r="LS17" s="21">
        <v>400</v>
      </c>
      <c r="LT17" s="21"/>
      <c r="LU17" s="21"/>
      <c r="LV17" s="21">
        <v>400</v>
      </c>
      <c r="LW17" s="21">
        <v>320</v>
      </c>
      <c r="LX17" s="21">
        <v>320</v>
      </c>
      <c r="LY17" s="21">
        <v>300</v>
      </c>
      <c r="LZ17" s="21">
        <v>400</v>
      </c>
      <c r="MA17" s="21"/>
      <c r="MB17" s="21"/>
      <c r="MC17" s="21">
        <v>400</v>
      </c>
      <c r="MD17" s="21">
        <v>400</v>
      </c>
      <c r="ME17" s="21">
        <v>400</v>
      </c>
      <c r="MF17" s="21">
        <v>500</v>
      </c>
      <c r="MG17" s="21">
        <v>550</v>
      </c>
      <c r="MH17" s="21"/>
      <c r="MI17" s="21"/>
      <c r="MJ17" s="21">
        <v>650</v>
      </c>
      <c r="MK17" s="21">
        <v>750</v>
      </c>
      <c r="ML17" s="21">
        <v>800</v>
      </c>
      <c r="MM17" s="21">
        <v>750</v>
      </c>
      <c r="MN17" s="21">
        <v>700</v>
      </c>
      <c r="MO17" s="21"/>
      <c r="MP17" s="21"/>
      <c r="MQ17" s="21">
        <v>500</v>
      </c>
      <c r="MR17" s="21">
        <v>460</v>
      </c>
      <c r="MS17" s="21">
        <v>350</v>
      </c>
      <c r="MT17" s="21">
        <v>350</v>
      </c>
      <c r="MU17" s="21">
        <v>350</v>
      </c>
      <c r="MV17" s="21"/>
      <c r="MW17" s="21"/>
      <c r="MX17" s="21">
        <v>450</v>
      </c>
      <c r="MY17" s="21">
        <v>400</v>
      </c>
      <c r="MZ17" s="21">
        <v>400</v>
      </c>
      <c r="NA17" s="21">
        <v>400</v>
      </c>
      <c r="NB17" s="21">
        <v>400</v>
      </c>
    </row>
    <row r="18" spans="1:367" x14ac:dyDescent="0.25">
      <c r="A18" s="35" t="s">
        <v>84</v>
      </c>
      <c r="B18" s="98"/>
      <c r="C18" s="98"/>
      <c r="D18" s="98"/>
      <c r="E18" s="98">
        <f>(E10+E17)*0.220462</f>
        <v>1056.674366</v>
      </c>
      <c r="F18" s="98">
        <f>(F10+F17)*0.220462</f>
        <v>1088.2004319999999</v>
      </c>
      <c r="G18" s="98">
        <f>(G10+G17)*0.220462</f>
        <v>1082.2479579999999</v>
      </c>
      <c r="H18" s="98">
        <f>(H10+H17)*0.220462</f>
        <v>1092.38921</v>
      </c>
      <c r="I18" s="98">
        <f>(I10+I17)*0.220462</f>
        <v>1083.7911919999999</v>
      </c>
      <c r="J18" s="98"/>
      <c r="K18" s="98"/>
      <c r="L18" s="98">
        <f>(L10+L17)*0.220462</f>
        <v>1072.106706</v>
      </c>
      <c r="M18" s="98">
        <f>(M10+M17)*0.220462</f>
        <v>1072.106706</v>
      </c>
      <c r="N18" s="98">
        <f>(N10+N17)*0.220462</f>
        <v>1053.367436</v>
      </c>
      <c r="O18" s="98">
        <f>(O10+O17)*0.220462</f>
        <v>1066.3746939999999</v>
      </c>
      <c r="P18" s="98">
        <f>(P10+P17)*0.220462</f>
        <v>1035.06909</v>
      </c>
      <c r="Q18" s="98"/>
      <c r="R18" s="98"/>
      <c r="S18" s="98">
        <f>(S10+S17)*0.220462</f>
        <v>1010.81827</v>
      </c>
      <c r="T18" s="98">
        <f>(T10+T17)*0.220462</f>
        <v>985.46513999999991</v>
      </c>
      <c r="U18" s="98">
        <f>(U10+U17)*0.220462</f>
        <v>1003.9839479999999</v>
      </c>
      <c r="V18" s="98">
        <f t="shared" ref="V18:W18" si="284">(V10+V17)*0.220462</f>
        <v>1001.558866</v>
      </c>
      <c r="W18" s="98">
        <f t="shared" si="284"/>
        <v>975.985274</v>
      </c>
      <c r="X18" s="36"/>
      <c r="Y18" s="36"/>
      <c r="Z18" s="36">
        <f>(Z10+Z17)*0.220462</f>
        <v>975.985274</v>
      </c>
      <c r="AA18" s="36">
        <f>(AA10+AA17)*0.220462</f>
        <v>990.09484199999997</v>
      </c>
      <c r="AB18" s="36">
        <f>(AB10+AB17)*0.220462</f>
        <v>1003.5430239999999</v>
      </c>
      <c r="AC18" s="36">
        <f t="shared" ref="AC18:AD18" si="285">(AC10+AC17)*0.220462</f>
        <v>1001.99979</v>
      </c>
      <c r="AD18" s="36">
        <f t="shared" si="285"/>
        <v>1041.0215639999999</v>
      </c>
      <c r="AE18" s="36"/>
      <c r="AF18" s="36"/>
      <c r="AG18" s="36">
        <f>(AG10+AG17)*0.220462</f>
        <v>1044.3284939999999</v>
      </c>
      <c r="AH18" s="36">
        <f>(AH10+AH17)*0.220462</f>
        <v>1036.6123239999999</v>
      </c>
      <c r="AI18" s="36">
        <f>(AI10+AI17)*0.220462</f>
        <v>1040.1397159999999</v>
      </c>
      <c r="AJ18" s="36">
        <f t="shared" ref="AJ18:AK18" si="286">(AJ10+AJ17)*0.220462</f>
        <v>1056.894828</v>
      </c>
      <c r="AK18" s="36">
        <f t="shared" si="286"/>
        <v>1039.6987919999999</v>
      </c>
      <c r="AL18" s="36"/>
      <c r="AM18" s="36"/>
      <c r="AN18" s="36">
        <f>(AN10+AN17)*0.220462</f>
        <v>1045.6512659999999</v>
      </c>
      <c r="AO18" s="36">
        <f>(AO10+AO17)*0.220462</f>
        <v>1054.249284</v>
      </c>
      <c r="AP18" s="36">
        <f>(AP10+AP17)*0.220462</f>
        <v>1035.950938</v>
      </c>
      <c r="AQ18" s="36">
        <f t="shared" ref="AQ18:AR18" si="287">(AQ10+AQ17)*0.220462</f>
        <v>1023.605066</v>
      </c>
      <c r="AR18" s="36">
        <f t="shared" si="287"/>
        <v>1037.0532479999999</v>
      </c>
      <c r="AS18" s="36"/>
      <c r="AT18" s="36"/>
      <c r="AU18" s="98">
        <v>1045.6512659999999</v>
      </c>
      <c r="AV18" s="98">
        <v>1054.249284</v>
      </c>
      <c r="AW18" s="36">
        <f>(AW10+AW17)*0.220462</f>
        <v>1053.146974</v>
      </c>
      <c r="AX18" s="36">
        <f t="shared" ref="AX18:AY18" si="288">(AX10+AX17)*0.220462</f>
        <v>1056.233442</v>
      </c>
      <c r="AY18" s="36">
        <f t="shared" si="288"/>
        <v>1065.9337699999999</v>
      </c>
      <c r="AZ18" s="36"/>
      <c r="BA18" s="36"/>
      <c r="BB18" s="36">
        <f>(BB10+BB17)*0.220462</f>
        <v>1069.2407000000001</v>
      </c>
      <c r="BC18" s="36">
        <f>(BC10+BC17)*0.220462</f>
        <v>1085.9958119999999</v>
      </c>
      <c r="BD18" s="36">
        <f>(BD10+BD17)*0.220462</f>
        <v>1131.8519079999999</v>
      </c>
      <c r="BE18" s="36">
        <f t="shared" ref="BE18:BF18" si="289">(BE10+BE17)*0.220462</f>
        <v>1127.8835919999999</v>
      </c>
      <c r="BF18" s="36">
        <f t="shared" si="289"/>
        <v>1131.8519079999999</v>
      </c>
      <c r="BG18" s="36"/>
      <c r="BH18" s="36"/>
      <c r="BI18" s="36">
        <f>(BI10+BI17)*0.220462</f>
        <v>1119.285574</v>
      </c>
      <c r="BJ18" s="36">
        <f>(BJ10+BJ17)*0.220462</f>
        <v>1130.3086739999999</v>
      </c>
      <c r="BK18" s="36">
        <f>(BK10+BK17)*0.220462</f>
        <v>1143.09547</v>
      </c>
      <c r="BL18" s="36">
        <f t="shared" ref="BL18:BM18" si="290">(BL10+BL17)*0.220462</f>
        <v>1159.189196</v>
      </c>
      <c r="BM18" s="36">
        <f t="shared" si="290"/>
        <v>1187.849256</v>
      </c>
      <c r="BN18" s="36"/>
      <c r="BO18" s="36"/>
      <c r="BP18" s="36">
        <f>(BP10+BP17)*0.220462</f>
        <v>1213.8637719999999</v>
      </c>
      <c r="BQ18" s="36">
        <f>(BQ10+BQ17)*0.220462</f>
        <v>1237.8941299999999</v>
      </c>
      <c r="BR18" s="36">
        <f>(BR10+BR17)*0.220462</f>
        <v>1253.546932</v>
      </c>
      <c r="BS18" s="36">
        <f t="shared" ref="BS18:BT18" si="291">(BS10+BS17)*0.220462</f>
        <v>1266.7746520000001</v>
      </c>
      <c r="BT18" s="36">
        <f t="shared" si="291"/>
        <v>1265.2314179999998</v>
      </c>
      <c r="BU18" s="36"/>
      <c r="BV18" s="36"/>
      <c r="BW18" s="36">
        <f>(BW10+BW17)*0.220462</f>
        <v>1236.5713579999999</v>
      </c>
      <c r="BX18" s="36">
        <f>(BX10+BX17)*0.220462</f>
        <v>1236.5713579999999</v>
      </c>
      <c r="BY18" s="36">
        <f>(BY10+BY17)*0.220462</f>
        <v>1236.7918199999999</v>
      </c>
      <c r="BZ18" s="36">
        <f t="shared" ref="BZ18:CA18" si="292">(BZ10+BZ17)*0.220462</f>
        <v>1212.9819239999999</v>
      </c>
      <c r="CA18" s="36">
        <f t="shared" si="292"/>
        <v>1220.6980939999999</v>
      </c>
      <c r="CB18" s="36"/>
      <c r="CC18" s="36"/>
      <c r="CD18" s="36">
        <f>(CD10+CD17)*0.220462</f>
        <v>1271.404354</v>
      </c>
      <c r="CE18" s="36">
        <f>(CE10+CE17)*0.220462</f>
        <v>1239.4373639999999</v>
      </c>
      <c r="CF18" s="36">
        <f>(CF10+CF17)*0.220462</f>
        <v>1249.578616</v>
      </c>
      <c r="CG18" s="36">
        <f t="shared" ref="CG18:CM18" si="293">(CG10+CG17)*0.220462</f>
        <v>1205.486216</v>
      </c>
      <c r="CH18" s="36">
        <f t="shared" si="293"/>
        <v>1176.8261559999999</v>
      </c>
      <c r="CI18" s="36"/>
      <c r="CJ18" s="36"/>
      <c r="CK18" s="36">
        <f t="shared" si="293"/>
        <v>1189.612952</v>
      </c>
      <c r="CL18" s="36">
        <f t="shared" si="293"/>
        <v>1134.4974520000001</v>
      </c>
      <c r="CM18" s="36">
        <f t="shared" si="293"/>
        <v>1188.731104</v>
      </c>
      <c r="CN18" s="36">
        <f t="shared" ref="CN18" si="294">(CN10+CN17)*0.220462</f>
        <v>1166.905366</v>
      </c>
      <c r="CO18" s="36">
        <v>1184.321864</v>
      </c>
      <c r="CP18" s="36"/>
      <c r="CQ18" s="36"/>
      <c r="CR18" s="36">
        <f t="shared" ref="CR18:CU18" si="295">(CR10+CR17)*0.220462</f>
        <v>1188.510642</v>
      </c>
      <c r="CS18" s="36">
        <f t="shared" si="295"/>
        <v>1212.9819239999999</v>
      </c>
      <c r="CT18" s="36">
        <f t="shared" si="295"/>
        <v>1204.82483</v>
      </c>
      <c r="CU18" s="36">
        <f t="shared" si="295"/>
        <v>1192.2584959999999</v>
      </c>
      <c r="CV18" s="36">
        <f t="shared" ref="CV18" si="296">(CV10+CV17)*0.220462</f>
        <v>1180.57401</v>
      </c>
      <c r="CW18" s="36"/>
      <c r="CX18" s="36"/>
      <c r="CY18" s="36">
        <f t="shared" ref="CY18:DC18" si="297">(CY10+CY17)*0.220462</f>
        <v>1149.7093299999999</v>
      </c>
      <c r="CZ18" s="36">
        <f t="shared" si="297"/>
        <v>1171.3146059999999</v>
      </c>
      <c r="DA18" s="36">
        <f t="shared" si="297"/>
        <v>1197.9905079999999</v>
      </c>
      <c r="DB18" s="36">
        <f t="shared" si="297"/>
        <v>1214.5251579999999</v>
      </c>
      <c r="DC18" s="36">
        <f t="shared" si="297"/>
        <v>1226.430106</v>
      </c>
      <c r="DD18" s="36"/>
      <c r="DE18" s="36"/>
      <c r="DF18" s="36">
        <f t="shared" ref="DF18:DJ18" si="298">(DF10+DF17)*0.220462</f>
        <v>1218.4934739999999</v>
      </c>
      <c r="DG18" s="36">
        <f t="shared" si="298"/>
        <v>1230.618884</v>
      </c>
      <c r="DH18" s="36">
        <f t="shared" ref="DH18" si="299">(DH10+DH17)*0.220462</f>
        <v>1323.2129239999999</v>
      </c>
      <c r="DI18" s="36">
        <f t="shared" si="298"/>
        <v>1292.348244</v>
      </c>
      <c r="DJ18" s="36">
        <f t="shared" si="298"/>
        <v>1283.3093019999999</v>
      </c>
      <c r="DK18" s="36"/>
      <c r="DL18" s="36"/>
      <c r="DM18" s="36">
        <f t="shared" ref="DM18:DQ18" si="300">(DM10+DM17)*0.220462</f>
        <v>1305.3555019999999</v>
      </c>
      <c r="DN18" s="36">
        <f t="shared" si="300"/>
        <v>1332.6927900000001</v>
      </c>
      <c r="DO18" s="36">
        <f t="shared" si="300"/>
        <v>1447.33303</v>
      </c>
      <c r="DP18" s="36">
        <f t="shared" si="300"/>
        <v>1382.076278</v>
      </c>
      <c r="DQ18" s="36">
        <f t="shared" si="300"/>
        <v>1388.0287519999999</v>
      </c>
      <c r="DR18" s="36"/>
      <c r="DS18" s="36"/>
      <c r="DT18" s="36">
        <f t="shared" ref="DT18:DX18" si="301">(DT10+DT17)*0.220462</f>
        <v>1384.721822</v>
      </c>
      <c r="DU18" s="36">
        <f t="shared" si="301"/>
        <v>1332.6927900000001</v>
      </c>
      <c r="DV18" s="36">
        <f t="shared" si="301"/>
        <v>1306.0168879999999</v>
      </c>
      <c r="DW18" s="36">
        <f t="shared" si="301"/>
        <v>1306.2373499999999</v>
      </c>
      <c r="DX18" s="36">
        <f t="shared" si="301"/>
        <v>1364.218856</v>
      </c>
      <c r="DY18" s="36"/>
      <c r="DZ18" s="36"/>
      <c r="EA18" s="36">
        <f t="shared" ref="EA18:EE18" si="302">(EA10+EA17)*0.220462</f>
        <v>1358.04592</v>
      </c>
      <c r="EB18" s="36">
        <f t="shared" si="302"/>
        <v>1383.619512</v>
      </c>
      <c r="EC18" s="36">
        <f t="shared" si="302"/>
        <v>1392.4379919999999</v>
      </c>
      <c r="ED18" s="36">
        <f t="shared" si="302"/>
        <v>1378.769348</v>
      </c>
      <c r="EE18" s="36">
        <f t="shared" si="302"/>
        <v>1386.926442</v>
      </c>
      <c r="EF18" s="36"/>
      <c r="EG18" s="36"/>
      <c r="EH18" s="36">
        <f t="shared" ref="EH18:EL18" si="303">(EH10+EH17)*0.220462</f>
        <v>1399.2723140000001</v>
      </c>
      <c r="EI18" s="36">
        <f t="shared" si="303"/>
        <v>1392.6584539999999</v>
      </c>
      <c r="EJ18" s="36">
        <f t="shared" si="303"/>
        <v>1344.1568139999999</v>
      </c>
      <c r="EK18" s="36">
        <f t="shared" si="303"/>
        <v>1328.5040119999999</v>
      </c>
      <c r="EL18" s="36">
        <f t="shared" si="303"/>
        <v>1355.620838</v>
      </c>
      <c r="EM18" s="36"/>
      <c r="EN18" s="36"/>
      <c r="EO18" s="36">
        <f t="shared" ref="EO18:ES18" si="304">(EO10+EO17)*0.220462</f>
        <v>1347.6842059999999</v>
      </c>
      <c r="EP18" s="36">
        <f t="shared" si="304"/>
        <v>1326.9607779999999</v>
      </c>
      <c r="EQ18" s="36">
        <f t="shared" si="304"/>
        <v>1304.6941159999999</v>
      </c>
      <c r="ER18" s="36">
        <f t="shared" si="304"/>
        <v>1340.629422</v>
      </c>
      <c r="ES18" s="36">
        <f t="shared" si="304"/>
        <v>1274.049898</v>
      </c>
      <c r="ET18" s="36"/>
      <c r="EU18" s="36"/>
      <c r="EV18" s="36">
        <f t="shared" ref="EV18:EZ18" si="305">(EV10+EV17)*0.220462</f>
        <v>1274.049898</v>
      </c>
      <c r="EW18" s="36">
        <f t="shared" si="305"/>
        <v>1265.2314179999998</v>
      </c>
      <c r="EX18" s="36">
        <f t="shared" si="305"/>
        <v>1326.7403159999999</v>
      </c>
      <c r="EY18" s="36">
        <v>1335.558796</v>
      </c>
      <c r="EZ18" s="36">
        <f t="shared" si="305"/>
        <v>1297.198408</v>
      </c>
      <c r="FA18" s="36"/>
      <c r="FB18" s="36"/>
      <c r="FC18" s="36">
        <f t="shared" ref="FC18:FG18" si="306">(FC10+FC17)*0.220462</f>
        <v>1285.9548459999999</v>
      </c>
      <c r="FD18" s="36">
        <f t="shared" si="306"/>
        <v>1302.4894959999999</v>
      </c>
      <c r="FE18" s="36">
        <f t="shared" si="306"/>
        <v>1247.594458</v>
      </c>
      <c r="FF18" s="36">
        <f t="shared" si="306"/>
        <v>1167.566752</v>
      </c>
      <c r="FG18" s="36">
        <f t="shared" si="306"/>
        <v>1145.9614759999999</v>
      </c>
      <c r="FH18" s="36"/>
      <c r="FI18" s="36"/>
      <c r="FJ18" s="36">
        <f t="shared" ref="FJ18:FN18" si="307">(FJ10+FJ17)*0.220462</f>
        <v>1123.474352</v>
      </c>
      <c r="FK18" s="36">
        <f t="shared" si="307"/>
        <v>1136.922534</v>
      </c>
      <c r="FL18" s="36">
        <f t="shared" si="307"/>
        <v>1059.7608339999999</v>
      </c>
      <c r="FM18" s="36">
        <f t="shared" si="307"/>
        <v>1004.6453339999999</v>
      </c>
      <c r="FN18" s="36">
        <f t="shared" si="307"/>
        <v>1049.840044</v>
      </c>
      <c r="FO18" s="36"/>
      <c r="FP18" s="36"/>
      <c r="FQ18" s="36">
        <f t="shared" ref="FQ18:FU18" si="308">(FQ10+FQ17)*0.220462</f>
        <v>1087.5390459999999</v>
      </c>
      <c r="FR18" s="36">
        <f t="shared" si="308"/>
        <v>1095.034754</v>
      </c>
      <c r="FS18" s="36">
        <f t="shared" si="308"/>
        <v>1127.2222059999999</v>
      </c>
      <c r="FT18" s="36">
        <f t="shared" si="308"/>
        <v>1139.78854</v>
      </c>
      <c r="FU18" s="36">
        <f t="shared" si="308"/>
        <v>1073.870402</v>
      </c>
      <c r="FV18" s="36"/>
      <c r="FW18" s="36"/>
      <c r="FX18" s="36">
        <f t="shared" ref="FX18:GB18" si="309">(FX10+FX17)*0.220462</f>
        <v>1128.7654399999999</v>
      </c>
      <c r="FY18" s="36">
        <f t="shared" si="309"/>
        <v>1171.7555299999999</v>
      </c>
      <c r="FZ18" s="36">
        <f t="shared" si="309"/>
        <v>1149.9297919999999</v>
      </c>
      <c r="GA18" s="36">
        <f t="shared" si="309"/>
        <v>1147.2842479999999</v>
      </c>
      <c r="GB18" s="36">
        <f t="shared" si="309"/>
        <v>1197.5495839999999</v>
      </c>
      <c r="GC18" s="36"/>
      <c r="GD18" s="36"/>
      <c r="GE18" s="36">
        <f t="shared" ref="GE18:GI18" si="310">(GE10+GE17)*0.220462</f>
        <v>1219.5957839999999</v>
      </c>
      <c r="GF18" s="36">
        <f t="shared" si="310"/>
        <v>1208.793146</v>
      </c>
      <c r="GG18" s="36">
        <f t="shared" si="310"/>
        <v>1273.388512</v>
      </c>
      <c r="GH18" s="36">
        <f t="shared" si="310"/>
        <v>1240.0987499999999</v>
      </c>
      <c r="GI18" s="36">
        <f t="shared" si="310"/>
        <v>1199.5337419999998</v>
      </c>
      <c r="GJ18" s="36"/>
      <c r="GK18" s="36"/>
      <c r="GL18" s="36">
        <f t="shared" ref="GL18:GP18" si="311">(GL10+GL17)*0.220462</f>
        <v>1212.3205379999999</v>
      </c>
      <c r="GM18" s="36">
        <f t="shared" si="311"/>
        <v>1248.476306</v>
      </c>
      <c r="GN18" s="36">
        <f t="shared" si="311"/>
        <v>1248.476306</v>
      </c>
      <c r="GO18" s="36">
        <f t="shared" si="311"/>
        <v>1281.1046819999999</v>
      </c>
      <c r="GP18" s="36">
        <f t="shared" si="311"/>
        <v>1296.537022</v>
      </c>
      <c r="GQ18" s="36"/>
      <c r="GR18" s="36"/>
      <c r="GS18" s="36">
        <f t="shared" ref="GS18:GW18" si="312">(GS10+GS17)*0.220462</f>
        <v>1289.923162</v>
      </c>
      <c r="GT18" s="36">
        <f t="shared" si="312"/>
        <v>1261.4835639999999</v>
      </c>
      <c r="GU18" s="36">
        <f t="shared" si="312"/>
        <v>1227.091492</v>
      </c>
      <c r="GV18" s="36">
        <f t="shared" si="312"/>
        <v>1261.0426399999999</v>
      </c>
      <c r="GW18" s="36">
        <f t="shared" si="312"/>
        <v>1293.230092</v>
      </c>
      <c r="GX18" s="36"/>
      <c r="GY18" s="36"/>
      <c r="GZ18" s="36">
        <f t="shared" ref="GZ18:HD18" si="313">(GZ10+GZ17)*0.220462</f>
        <v>1310.2056659999998</v>
      </c>
      <c r="HA18" s="36">
        <f t="shared" si="313"/>
        <v>1297.639332</v>
      </c>
      <c r="HB18" s="36">
        <f t="shared" si="313"/>
        <v>1350.3297499999999</v>
      </c>
      <c r="HC18" s="36">
        <f t="shared" si="313"/>
        <v>1343.2749659999999</v>
      </c>
      <c r="HD18" s="36">
        <f t="shared" si="313"/>
        <v>1318.803684</v>
      </c>
      <c r="HE18" s="36"/>
      <c r="HF18" s="36"/>
      <c r="HG18" s="36">
        <f t="shared" ref="HG18:HK18" si="314">(HG10+HG17)*0.220462</f>
        <v>1292.348244</v>
      </c>
      <c r="HH18" s="36">
        <f t="shared" si="314"/>
        <v>1273.608974</v>
      </c>
      <c r="HI18" s="36">
        <f t="shared" si="314"/>
        <v>1273.608974</v>
      </c>
      <c r="HJ18" s="36">
        <f t="shared" si="314"/>
        <v>1266.9951140000001</v>
      </c>
      <c r="HK18" s="36">
        <f t="shared" si="314"/>
        <v>1287.7185419999998</v>
      </c>
      <c r="HL18" s="36"/>
      <c r="HM18" s="36"/>
      <c r="HN18" s="36">
        <f t="shared" ref="HN18:HR18" si="315">(HN10+HN17)*0.220462</f>
        <v>1349.6683639999999</v>
      </c>
      <c r="HO18" s="36">
        <f t="shared" si="315"/>
        <v>1331.8109419999998</v>
      </c>
      <c r="HP18" s="36">
        <f t="shared" si="315"/>
        <v>1290.364086</v>
      </c>
      <c r="HQ18" s="36">
        <f t="shared" si="315"/>
        <v>1278.9000619999999</v>
      </c>
      <c r="HR18" s="36">
        <f t="shared" si="315"/>
        <v>1289.923162</v>
      </c>
      <c r="HS18" s="36"/>
      <c r="HT18" s="36"/>
      <c r="HU18" s="36">
        <f t="shared" ref="HU18:HY18" si="316">(HU10+HU17)*0.220462</f>
        <v>1296.096098</v>
      </c>
      <c r="HV18" s="36">
        <f t="shared" si="316"/>
        <v>1301.6076479999999</v>
      </c>
      <c r="HW18" s="36">
        <f t="shared" si="316"/>
        <v>1332.2518659999998</v>
      </c>
      <c r="HX18" s="36">
        <f t="shared" si="316"/>
        <v>1322.7719999999999</v>
      </c>
      <c r="HY18" s="36">
        <f t="shared" si="316"/>
        <v>1256.4129379999999</v>
      </c>
      <c r="HZ18" s="36"/>
      <c r="IA18" s="36"/>
      <c r="IB18" s="36">
        <f t="shared" ref="IB18:IF18" si="317">(IB10+IB17)*0.220462</f>
        <v>1306.2373499999999</v>
      </c>
      <c r="IC18" s="36">
        <f t="shared" si="317"/>
        <v>1335.779258</v>
      </c>
      <c r="ID18" s="36">
        <f t="shared" si="317"/>
        <v>1342.393118</v>
      </c>
      <c r="IE18" s="36">
        <f t="shared" si="317"/>
        <v>1319.024146</v>
      </c>
      <c r="IF18" s="36">
        <f t="shared" si="317"/>
        <v>1341.070346</v>
      </c>
      <c r="IG18" s="36"/>
      <c r="IH18" s="36"/>
      <c r="II18" s="36">
        <f t="shared" ref="II18:IM18" si="318">(II10+II17)*0.220462</f>
        <v>1315.717216</v>
      </c>
      <c r="IJ18" s="36">
        <f t="shared" si="318"/>
        <v>1304.2531919999999</v>
      </c>
      <c r="IK18" s="36">
        <f t="shared" si="318"/>
        <v>1303.1508819999999</v>
      </c>
      <c r="IL18" s="36">
        <f t="shared" si="318"/>
        <v>1316.378602</v>
      </c>
      <c r="IM18" s="36">
        <f t="shared" si="318"/>
        <v>1311.7489</v>
      </c>
      <c r="IN18" s="36"/>
      <c r="IO18" s="36"/>
      <c r="IP18" s="36">
        <f t="shared" ref="IP18:IT18" si="319">(IP10+IP17)*0.220462</f>
        <v>1311.7489</v>
      </c>
      <c r="IQ18" s="36">
        <f t="shared" si="319"/>
        <v>1311.7489</v>
      </c>
      <c r="IR18" s="36">
        <f t="shared" si="319"/>
        <v>1293.00963</v>
      </c>
      <c r="IS18" s="36">
        <f t="shared" si="319"/>
        <v>1272.506664</v>
      </c>
      <c r="IT18" s="36">
        <f t="shared" si="319"/>
        <v>1261.9244879999999</v>
      </c>
      <c r="IU18" s="36"/>
      <c r="IV18" s="36"/>
      <c r="IW18" s="36">
        <f t="shared" ref="IW18:JA18" si="320">(IW10+IW17)*0.220462</f>
        <v>1296.31656</v>
      </c>
      <c r="IX18" s="36">
        <f t="shared" si="320"/>
        <v>1315.717216</v>
      </c>
      <c r="IY18" s="36">
        <f t="shared" si="320"/>
        <v>1351.6525219999999</v>
      </c>
      <c r="IZ18" s="36">
        <f t="shared" si="320"/>
        <v>1296.977946</v>
      </c>
      <c r="JA18" s="36">
        <f t="shared" si="320"/>
        <v>1287.2776179999998</v>
      </c>
      <c r="JB18" s="36"/>
      <c r="JC18" s="36"/>
      <c r="JD18" s="36">
        <f t="shared" ref="JD18:JH18" si="321">(JD10+JD17)*0.220462</f>
        <v>1259.0584819999999</v>
      </c>
      <c r="JE18" s="36">
        <f t="shared" si="321"/>
        <v>1276.915904</v>
      </c>
      <c r="JF18" s="36">
        <f t="shared" si="321"/>
        <v>1300.5053379999999</v>
      </c>
      <c r="JG18" s="36">
        <f t="shared" si="321"/>
        <v>1316.15814</v>
      </c>
      <c r="JH18" s="36">
        <f t="shared" si="321"/>
        <v>1326.5198539999999</v>
      </c>
      <c r="JI18" s="36"/>
      <c r="JJ18" s="36"/>
      <c r="JK18" s="36">
        <f t="shared" ref="JK18:JO18" si="322">(JK10+JK17)*0.220462</f>
        <v>1318.36276</v>
      </c>
      <c r="JL18" s="36">
        <f t="shared" si="322"/>
        <v>1295.655174</v>
      </c>
      <c r="JM18" s="36">
        <f t="shared" si="322"/>
        <v>1295.875636</v>
      </c>
      <c r="JN18" s="36">
        <f t="shared" si="322"/>
        <v>1318.142298</v>
      </c>
      <c r="JO18" s="36">
        <f t="shared" si="322"/>
        <v>1318.583222</v>
      </c>
      <c r="JP18" s="36"/>
      <c r="JQ18" s="36"/>
      <c r="JR18" s="36">
        <f t="shared" ref="JR18:JV18" si="323">(JR10+JR17)*0.220462</f>
        <v>1317.701374</v>
      </c>
      <c r="JS18" s="36">
        <f t="shared" si="323"/>
        <v>1368.8485579999999</v>
      </c>
      <c r="JT18" s="36">
        <f t="shared" si="323"/>
        <v>1324.3152339999999</v>
      </c>
      <c r="JU18" s="36">
        <f t="shared" si="323"/>
        <v>1364.65978</v>
      </c>
      <c r="JV18" s="36">
        <f t="shared" si="323"/>
        <v>1358.707306</v>
      </c>
      <c r="JW18" s="36"/>
      <c r="JX18" s="36"/>
      <c r="JY18" s="36">
        <f t="shared" ref="JY18:KC18" si="324">(JY10+JY17)*0.220462</f>
        <v>1373.2577979999999</v>
      </c>
      <c r="JZ18" s="36">
        <f t="shared" si="324"/>
        <v>1373.2577979999999</v>
      </c>
      <c r="KA18" s="36">
        <f t="shared" si="324"/>
        <v>1368.1871719999999</v>
      </c>
      <c r="KB18" s="36">
        <f t="shared" si="324"/>
        <v>1363.337008</v>
      </c>
      <c r="KC18" s="36">
        <f t="shared" si="324"/>
        <v>1399.713238</v>
      </c>
      <c r="KD18" s="36"/>
      <c r="KE18" s="36"/>
      <c r="KF18" s="36">
        <f t="shared" ref="KF18:KJ18" si="325">(KF10+KF17)*0.220462</f>
        <v>1415.8069639999999</v>
      </c>
      <c r="KG18" s="36">
        <f t="shared" si="325"/>
        <v>1415.1455779999999</v>
      </c>
      <c r="KH18" s="36">
        <f t="shared" si="325"/>
        <v>1439.6168599999999</v>
      </c>
      <c r="KI18" s="36">
        <f t="shared" si="325"/>
        <v>1390.6742959999999</v>
      </c>
      <c r="KJ18" s="36">
        <f t="shared" si="325"/>
        <v>1379.871658</v>
      </c>
      <c r="KK18" s="36"/>
      <c r="KL18" s="36"/>
      <c r="KM18" s="36">
        <f t="shared" ref="KM18:KQ18" si="326">(KM10+KM17)*0.220462</f>
        <v>1409.6340279999999</v>
      </c>
      <c r="KN18" s="36">
        <f t="shared" si="326"/>
        <v>1391.3356819999999</v>
      </c>
      <c r="KO18" s="36">
        <f t="shared" si="326"/>
        <v>1398.1700039999998</v>
      </c>
      <c r="KP18" s="36">
        <f t="shared" si="326"/>
        <v>1386.044594</v>
      </c>
      <c r="KQ18" s="36">
        <f t="shared" si="326"/>
        <v>1399.2723140000001</v>
      </c>
      <c r="KR18" s="36"/>
      <c r="KS18" s="36"/>
      <c r="KT18" s="36">
        <f t="shared" ref="KT18:KX18" si="327">(KT10+KT17)*0.220462</f>
        <v>1421.3185140000001</v>
      </c>
      <c r="KU18" s="36">
        <f t="shared" si="327"/>
        <v>1421.3185140000001</v>
      </c>
      <c r="KV18" s="36">
        <f t="shared" si="327"/>
        <v>1405.004326</v>
      </c>
      <c r="KW18" s="36">
        <f t="shared" si="327"/>
        <v>1375.2419559999998</v>
      </c>
      <c r="KX18" s="36">
        <f t="shared" si="327"/>
        <v>1357.604996</v>
      </c>
      <c r="KY18" s="36"/>
      <c r="KZ18" s="36"/>
      <c r="LA18" s="36">
        <f t="shared" ref="LA18:LE18" si="328">(LA10+LA17)*0.220462</f>
        <v>1341.51127</v>
      </c>
      <c r="LB18" s="36">
        <f t="shared" si="328"/>
        <v>1348.5660539999999</v>
      </c>
      <c r="LC18" s="36">
        <f t="shared" si="328"/>
        <v>1369.9508679999999</v>
      </c>
      <c r="LD18" s="36">
        <f t="shared" si="328"/>
        <v>1341.290808</v>
      </c>
      <c r="LE18" s="36">
        <f t="shared" si="328"/>
        <v>1337.542954</v>
      </c>
      <c r="LF18" s="36"/>
      <c r="LG18" s="36"/>
      <c r="LH18" s="36">
        <f t="shared" ref="LH18" si="329">(LH10+LH17)*0.220462</f>
        <v>1337.542954</v>
      </c>
      <c r="LI18" s="36">
        <f t="shared" ref="LI18:LL18" si="330">(LI10+LI17)*0.220462</f>
        <v>1377.2261140000001</v>
      </c>
      <c r="LJ18" s="36">
        <f t="shared" si="330"/>
        <v>1371.9350259999999</v>
      </c>
      <c r="LK18" s="36">
        <f t="shared" si="330"/>
        <v>1370.6122539999999</v>
      </c>
      <c r="LL18" s="36">
        <f t="shared" si="330"/>
        <v>1359.368692</v>
      </c>
      <c r="LM18" s="36"/>
      <c r="LN18" s="36"/>
      <c r="LO18" s="36">
        <f t="shared" ref="LO18:LS18" si="331">(LO10+LO17)*0.220462</f>
        <v>1391.9970679999999</v>
      </c>
      <c r="LP18" s="36">
        <f t="shared" si="331"/>
        <v>1414.0432679999999</v>
      </c>
      <c r="LQ18" s="36">
        <f t="shared" si="331"/>
        <v>1420.6571280000001</v>
      </c>
      <c r="LR18" s="36">
        <f t="shared" si="331"/>
        <v>1420.6571280000001</v>
      </c>
      <c r="LS18" s="36">
        <f t="shared" si="331"/>
        <v>1389.3515239999999</v>
      </c>
      <c r="LT18" s="36"/>
      <c r="LU18" s="36"/>
      <c r="LV18" s="36">
        <f t="shared" ref="LV18:LZ18" si="332">(LV10+LV17)*0.220462</f>
        <v>1372.5964119999999</v>
      </c>
      <c r="LW18" s="36">
        <f t="shared" si="332"/>
        <v>1285.5139219999999</v>
      </c>
      <c r="LX18" s="36">
        <f t="shared" si="332"/>
        <v>1284.1911499999999</v>
      </c>
      <c r="LY18" s="36">
        <f t="shared" si="332"/>
        <v>1349.8888259999999</v>
      </c>
      <c r="LZ18" s="36">
        <f t="shared" si="332"/>
        <v>1347.0228199999999</v>
      </c>
      <c r="MA18" s="36"/>
      <c r="MB18" s="36"/>
      <c r="MC18" s="36">
        <f t="shared" ref="MC18:MG18" si="333">(MC10+MC17)*0.220462</f>
        <v>1362.234698</v>
      </c>
      <c r="MD18" s="36">
        <f t="shared" si="333"/>
        <v>1345.7000479999999</v>
      </c>
      <c r="ME18" s="36">
        <f t="shared" si="333"/>
        <v>1311.3079760000001</v>
      </c>
      <c r="MF18" s="36">
        <f t="shared" si="333"/>
        <v>1318.142298</v>
      </c>
      <c r="MG18" s="36">
        <f t="shared" si="333"/>
        <v>1302.7099579999999</v>
      </c>
      <c r="MH18" s="36"/>
      <c r="MI18" s="36"/>
      <c r="MJ18" s="36">
        <f t="shared" ref="MJ18:MN18" si="334">(MJ10+MJ17)*0.220462</f>
        <v>1317.039988</v>
      </c>
      <c r="MK18" s="36">
        <f t="shared" si="334"/>
        <v>1311.969362</v>
      </c>
      <c r="ML18" s="36">
        <f t="shared" si="334"/>
        <v>1355.1799140000001</v>
      </c>
      <c r="MM18" s="36">
        <f t="shared" si="334"/>
        <v>1370.1713299999999</v>
      </c>
      <c r="MN18" s="36">
        <f t="shared" si="334"/>
        <v>1342.172656</v>
      </c>
      <c r="MO18" s="36"/>
      <c r="MP18" s="36"/>
      <c r="MQ18" s="36">
        <f t="shared" ref="MQ18:MU18" si="335">(MQ10+MQ17)*0.220462</f>
        <v>1277.356828</v>
      </c>
      <c r="MR18" s="36">
        <f t="shared" si="335"/>
        <v>1289.7027</v>
      </c>
      <c r="MS18" s="36">
        <f t="shared" si="335"/>
        <v>1285.9548459999999</v>
      </c>
      <c r="MT18" s="36">
        <f t="shared" si="335"/>
        <v>1299.4030279999999</v>
      </c>
      <c r="MU18" s="36">
        <f t="shared" si="335"/>
        <v>1299.4030279999999</v>
      </c>
      <c r="MV18" s="36"/>
      <c r="MW18" s="36"/>
      <c r="MX18" s="36">
        <f t="shared" ref="MX18:NB18" si="336">(MX10+MX17)*0.220462</f>
        <v>1349.6683639999999</v>
      </c>
      <c r="MY18" s="36">
        <f t="shared" si="336"/>
        <v>1334.89741</v>
      </c>
      <c r="MZ18" s="36">
        <f t="shared" si="336"/>
        <v>1338.20434</v>
      </c>
      <c r="NA18" s="36">
        <f t="shared" si="336"/>
        <v>1319.46507</v>
      </c>
      <c r="NB18" s="36">
        <f t="shared" si="336"/>
        <v>1319.46507</v>
      </c>
    </row>
    <row r="19" spans="1:367" x14ac:dyDescent="0.25">
      <c r="A19" s="17" t="s">
        <v>85</v>
      </c>
      <c r="B19" s="59"/>
      <c r="C19" s="59"/>
      <c r="D19" s="59"/>
      <c r="E19" s="59">
        <f>E18*E20</f>
        <v>5454.8700796018002</v>
      </c>
      <c r="F19" s="59">
        <f>F18*F20</f>
        <v>5796.4084210911997</v>
      </c>
      <c r="G19" s="59">
        <f>G18*G20</f>
        <v>5755.2864158481998</v>
      </c>
      <c r="H19" s="59">
        <f>H18*H20</f>
        <v>5836.6355490300002</v>
      </c>
      <c r="I19" s="59">
        <f>I18*I20</f>
        <v>5817.7911186559995</v>
      </c>
      <c r="J19" s="59"/>
      <c r="K19" s="59"/>
      <c r="L19" s="59">
        <f>L18*L20</f>
        <v>5892.2984561760004</v>
      </c>
      <c r="M19" s="59">
        <f>M18*M20</f>
        <v>5857.0261455485997</v>
      </c>
      <c r="N19" s="59">
        <f>N18*N20</f>
        <v>5589.5889623904004</v>
      </c>
      <c r="O19" s="59">
        <f>O18*O20</f>
        <v>5658.6106762415993</v>
      </c>
      <c r="P19" s="59">
        <f>P18*P20</f>
        <v>5455.6421595720003</v>
      </c>
      <c r="Q19" s="59"/>
      <c r="R19" s="59"/>
      <c r="S19" s="59">
        <f>S18*S20</f>
        <v>5335.3009927140001</v>
      </c>
      <c r="T19" s="59">
        <f>T18*T20</f>
        <v>5216.9539046459995</v>
      </c>
      <c r="U19" s="59">
        <f>U18*U20</f>
        <v>5324.1268762439995</v>
      </c>
      <c r="V19" s="59">
        <f t="shared" ref="V19:W19" si="337">V18*V20</f>
        <v>5324.286931656</v>
      </c>
      <c r="W19" s="59">
        <f t="shared" si="337"/>
        <v>5299.1120451830002</v>
      </c>
      <c r="X19" s="24"/>
      <c r="Y19" s="24"/>
      <c r="Z19" s="24">
        <f>Z18*Z20</f>
        <v>5375.4340936097997</v>
      </c>
      <c r="AA19" s="24">
        <f>AA18*AA20</f>
        <v>5332.8488379803994</v>
      </c>
      <c r="AB19" s="24">
        <f>AB18*AB20</f>
        <v>5426.8596108847996</v>
      </c>
      <c r="AC19" s="24">
        <f t="shared" ref="AC19:AD19" si="338">AC18*AC20</f>
        <v>5438.7546601410004</v>
      </c>
      <c r="AD19" s="24">
        <f t="shared" si="338"/>
        <v>5700.2176758383994</v>
      </c>
      <c r="AE19" s="24"/>
      <c r="AF19" s="24"/>
      <c r="AG19" s="24">
        <f>AG18*AG20</f>
        <v>5702.5557414869991</v>
      </c>
      <c r="AH19" s="24">
        <f>AH18*AH20</f>
        <v>5584.4379118527995</v>
      </c>
      <c r="AI19" s="24">
        <f>AI18*AI20</f>
        <v>5556.4263628719991</v>
      </c>
      <c r="AJ19" s="24">
        <f t="shared" ref="AJ19:AK19" si="339">AJ18*AJ20</f>
        <v>5697.4029492995996</v>
      </c>
      <c r="AK19" s="24">
        <f t="shared" si="339"/>
        <v>5602.0010611751995</v>
      </c>
      <c r="AL19" s="24"/>
      <c r="AM19" s="24"/>
      <c r="AN19" s="24">
        <f>AN18*AN20</f>
        <v>5611.6966492421989</v>
      </c>
      <c r="AO19" s="24">
        <f>AO18*AO20</f>
        <v>5715.4016433491997</v>
      </c>
      <c r="AP19" s="24">
        <f>AP18*AP20</f>
        <v>5596.3105621697996</v>
      </c>
      <c r="AQ19" s="24">
        <f t="shared" ref="AQ19:AR19" si="340">AQ18*AQ20</f>
        <v>5488.8774454118002</v>
      </c>
      <c r="AR19" s="24">
        <f t="shared" si="340"/>
        <v>5580.5909381375996</v>
      </c>
      <c r="AS19" s="24"/>
      <c r="AT19" s="24"/>
      <c r="AU19" s="59">
        <v>5611.6966492421989</v>
      </c>
      <c r="AV19" s="59">
        <v>5715.4016433491997</v>
      </c>
      <c r="AW19" s="24">
        <f>AW18*AW20</f>
        <v>5701.2111437490003</v>
      </c>
      <c r="AX19" s="24">
        <f t="shared" ref="AX19:AY19" si="341">AX18*AX20</f>
        <v>5728.4820726869993</v>
      </c>
      <c r="AY19" s="24">
        <f t="shared" si="341"/>
        <v>5747.6214812169992</v>
      </c>
      <c r="AZ19" s="24"/>
      <c r="BA19" s="24"/>
      <c r="BB19" s="24">
        <f>BB18*BB20</f>
        <v>5885.2077368700002</v>
      </c>
      <c r="BC19" s="24">
        <f>BC18*BC20</f>
        <v>5883.8167098347994</v>
      </c>
      <c r="BD19" s="24">
        <f>BD18*BD20</f>
        <v>6132.2604523532</v>
      </c>
      <c r="BE19" s="24">
        <f t="shared" ref="BE19:BF19" si="342">BE18*BE20</f>
        <v>6157.9060472423989</v>
      </c>
      <c r="BF19" s="24">
        <f t="shared" si="342"/>
        <v>6259.0278660491986</v>
      </c>
      <c r="BG19" s="24"/>
      <c r="BH19" s="24"/>
      <c r="BI19" s="24">
        <f>BI18*BI20</f>
        <v>6248.8594310846001</v>
      </c>
      <c r="BJ19" s="24">
        <f>BJ18*BJ20</f>
        <v>6424.7875338833992</v>
      </c>
      <c r="BK19" s="24">
        <f>BK18*BK20</f>
        <v>6554.3951154329998</v>
      </c>
      <c r="BL19" s="24">
        <f t="shared" ref="BL19:BM19" si="343">BL18*BL20</f>
        <v>6492.0390921980006</v>
      </c>
      <c r="BM19" s="24">
        <f t="shared" si="343"/>
        <v>6754.9423640952</v>
      </c>
      <c r="BN19" s="24"/>
      <c r="BO19" s="24"/>
      <c r="BP19" s="24">
        <f>BP18*BP20</f>
        <v>6960.2948686479995</v>
      </c>
      <c r="BQ19" s="24">
        <f>BQ18*BQ20</f>
        <v>7228.5589827220001</v>
      </c>
      <c r="BR19" s="24">
        <f>BR18*BR20</f>
        <v>7200.7496414875995</v>
      </c>
      <c r="BS19" s="24">
        <f t="shared" ref="BS19:BT19" si="344">BS18*BS20</f>
        <v>7079.6234976324004</v>
      </c>
      <c r="BT19" s="24">
        <f t="shared" si="344"/>
        <v>7122.3672213473992</v>
      </c>
      <c r="BU19" s="24"/>
      <c r="BV19" s="24"/>
      <c r="BW19" s="24">
        <f>BW18*BW20</f>
        <v>6949.5310319599994</v>
      </c>
      <c r="BX19" s="24">
        <f>BX18*BX20</f>
        <v>6906.2510344299999</v>
      </c>
      <c r="BY19" s="24">
        <f>BY18*BY20</f>
        <v>6997.2734008320003</v>
      </c>
      <c r="BZ19" s="24">
        <f t="shared" ref="BZ19:CA19" si="345">BZ18*BZ20</f>
        <v>6728.4107324279994</v>
      </c>
      <c r="CA19" s="24">
        <f t="shared" si="345"/>
        <v>6723.6051017519994</v>
      </c>
      <c r="CB19" s="24"/>
      <c r="CC19" s="24"/>
      <c r="CD19" s="24">
        <f>CD18*CD20</f>
        <v>7029.5946732659995</v>
      </c>
      <c r="CE19" s="24">
        <f>CE18*CE20</f>
        <v>6810.7083151799998</v>
      </c>
      <c r="CF19" s="24">
        <f>CF18*CF20</f>
        <v>6913.9184823280002</v>
      </c>
      <c r="CG19" s="24">
        <f t="shared" ref="CG19:CM19" si="346">CG18*CG20</f>
        <v>6820.6410101280007</v>
      </c>
      <c r="CH19" s="24">
        <f t="shared" si="346"/>
        <v>6712.6163938239988</v>
      </c>
      <c r="CI19" s="24"/>
      <c r="CJ19" s="24"/>
      <c r="CK19" s="24">
        <f t="shared" si="346"/>
        <v>6890.2382179839997</v>
      </c>
      <c r="CL19" s="24">
        <f t="shared" si="346"/>
        <v>6539.243313328001</v>
      </c>
      <c r="CM19" s="24">
        <f t="shared" si="346"/>
        <v>6772.2010994880002</v>
      </c>
      <c r="CN19" s="24">
        <f t="shared" ref="CN19" si="347">CN18*CN20</f>
        <v>6628.0224788799997</v>
      </c>
      <c r="CO19" s="24">
        <v>6726.9481875199999</v>
      </c>
      <c r="CP19" s="24"/>
      <c r="CQ19" s="24"/>
      <c r="CR19" s="24">
        <f t="shared" ref="CR19:CU19" si="348">CR18*CR20</f>
        <v>6723.4047017940002</v>
      </c>
      <c r="CS19" s="24">
        <f t="shared" si="348"/>
        <v>6824.2363044240001</v>
      </c>
      <c r="CT19" s="24">
        <f t="shared" si="348"/>
        <v>6730.1515003800005</v>
      </c>
      <c r="CU19" s="24">
        <f t="shared" si="348"/>
        <v>6653.9946661760005</v>
      </c>
      <c r="CV19" s="24">
        <f t="shared" ref="CV19" si="349">CV18*CV20</f>
        <v>6663.1597124400005</v>
      </c>
      <c r="CW19" s="24"/>
      <c r="CX19" s="24"/>
      <c r="CY19" s="24">
        <f t="shared" ref="CY19:DC19" si="350">CY18*CY20</f>
        <v>6505.0553891399995</v>
      </c>
      <c r="CZ19" s="24">
        <f t="shared" si="350"/>
        <v>6683.5211418360004</v>
      </c>
      <c r="DA19" s="24">
        <f t="shared" si="350"/>
        <v>6820.1599620439983</v>
      </c>
      <c r="DB19" s="24">
        <f t="shared" si="350"/>
        <v>6829.2749634339998</v>
      </c>
      <c r="DC19" s="24">
        <f t="shared" si="350"/>
        <v>6907.2543569919999</v>
      </c>
      <c r="DD19" s="24"/>
      <c r="DE19" s="24"/>
      <c r="DF19" s="24">
        <f t="shared" ref="DF19:DJ19" si="351">DF18*DF20</f>
        <v>6791.882624075999</v>
      </c>
      <c r="DG19" s="24">
        <f t="shared" si="351"/>
        <v>6800.3999529839994</v>
      </c>
      <c r="DH19" s="24">
        <f t="shared" ref="DH19" si="352">DH18*DH20</f>
        <v>7312.0746180239994</v>
      </c>
      <c r="DI19" s="24">
        <f t="shared" si="351"/>
        <v>7102.7459490240008</v>
      </c>
      <c r="DJ19" s="24">
        <f t="shared" si="351"/>
        <v>7029.9683563559993</v>
      </c>
      <c r="DK19" s="24"/>
      <c r="DL19" s="24"/>
      <c r="DM19" s="24">
        <f t="shared" ref="DM19:DQ19" si="353">DM18*DM20</f>
        <v>7122.0196189119997</v>
      </c>
      <c r="DN19" s="24">
        <f t="shared" si="353"/>
        <v>7249.8487776000011</v>
      </c>
      <c r="DO19" s="24">
        <f t="shared" si="353"/>
        <v>7815.5983620000006</v>
      </c>
      <c r="DP19" s="24">
        <f t="shared" si="353"/>
        <v>7416.2213077479992</v>
      </c>
      <c r="DQ19" s="24">
        <f t="shared" si="353"/>
        <v>7499.5193470559989</v>
      </c>
      <c r="DR19" s="24"/>
      <c r="DS19" s="24"/>
      <c r="DT19" s="24">
        <f t="shared" ref="DT19:DX19" si="354">DT18*DT20</f>
        <v>7488.5756133760005</v>
      </c>
      <c r="DU19" s="24">
        <f t="shared" si="354"/>
        <v>7263.1757055000007</v>
      </c>
      <c r="DV19" s="24">
        <f t="shared" si="354"/>
        <v>7034.2069587679998</v>
      </c>
      <c r="DW19" s="24">
        <f t="shared" si="354"/>
        <v>6908.6893441499988</v>
      </c>
      <c r="DX19" s="24">
        <f t="shared" si="354"/>
        <v>7122.586647176</v>
      </c>
      <c r="DY19" s="24"/>
      <c r="DZ19" s="24"/>
      <c r="EA19" s="24">
        <f t="shared" ref="EA19:EE19" si="355">EA18*EA20</f>
        <v>7091.7157942400008</v>
      </c>
      <c r="EB19" s="24">
        <f t="shared" si="355"/>
        <v>7250.16624288</v>
      </c>
      <c r="EC19" s="24">
        <f t="shared" si="355"/>
        <v>7289.4128881199995</v>
      </c>
      <c r="ED19" s="24">
        <f t="shared" si="355"/>
        <v>7281.2809267880002</v>
      </c>
      <c r="EE19" s="24">
        <f t="shared" si="355"/>
        <v>7307.7154228979998</v>
      </c>
      <c r="EF19" s="24"/>
      <c r="EG19" s="24"/>
      <c r="EH19" s="24">
        <f t="shared" ref="EH19:EL19" si="356">EH18*EH20</f>
        <v>7381.1614563500007</v>
      </c>
      <c r="EI19" s="24">
        <f t="shared" si="356"/>
        <v>7322.5981511319997</v>
      </c>
      <c r="EJ19" s="24">
        <f t="shared" si="356"/>
        <v>7099.8362915479993</v>
      </c>
      <c r="EK19" s="24">
        <f t="shared" si="356"/>
        <v>7026.4577194679987</v>
      </c>
      <c r="EL19" s="24">
        <f t="shared" si="356"/>
        <v>7187.5016830759996</v>
      </c>
      <c r="EM19" s="24"/>
      <c r="EN19" s="24"/>
      <c r="EO19" s="24">
        <f t="shared" ref="EO19:ES19" si="357">EO18*EO20</f>
        <v>7169.1409022376001</v>
      </c>
      <c r="EP19" s="24">
        <f t="shared" si="357"/>
        <v>7051.4695742919994</v>
      </c>
      <c r="EQ19" s="24">
        <f t="shared" si="357"/>
        <v>6935.7539206559995</v>
      </c>
      <c r="ER19" s="24">
        <f t="shared" si="357"/>
        <v>7082.545236426</v>
      </c>
      <c r="ES19" s="24">
        <f t="shared" si="357"/>
        <v>6663.28096654</v>
      </c>
      <c r="ET19" s="24"/>
      <c r="EU19" s="24"/>
      <c r="EV19" s="24">
        <f t="shared" ref="EV19:EZ19" si="358">EV18*EV20</f>
        <v>6665.8290663360003</v>
      </c>
      <c r="EW19" s="24">
        <f t="shared" si="358"/>
        <v>6532.3898111339995</v>
      </c>
      <c r="EX19" s="24">
        <f t="shared" si="358"/>
        <v>6784.9499760239996</v>
      </c>
      <c r="EY19" s="24">
        <v>6830.0476827439998</v>
      </c>
      <c r="EZ19" s="24">
        <f t="shared" si="358"/>
        <v>6571.6071349280001</v>
      </c>
      <c r="FA19" s="24"/>
      <c r="FB19" s="24"/>
      <c r="FC19" s="24">
        <f t="shared" ref="FC19:FG19" si="359">FC18*FC20</f>
        <v>6492.7860174540001</v>
      </c>
      <c r="FD19" s="24">
        <f t="shared" si="359"/>
        <v>6598.4117867359992</v>
      </c>
      <c r="FE19" s="24">
        <f t="shared" si="359"/>
        <v>6304.0947962740001</v>
      </c>
      <c r="FF19" s="24">
        <f t="shared" si="359"/>
        <v>5911.3904653759992</v>
      </c>
      <c r="FG19" s="24">
        <f t="shared" si="359"/>
        <v>5865.0308341680002</v>
      </c>
      <c r="FH19" s="24"/>
      <c r="FI19" s="24"/>
      <c r="FJ19" s="24">
        <f t="shared" ref="FJ19:FN19" si="360">FJ18*FJ20</f>
        <v>5697.1384389919995</v>
      </c>
      <c r="FK19" s="24">
        <f t="shared" si="360"/>
        <v>5783.5249304580002</v>
      </c>
      <c r="FL19" s="24">
        <f t="shared" si="360"/>
        <v>5319.9993866799996</v>
      </c>
      <c r="FM19" s="24">
        <f t="shared" si="360"/>
        <v>5058.3892566899995</v>
      </c>
      <c r="FN19" s="24">
        <f t="shared" si="360"/>
        <v>5281.7452613639998</v>
      </c>
      <c r="FO19" s="24"/>
      <c r="FP19" s="24"/>
      <c r="FQ19" s="24">
        <f t="shared" ref="FQ19:FU19" si="361">FQ18*FQ20</f>
        <v>5477.9341747019989</v>
      </c>
      <c r="FR19" s="24">
        <f t="shared" si="361"/>
        <v>5493.7893608180002</v>
      </c>
      <c r="FS19" s="24">
        <f t="shared" si="361"/>
        <v>5580.8771419059995</v>
      </c>
      <c r="FT19" s="24">
        <f t="shared" si="361"/>
        <v>5607.7596168</v>
      </c>
      <c r="FU19" s="24">
        <f t="shared" si="361"/>
        <v>5283.4423778399996</v>
      </c>
      <c r="FV19" s="24"/>
      <c r="FW19" s="24"/>
      <c r="FX19" s="24">
        <f t="shared" ref="FX19:GB19" si="362">FX18*FX20</f>
        <v>5578.3588044799999</v>
      </c>
      <c r="FY19" s="24">
        <f t="shared" si="362"/>
        <v>5800.1898734999995</v>
      </c>
      <c r="FZ19" s="24">
        <f t="shared" si="362"/>
        <v>5751.9488195839995</v>
      </c>
      <c r="GA19" s="24">
        <f t="shared" si="362"/>
        <v>5742.1576612399995</v>
      </c>
      <c r="GB19" s="24">
        <f t="shared" si="362"/>
        <v>6022.4768579359989</v>
      </c>
      <c r="GC19" s="24"/>
      <c r="GD19" s="24"/>
      <c r="GE19" s="24">
        <f t="shared" ref="GE19:GI19" si="363">GE18*GE20</f>
        <v>6189.4486037999995</v>
      </c>
      <c r="GF19" s="24">
        <f t="shared" si="363"/>
        <v>6242.2078059439991</v>
      </c>
      <c r="GG19" s="24">
        <f t="shared" si="363"/>
        <v>6701.8437386559999</v>
      </c>
      <c r="GH19" s="24">
        <f t="shared" si="363"/>
        <v>6520.4392274999991</v>
      </c>
      <c r="GI19" s="24">
        <f t="shared" si="363"/>
        <v>6281.9582068539994</v>
      </c>
      <c r="GJ19" s="24"/>
      <c r="GK19" s="24"/>
      <c r="GL19" s="24">
        <f t="shared" ref="GL19:GP19" si="364">GL18*GL20</f>
        <v>6331.9501699739994</v>
      </c>
      <c r="GM19" s="24">
        <f t="shared" si="364"/>
        <v>6463.3618361619992</v>
      </c>
      <c r="GN19" s="24">
        <f t="shared" si="364"/>
        <v>6342.2596344800004</v>
      </c>
      <c r="GO19" s="24">
        <f t="shared" si="364"/>
        <v>6532.3527735179996</v>
      </c>
      <c r="GP19" s="24">
        <f t="shared" si="364"/>
        <v>6604.559590068</v>
      </c>
      <c r="GQ19" s="24"/>
      <c r="GR19" s="24"/>
      <c r="GS19" s="24">
        <f t="shared" ref="GS19:GW19" si="365">GS18*GS20</f>
        <v>6703.730672914</v>
      </c>
      <c r="GT19" s="24">
        <f t="shared" si="365"/>
        <v>6617.7427767440004</v>
      </c>
      <c r="GU19" s="24">
        <f t="shared" si="365"/>
        <v>6443.4574244920004</v>
      </c>
      <c r="GV19" s="24">
        <f t="shared" si="365"/>
        <v>6553.6386000799994</v>
      </c>
      <c r="GW19" s="24">
        <f t="shared" si="365"/>
        <v>6685.9995756400003</v>
      </c>
      <c r="GX19" s="24"/>
      <c r="GY19" s="24"/>
      <c r="GZ19" s="24">
        <f t="shared" ref="GZ19:HD19" si="366">GZ18*GZ20</f>
        <v>6794.7265838759995</v>
      </c>
      <c r="HA19" s="24">
        <f t="shared" si="366"/>
        <v>6703.6047891120006</v>
      </c>
      <c r="HB19" s="24">
        <f t="shared" si="366"/>
        <v>6956.8988719999998</v>
      </c>
      <c r="HC19" s="24">
        <f t="shared" si="366"/>
        <v>6807.7175276879989</v>
      </c>
      <c r="HD19" s="24">
        <f t="shared" si="366"/>
        <v>6753.5936657640004</v>
      </c>
      <c r="HE19" s="24"/>
      <c r="HF19" s="24"/>
      <c r="HG19" s="24">
        <f t="shared" ref="HG19:HK19" si="367">HG18*HG20</f>
        <v>6638.7929294279993</v>
      </c>
      <c r="HH19" s="24">
        <f t="shared" si="367"/>
        <v>6681.3526776040007</v>
      </c>
      <c r="HI19" s="24">
        <f t="shared" si="367"/>
        <v>6632.9555365920005</v>
      </c>
      <c r="HJ19" s="24">
        <f t="shared" si="367"/>
        <v>6519.9568566440003</v>
      </c>
      <c r="HK19" s="24">
        <f t="shared" si="367"/>
        <v>6748.9328786219985</v>
      </c>
      <c r="HL19" s="24"/>
      <c r="HM19" s="24"/>
      <c r="HN19" s="24">
        <f t="shared" ref="HN19:HR19" si="368">HN18*HN20</f>
        <v>7122.1999568279998</v>
      </c>
      <c r="HO19" s="24">
        <f t="shared" si="368"/>
        <v>6953.3849281819994</v>
      </c>
      <c r="HP19" s="24">
        <f t="shared" si="368"/>
        <v>6711.1836112860001</v>
      </c>
      <c r="HQ19" s="24">
        <f t="shared" si="368"/>
        <v>6695.0418245700002</v>
      </c>
      <c r="HR19" s="24">
        <f t="shared" si="368"/>
        <v>6751.4578299080003</v>
      </c>
      <c r="HS19" s="24"/>
      <c r="HT19" s="24"/>
      <c r="HU19" s="24">
        <f t="shared" ref="HU19:HY19" si="369">HU18*HU20</f>
        <v>6801.9123223040006</v>
      </c>
      <c r="HV19" s="24">
        <f t="shared" si="369"/>
        <v>6842.551405535999</v>
      </c>
      <c r="HW19" s="24">
        <f t="shared" si="369"/>
        <v>7063.5993935319984</v>
      </c>
      <c r="HX19" s="24">
        <f t="shared" si="369"/>
        <v>7166.7786959999994</v>
      </c>
      <c r="HY19" s="24">
        <f t="shared" si="369"/>
        <v>6818.5530145259991</v>
      </c>
      <c r="HZ19" s="24"/>
      <c r="IA19" s="24"/>
      <c r="IB19" s="24">
        <f>IB18*IB20</f>
        <v>7011.8820947999993</v>
      </c>
      <c r="IC19" s="24">
        <f t="shared" ref="IC19:IF19" si="370">IC18*IC20</f>
        <v>7080.9658466580004</v>
      </c>
      <c r="ID19" s="24">
        <f t="shared" si="370"/>
        <v>7042.0600577161995</v>
      </c>
      <c r="IE19" s="24">
        <f t="shared" si="370"/>
        <v>6914.324573332</v>
      </c>
      <c r="IF19" s="24">
        <f t="shared" si="370"/>
        <v>7000.38720612</v>
      </c>
      <c r="IG19" s="24"/>
      <c r="IH19" s="24"/>
      <c r="II19" s="24">
        <f t="shared" ref="II19:IM19" si="371">II18*II20</f>
        <v>6835.0193653983997</v>
      </c>
      <c r="IJ19" s="24">
        <f t="shared" si="371"/>
        <v>6707.774166455999</v>
      </c>
      <c r="IK19" s="24">
        <f t="shared" si="371"/>
        <v>6720.7400437385995</v>
      </c>
      <c r="IL19" s="24">
        <f t="shared" si="371"/>
        <v>6809.6265081459997</v>
      </c>
      <c r="IM19" s="24">
        <f t="shared" si="371"/>
        <v>6779.1183152000003</v>
      </c>
      <c r="IN19" s="24"/>
      <c r="IO19" s="24"/>
      <c r="IP19" s="24">
        <f t="shared" ref="IP19:IT19" si="372">IP18*IP20</f>
        <v>6790.9240553</v>
      </c>
      <c r="IQ19" s="24">
        <f t="shared" si="372"/>
        <v>6790.9240553</v>
      </c>
      <c r="IR19" s="24">
        <f t="shared" si="372"/>
        <v>6790.88657676</v>
      </c>
      <c r="IS19" s="24">
        <f t="shared" si="372"/>
        <v>6721.3801992480003</v>
      </c>
      <c r="IT19" s="24">
        <f t="shared" si="372"/>
        <v>6580.936204919999</v>
      </c>
      <c r="IU19" s="24"/>
      <c r="IV19" s="24"/>
      <c r="IW19" s="24">
        <f t="shared" ref="IW19:JA19" si="373">IW18*IW20</f>
        <v>6764.1798100799997</v>
      </c>
      <c r="IX19" s="24">
        <f t="shared" si="373"/>
        <v>6875.9381708159999</v>
      </c>
      <c r="IY19" s="24">
        <f t="shared" si="373"/>
        <v>7105.6373081539987</v>
      </c>
      <c r="IZ19" s="24">
        <f t="shared" si="373"/>
        <v>6819.5100400680003</v>
      </c>
      <c r="JA19" s="24">
        <f t="shared" si="373"/>
        <v>6863.7642591759986</v>
      </c>
      <c r="JB19" s="24"/>
      <c r="JC19" s="24"/>
      <c r="JD19" s="24">
        <f t="shared" ref="JD19:JH19" si="374">JD18*JD20</f>
        <v>6710.7817090599992</v>
      </c>
      <c r="JE19" s="24">
        <f t="shared" si="374"/>
        <v>6772.7619548160001</v>
      </c>
      <c r="JF19" s="24">
        <f t="shared" si="374"/>
        <v>6862.766668626</v>
      </c>
      <c r="JG19" s="24">
        <f t="shared" si="374"/>
        <v>6959.8442443200001</v>
      </c>
      <c r="JH19" s="24">
        <f t="shared" si="374"/>
        <v>7087.8608838928003</v>
      </c>
      <c r="JI19" s="24"/>
      <c r="JJ19" s="24"/>
      <c r="JK19" s="24">
        <f t="shared" ref="JK19:JO19" si="375">JK18*JK20</f>
        <v>7049.9448591</v>
      </c>
      <c r="JL19" s="24">
        <f t="shared" si="375"/>
        <v>7022.8397396321998</v>
      </c>
      <c r="JM19" s="24">
        <f t="shared" si="375"/>
        <v>7019.7583202119995</v>
      </c>
      <c r="JN19" s="24">
        <f t="shared" si="375"/>
        <v>7169.5077730517996</v>
      </c>
      <c r="JO19" s="24">
        <f t="shared" si="375"/>
        <v>7108.2184331575991</v>
      </c>
      <c r="JP19" s="24"/>
      <c r="JQ19" s="24"/>
      <c r="JR19" s="24">
        <f t="shared" ref="JR19:JV19" si="376">JR18*JR20</f>
        <v>7128.8962034773995</v>
      </c>
      <c r="JS19" s="24">
        <f t="shared" si="376"/>
        <v>7475.0082055263993</v>
      </c>
      <c r="JT19" s="24">
        <f t="shared" si="376"/>
        <v>7296.1823501995996</v>
      </c>
      <c r="JU19" s="24">
        <f t="shared" si="376"/>
        <v>7524.3246289859999</v>
      </c>
      <c r="JV19" s="24">
        <f t="shared" si="376"/>
        <v>7483.8957121785998</v>
      </c>
      <c r="JW19" s="24"/>
      <c r="JX19" s="24"/>
      <c r="JY19" s="24">
        <f t="shared" ref="JY19:KC19" si="377">JY18*JY20</f>
        <v>7573.5167559699985</v>
      </c>
      <c r="JZ19" s="24">
        <f t="shared" si="377"/>
        <v>7573.5167559699985</v>
      </c>
      <c r="KA19" s="24">
        <f t="shared" si="377"/>
        <v>7589.3342430839994</v>
      </c>
      <c r="KB19" s="24">
        <f t="shared" si="377"/>
        <v>7495.6268699840002</v>
      </c>
      <c r="KC19" s="24">
        <f t="shared" si="377"/>
        <v>7629.8368603379995</v>
      </c>
      <c r="KD19" s="24"/>
      <c r="KE19" s="24"/>
      <c r="KF19" s="24">
        <f t="shared" ref="KF19:KJ19" si="378">KF18*KF20</f>
        <v>7813.8386343159991</v>
      </c>
      <c r="KG19" s="24">
        <f t="shared" si="378"/>
        <v>7862.5488313679998</v>
      </c>
      <c r="KH19" s="24">
        <f t="shared" si="378"/>
        <v>7999.9508910200002</v>
      </c>
      <c r="KI19" s="24">
        <f t="shared" si="378"/>
        <v>7846.1843780319996</v>
      </c>
      <c r="KJ19" s="24">
        <f t="shared" si="378"/>
        <v>7879.0671671800001</v>
      </c>
      <c r="KK19" s="24"/>
      <c r="KL19" s="24"/>
      <c r="KM19" s="24">
        <f t="shared" ref="KM19:KQ19" si="379">KM18*KM20</f>
        <v>7889.7216547160006</v>
      </c>
      <c r="KN19" s="24">
        <f t="shared" si="379"/>
        <v>7762.2617698779995</v>
      </c>
      <c r="KO19" s="24">
        <f t="shared" si="379"/>
        <v>7782.214242263999</v>
      </c>
      <c r="KP19" s="24">
        <f t="shared" si="379"/>
        <v>7707.7939872339994</v>
      </c>
      <c r="KQ19" s="24">
        <f t="shared" si="379"/>
        <v>7894.6943955880006</v>
      </c>
      <c r="KR19" s="24"/>
      <c r="KS19" s="24"/>
      <c r="KT19" s="24">
        <f t="shared" ref="KT19:KX19" si="380">KT18*KT20</f>
        <v>8056.0333373520007</v>
      </c>
      <c r="KU19" s="24">
        <f t="shared" si="380"/>
        <v>8056.0333373520007</v>
      </c>
      <c r="KV19" s="24">
        <f t="shared" si="380"/>
        <v>7962.0190150094004</v>
      </c>
      <c r="KW19" s="24">
        <f t="shared" si="380"/>
        <v>7693.1035018639996</v>
      </c>
      <c r="KX19" s="24">
        <f t="shared" si="380"/>
        <v>7527.9197028199997</v>
      </c>
      <c r="KY19" s="24"/>
      <c r="KZ19" s="24"/>
      <c r="LA19" s="24">
        <f t="shared" ref="LA19:LE19" si="381">LA18*LA20</f>
        <v>7461.4856837400002</v>
      </c>
      <c r="LB19" s="24">
        <f t="shared" si="381"/>
        <v>7410.3704667299999</v>
      </c>
      <c r="LC19" s="24">
        <f t="shared" si="381"/>
        <v>7478.1508031515996</v>
      </c>
      <c r="LD19" s="24">
        <f t="shared" si="381"/>
        <v>7279.1852150159993</v>
      </c>
      <c r="LE19" s="24">
        <f t="shared" si="381"/>
        <v>7248.1452677259995</v>
      </c>
      <c r="LF19" s="24"/>
      <c r="LG19" s="24"/>
      <c r="LH19" s="24">
        <f t="shared" ref="LH19" si="382">LH18*LH20</f>
        <v>7248.1452677259995</v>
      </c>
      <c r="LI19" s="24">
        <f t="shared" ref="LI19:LL19" si="383">LI18*LI20</f>
        <v>7543.0674263780011</v>
      </c>
      <c r="LJ19" s="24">
        <f t="shared" si="383"/>
        <v>7544.2707079739985</v>
      </c>
      <c r="LK19" s="24">
        <f t="shared" si="383"/>
        <v>7601.4155606839995</v>
      </c>
      <c r="LL19" s="24">
        <f t="shared" si="383"/>
        <v>7555.3711901360002</v>
      </c>
      <c r="LM19" s="24"/>
      <c r="LN19" s="24"/>
      <c r="LO19" s="24">
        <f t="shared" ref="LO19:LS19" si="384">LO18*LO20</f>
        <v>7772.9116277119992</v>
      </c>
      <c r="LP19" s="24">
        <f t="shared" si="384"/>
        <v>7982.2742478599985</v>
      </c>
      <c r="LQ19" s="24">
        <f t="shared" si="384"/>
        <v>7958.5212310560009</v>
      </c>
      <c r="LR19" s="24">
        <f t="shared" si="384"/>
        <v>7917.3221743440008</v>
      </c>
      <c r="LS19" s="24">
        <f t="shared" si="384"/>
        <v>7760.9176130639999</v>
      </c>
      <c r="LT19" s="24"/>
      <c r="LU19" s="24"/>
      <c r="LV19" s="24">
        <f t="shared" ref="LV19:LZ19" si="385">LV18*LV20</f>
        <v>7703.0110641439996</v>
      </c>
      <c r="LW19" s="24">
        <f t="shared" si="385"/>
        <v>7223.302727717999</v>
      </c>
      <c r="LX19" s="24">
        <f t="shared" si="385"/>
        <v>7212.0174983999987</v>
      </c>
      <c r="LY19" s="24">
        <f t="shared" si="385"/>
        <v>7605.2736456839993</v>
      </c>
      <c r="LZ19" s="24">
        <f t="shared" si="385"/>
        <v>7599.9027504400001</v>
      </c>
      <c r="MA19" s="24"/>
      <c r="MB19" s="24"/>
      <c r="MC19" s="24">
        <f t="shared" ref="MC19:MG19" si="386">MC18*MC20</f>
        <v>7747.0287275260007</v>
      </c>
      <c r="MD19" s="24">
        <f t="shared" si="386"/>
        <v>7591.093970768</v>
      </c>
      <c r="ME19" s="24">
        <f t="shared" si="386"/>
        <v>7313.1645821520005</v>
      </c>
      <c r="MF19" s="24">
        <f t="shared" si="386"/>
        <v>7323.5986076879999</v>
      </c>
      <c r="MG19" s="24">
        <f t="shared" si="386"/>
        <v>7286.0567950939994</v>
      </c>
      <c r="MH19" s="24"/>
      <c r="MI19" s="24"/>
      <c r="MJ19" s="24">
        <f t="shared" ref="MJ19:MN19" si="387">MJ18*MJ20</f>
        <v>7422.8373723679997</v>
      </c>
      <c r="MK19" s="24">
        <f t="shared" si="387"/>
        <v>7407.3790178520003</v>
      </c>
      <c r="ML19" s="24">
        <f t="shared" si="387"/>
        <v>7740.787668768</v>
      </c>
      <c r="MM19" s="24">
        <f t="shared" si="387"/>
        <v>7804.4958956799992</v>
      </c>
      <c r="MN19" s="24">
        <f t="shared" si="387"/>
        <v>7645.0154485759995</v>
      </c>
      <c r="MO19" s="24"/>
      <c r="MP19" s="24"/>
      <c r="MQ19" s="24">
        <f t="shared" ref="MQ19:MU19" si="388">MQ18*MQ20</f>
        <v>7287.3207037399998</v>
      </c>
      <c r="MR19" s="24">
        <f t="shared" si="388"/>
        <v>7399.0243899000006</v>
      </c>
      <c r="MS19" s="24">
        <f t="shared" si="388"/>
        <v>7354.3757642739993</v>
      </c>
      <c r="MT19" s="24">
        <f t="shared" si="388"/>
        <v>7394.9026323479993</v>
      </c>
      <c r="MU19" s="24">
        <f t="shared" si="388"/>
        <v>7348.1241233399996</v>
      </c>
      <c r="MV19" s="24"/>
      <c r="MW19" s="24"/>
      <c r="MX19" s="24">
        <f t="shared" ref="MX19:NB19" si="389">MX18*MX20</f>
        <v>7644.5216136959989</v>
      </c>
      <c r="MY19" s="24">
        <f t="shared" si="389"/>
        <v>7534.1609820400008</v>
      </c>
      <c r="MZ19" s="24">
        <f t="shared" si="389"/>
        <v>7576.9129730799996</v>
      </c>
      <c r="NA19" s="24">
        <f t="shared" si="389"/>
        <v>7361.2956255299996</v>
      </c>
      <c r="NB19" s="24">
        <f t="shared" si="389"/>
        <v>7362.6150906000003</v>
      </c>
    </row>
    <row r="20" spans="1:367" x14ac:dyDescent="0.25">
      <c r="A20" s="35" t="s">
        <v>0</v>
      </c>
      <c r="B20" s="90"/>
      <c r="C20" s="90"/>
      <c r="D20" s="90"/>
      <c r="E20" s="90">
        <v>5.1623000000000001</v>
      </c>
      <c r="F20" s="90">
        <v>5.3266</v>
      </c>
      <c r="G20" s="90">
        <v>5.3178999999999998</v>
      </c>
      <c r="H20" s="90">
        <v>5.343</v>
      </c>
      <c r="I20" s="90">
        <v>5.3680000000000003</v>
      </c>
      <c r="J20" s="90"/>
      <c r="K20" s="90"/>
      <c r="L20" s="90">
        <v>5.4960000000000004</v>
      </c>
      <c r="M20" s="90">
        <v>5.4630999999999998</v>
      </c>
      <c r="N20" s="90">
        <v>5.3064</v>
      </c>
      <c r="O20" s="90">
        <v>5.3064</v>
      </c>
      <c r="P20" s="90">
        <v>5.2708000000000004</v>
      </c>
      <c r="Q20" s="90"/>
      <c r="R20" s="90"/>
      <c r="S20" s="90">
        <v>5.2782</v>
      </c>
      <c r="T20" s="90">
        <v>5.2938999999999998</v>
      </c>
      <c r="U20" s="41">
        <v>5.3029999999999999</v>
      </c>
      <c r="V20" s="41">
        <v>5.3159999999999998</v>
      </c>
      <c r="W20" s="41">
        <v>5.4295</v>
      </c>
      <c r="X20" s="41"/>
      <c r="Y20" s="41"/>
      <c r="Z20" s="41">
        <v>5.5076999999999998</v>
      </c>
      <c r="AA20" s="41">
        <v>5.3861999999999997</v>
      </c>
      <c r="AB20" s="41">
        <v>5.4077000000000002</v>
      </c>
      <c r="AC20" s="41">
        <v>5.4279000000000002</v>
      </c>
      <c r="AD20" s="41">
        <v>5.4756</v>
      </c>
      <c r="AE20" s="41"/>
      <c r="AF20" s="41"/>
      <c r="AG20" s="41">
        <v>5.4604999999999997</v>
      </c>
      <c r="AH20" s="41">
        <v>5.3872</v>
      </c>
      <c r="AI20" s="41">
        <v>5.3419999999999996</v>
      </c>
      <c r="AJ20" s="41">
        <v>5.3906999999999998</v>
      </c>
      <c r="AK20" s="41">
        <v>5.3880999999999997</v>
      </c>
      <c r="AL20" s="41"/>
      <c r="AM20" s="41"/>
      <c r="AN20" s="41">
        <v>5.3666999999999998</v>
      </c>
      <c r="AO20" s="41">
        <v>5.4212999999999996</v>
      </c>
      <c r="AP20" s="41">
        <v>5.4020999999999999</v>
      </c>
      <c r="AQ20" s="41">
        <v>5.3623000000000003</v>
      </c>
      <c r="AR20" s="41">
        <v>5.3811999999999998</v>
      </c>
      <c r="AS20" s="41"/>
      <c r="AT20" s="41"/>
      <c r="AU20" s="90">
        <v>5.3666999999999998</v>
      </c>
      <c r="AV20" s="90">
        <v>5.4212999999999996</v>
      </c>
      <c r="AW20" s="41">
        <v>5.4135</v>
      </c>
      <c r="AX20" s="41">
        <v>5.4234999999999998</v>
      </c>
      <c r="AY20" s="41">
        <v>5.3921000000000001</v>
      </c>
      <c r="AZ20" s="41"/>
      <c r="BA20" s="41"/>
      <c r="BB20" s="41">
        <v>5.5041000000000002</v>
      </c>
      <c r="BC20" s="41">
        <v>5.4179000000000004</v>
      </c>
      <c r="BD20" s="90">
        <v>5.4179000000000004</v>
      </c>
      <c r="BE20" s="41">
        <v>5.4596999999999998</v>
      </c>
      <c r="BF20" s="41">
        <v>5.5298999999999996</v>
      </c>
      <c r="BG20" s="60"/>
      <c r="BH20" s="41"/>
      <c r="BI20" s="41">
        <v>5.5829000000000004</v>
      </c>
      <c r="BJ20" s="41">
        <v>5.6840999999999999</v>
      </c>
      <c r="BK20" s="41">
        <v>5.7339000000000002</v>
      </c>
      <c r="BL20" s="41">
        <v>5.6005000000000003</v>
      </c>
      <c r="BM20" s="41">
        <v>5.6867000000000001</v>
      </c>
      <c r="BN20" s="41"/>
      <c r="BO20" s="41"/>
      <c r="BP20" s="41">
        <v>5.734</v>
      </c>
      <c r="BQ20" s="41">
        <v>5.8394000000000004</v>
      </c>
      <c r="BR20" s="41">
        <v>5.7443</v>
      </c>
      <c r="BS20" s="41">
        <v>5.5887000000000002</v>
      </c>
      <c r="BT20" s="41">
        <v>5.6292999999999997</v>
      </c>
      <c r="BU20" s="41"/>
      <c r="BV20" s="41"/>
      <c r="BW20" s="41">
        <v>5.62</v>
      </c>
      <c r="BX20" s="41">
        <v>5.585</v>
      </c>
      <c r="BY20" s="41">
        <v>5.6576000000000004</v>
      </c>
      <c r="BZ20" s="41">
        <v>5.5469999999999997</v>
      </c>
      <c r="CA20" s="41">
        <v>5.508</v>
      </c>
      <c r="CB20" s="41"/>
      <c r="CC20" s="41"/>
      <c r="CD20" s="41">
        <v>5.5289999999999999</v>
      </c>
      <c r="CE20" s="41">
        <v>5.4950000000000001</v>
      </c>
      <c r="CF20" s="41">
        <v>5.5330000000000004</v>
      </c>
      <c r="CG20" s="41">
        <v>5.6580000000000004</v>
      </c>
      <c r="CH20" s="41">
        <v>5.7039999999999997</v>
      </c>
      <c r="CI20" s="41"/>
      <c r="CJ20" s="41"/>
      <c r="CK20" s="41">
        <v>5.7919999999999998</v>
      </c>
      <c r="CL20" s="41">
        <v>5.7640000000000002</v>
      </c>
      <c r="CM20" s="41">
        <v>5.6970000000000001</v>
      </c>
      <c r="CN20" s="41">
        <v>5.68</v>
      </c>
      <c r="CO20" s="41">
        <v>5.68</v>
      </c>
      <c r="CP20" s="41"/>
      <c r="CQ20" s="41"/>
      <c r="CR20" s="41">
        <v>5.657</v>
      </c>
      <c r="CS20" s="41">
        <v>5.6260000000000003</v>
      </c>
      <c r="CT20" s="41">
        <v>5.5860000000000003</v>
      </c>
      <c r="CU20" s="41">
        <v>5.5810000000000004</v>
      </c>
      <c r="CV20" s="41">
        <v>5.6440000000000001</v>
      </c>
      <c r="CW20" s="41"/>
      <c r="CX20" s="41"/>
      <c r="CY20" s="41">
        <v>5.6580000000000004</v>
      </c>
      <c r="CZ20" s="41">
        <v>5.7060000000000004</v>
      </c>
      <c r="DA20" s="41">
        <v>5.6929999999999996</v>
      </c>
      <c r="DB20" s="41">
        <v>5.6230000000000002</v>
      </c>
      <c r="DC20" s="41">
        <v>5.6319999999999997</v>
      </c>
      <c r="DD20" s="41"/>
      <c r="DE20" s="41"/>
      <c r="DF20" s="41">
        <v>5.5739999999999998</v>
      </c>
      <c r="DG20" s="41">
        <v>5.5259999999999998</v>
      </c>
      <c r="DH20" s="41">
        <v>5.5259999999999998</v>
      </c>
      <c r="DI20" s="41">
        <v>5.4960000000000004</v>
      </c>
      <c r="DJ20" s="41">
        <v>5.4779999999999998</v>
      </c>
      <c r="DK20" s="41"/>
      <c r="DL20" s="41"/>
      <c r="DM20" s="41">
        <v>5.4560000000000004</v>
      </c>
      <c r="DN20" s="41">
        <v>5.44</v>
      </c>
      <c r="DO20" s="41">
        <v>5.4</v>
      </c>
      <c r="DP20" s="41">
        <v>5.3659999999999997</v>
      </c>
      <c r="DQ20" s="41">
        <v>5.4029999999999996</v>
      </c>
      <c r="DR20" s="41"/>
      <c r="DS20" s="41"/>
      <c r="DT20" s="41">
        <v>5.4080000000000004</v>
      </c>
      <c r="DU20" s="41">
        <v>5.45</v>
      </c>
      <c r="DV20" s="41">
        <v>5.3860000000000001</v>
      </c>
      <c r="DW20" s="41">
        <v>5.2889999999999997</v>
      </c>
      <c r="DX20" s="41">
        <v>5.2210000000000001</v>
      </c>
      <c r="DY20" s="41"/>
      <c r="DZ20" s="41"/>
      <c r="EA20" s="41">
        <v>5.2220000000000004</v>
      </c>
      <c r="EB20" s="41">
        <v>5.24</v>
      </c>
      <c r="EC20" s="41">
        <v>5.2350000000000003</v>
      </c>
      <c r="ED20" s="41">
        <v>5.2809999999999997</v>
      </c>
      <c r="EE20" s="41">
        <v>5.2690000000000001</v>
      </c>
      <c r="EF20" s="41"/>
      <c r="EG20" s="41"/>
      <c r="EH20" s="41">
        <v>5.2750000000000004</v>
      </c>
      <c r="EI20" s="41">
        <v>5.258</v>
      </c>
      <c r="EJ20" s="41">
        <v>5.282</v>
      </c>
      <c r="EK20" s="41">
        <v>5.2889999999999997</v>
      </c>
      <c r="EL20" s="41">
        <v>5.3019999999999996</v>
      </c>
      <c r="EM20" s="41"/>
      <c r="EN20" s="41"/>
      <c r="EO20" s="41">
        <v>5.3196000000000003</v>
      </c>
      <c r="EP20" s="41">
        <v>5.3140000000000001</v>
      </c>
      <c r="EQ20" s="41">
        <v>5.3159999999999998</v>
      </c>
      <c r="ER20" s="41">
        <v>5.2830000000000004</v>
      </c>
      <c r="ES20" s="41">
        <v>5.23</v>
      </c>
      <c r="ET20" s="41"/>
      <c r="EU20" s="41"/>
      <c r="EV20" s="41">
        <v>5.2320000000000002</v>
      </c>
      <c r="EW20" s="41">
        <v>5.1630000000000003</v>
      </c>
      <c r="EX20" s="41">
        <v>5.1139999999999999</v>
      </c>
      <c r="EY20" s="41">
        <v>5.1139999999999999</v>
      </c>
      <c r="EZ20" s="41">
        <v>5.0659999999999998</v>
      </c>
      <c r="FA20" s="41"/>
      <c r="FB20" s="41"/>
      <c r="FC20" s="41">
        <v>5.0490000000000004</v>
      </c>
      <c r="FD20" s="41">
        <v>5.0659999999999998</v>
      </c>
      <c r="FE20" s="41">
        <v>5.0529999999999999</v>
      </c>
      <c r="FF20" s="41">
        <v>5.0629999999999997</v>
      </c>
      <c r="FG20" s="41">
        <v>5.1180000000000003</v>
      </c>
      <c r="FH20" s="41"/>
      <c r="FI20" s="41"/>
      <c r="FJ20" s="41">
        <v>5.0709999999999997</v>
      </c>
      <c r="FK20" s="41">
        <v>5.0869999999999997</v>
      </c>
      <c r="FL20" s="41">
        <v>5.0199999999999996</v>
      </c>
      <c r="FM20" s="41">
        <v>5.0350000000000001</v>
      </c>
      <c r="FN20" s="41">
        <v>5.0309999999999997</v>
      </c>
      <c r="FO20" s="41"/>
      <c r="FP20" s="41"/>
      <c r="FQ20" s="41">
        <v>5.0369999999999999</v>
      </c>
      <c r="FR20" s="41">
        <v>5.0170000000000003</v>
      </c>
      <c r="FS20" s="41">
        <v>4.9509999999999996</v>
      </c>
      <c r="FT20" s="41">
        <v>4.92</v>
      </c>
      <c r="FU20" s="41">
        <v>4.92</v>
      </c>
      <c r="FV20" s="41"/>
      <c r="FW20" s="41"/>
      <c r="FX20" s="41">
        <v>4.9420000000000002</v>
      </c>
      <c r="FY20" s="41">
        <v>4.95</v>
      </c>
      <c r="FZ20" s="41">
        <v>5.0019999999999998</v>
      </c>
      <c r="GA20" s="41">
        <v>5.0049999999999999</v>
      </c>
      <c r="GB20" s="41">
        <v>5.0289999999999999</v>
      </c>
      <c r="GC20" s="41"/>
      <c r="GD20" s="41"/>
      <c r="GE20" s="41">
        <v>5.0750000000000002</v>
      </c>
      <c r="GF20" s="41">
        <v>5.1639999999999997</v>
      </c>
      <c r="GG20" s="41">
        <v>5.2629999999999999</v>
      </c>
      <c r="GH20" s="41">
        <v>5.258</v>
      </c>
      <c r="GI20" s="41">
        <v>5.2370000000000001</v>
      </c>
      <c r="GJ20" s="41"/>
      <c r="GK20" s="41"/>
      <c r="GL20" s="41">
        <v>5.2229999999999999</v>
      </c>
      <c r="GM20" s="41">
        <v>5.1769999999999996</v>
      </c>
      <c r="GN20" s="41">
        <v>5.08</v>
      </c>
      <c r="GO20" s="41">
        <v>5.0990000000000002</v>
      </c>
      <c r="GP20" s="41">
        <v>5.0940000000000003</v>
      </c>
      <c r="GQ20" s="41"/>
      <c r="GR20" s="41"/>
      <c r="GS20" s="41">
        <v>5.1970000000000001</v>
      </c>
      <c r="GT20" s="41">
        <v>5.2460000000000004</v>
      </c>
      <c r="GU20" s="41">
        <v>5.2510000000000003</v>
      </c>
      <c r="GV20" s="41">
        <v>5.1970000000000001</v>
      </c>
      <c r="GW20" s="41">
        <v>5.17</v>
      </c>
      <c r="GX20" s="41"/>
      <c r="GY20" s="41"/>
      <c r="GZ20" s="41">
        <v>5.1859999999999999</v>
      </c>
      <c r="HA20" s="41">
        <v>5.1660000000000004</v>
      </c>
      <c r="HB20" s="41">
        <v>5.1520000000000001</v>
      </c>
      <c r="HC20" s="41">
        <v>5.0679999999999996</v>
      </c>
      <c r="HD20" s="41">
        <v>5.1210000000000004</v>
      </c>
      <c r="HE20" s="41"/>
      <c r="HF20" s="41"/>
      <c r="HG20" s="41">
        <v>5.1369999999999996</v>
      </c>
      <c r="HH20" s="41">
        <v>5.2460000000000004</v>
      </c>
      <c r="HI20" s="41">
        <v>5.2080000000000002</v>
      </c>
      <c r="HJ20" s="41">
        <v>5.1459999999999999</v>
      </c>
      <c r="HK20" s="41">
        <v>5.2409999999999997</v>
      </c>
      <c r="HL20" s="41"/>
      <c r="HM20" s="41"/>
      <c r="HN20" s="41">
        <v>5.2770000000000001</v>
      </c>
      <c r="HO20" s="41">
        <v>5.2210000000000001</v>
      </c>
      <c r="HP20" s="41">
        <v>5.2009999999999996</v>
      </c>
      <c r="HQ20" s="41">
        <v>5.2350000000000003</v>
      </c>
      <c r="HR20" s="41">
        <v>5.234</v>
      </c>
      <c r="HS20" s="41"/>
      <c r="HT20" s="41"/>
      <c r="HU20" s="41">
        <v>5.2480000000000002</v>
      </c>
      <c r="HV20" s="41">
        <v>5.2569999999999997</v>
      </c>
      <c r="HW20" s="41">
        <v>5.3019999999999996</v>
      </c>
      <c r="HX20" s="41">
        <v>5.4180000000000001</v>
      </c>
      <c r="HY20" s="41">
        <v>5.4269999999999996</v>
      </c>
      <c r="HZ20" s="41"/>
      <c r="IA20" s="41"/>
      <c r="IB20" s="41">
        <v>5.3680000000000003</v>
      </c>
      <c r="IC20" s="41">
        <v>5.3010000000000002</v>
      </c>
      <c r="ID20" s="41">
        <v>5.2458999999999998</v>
      </c>
      <c r="IE20" s="41">
        <v>5.242</v>
      </c>
      <c r="IF20" s="41">
        <v>5.22</v>
      </c>
      <c r="IG20" s="41"/>
      <c r="IH20" s="41"/>
      <c r="II20" s="41">
        <v>5.1948999999999996</v>
      </c>
      <c r="IJ20" s="41">
        <v>5.1429999999999998</v>
      </c>
      <c r="IK20" s="41">
        <v>5.1573000000000002</v>
      </c>
      <c r="IL20" s="41">
        <v>5.173</v>
      </c>
      <c r="IM20" s="41">
        <v>5.1680000000000001</v>
      </c>
      <c r="IN20" s="41"/>
      <c r="IO20" s="41"/>
      <c r="IP20" s="41">
        <v>5.1769999999999996</v>
      </c>
      <c r="IQ20" s="41">
        <v>5.1769999999999996</v>
      </c>
      <c r="IR20" s="41">
        <v>5.2519999999999998</v>
      </c>
      <c r="IS20" s="41">
        <v>5.282</v>
      </c>
      <c r="IT20" s="41">
        <v>5.2149999999999999</v>
      </c>
      <c r="IU20" s="41"/>
      <c r="IV20" s="41"/>
      <c r="IW20" s="41">
        <v>5.218</v>
      </c>
      <c r="IX20" s="41">
        <v>5.226</v>
      </c>
      <c r="IY20" s="41">
        <v>5.2569999999999997</v>
      </c>
      <c r="IZ20" s="41">
        <v>5.258</v>
      </c>
      <c r="JA20" s="41">
        <v>5.3319999999999999</v>
      </c>
      <c r="JB20" s="41"/>
      <c r="JC20" s="41"/>
      <c r="JD20" s="41">
        <v>5.33</v>
      </c>
      <c r="JE20" s="41">
        <v>5.3040000000000003</v>
      </c>
      <c r="JF20" s="41">
        <v>5.2770000000000001</v>
      </c>
      <c r="JG20" s="41">
        <v>5.2880000000000003</v>
      </c>
      <c r="JH20" s="41">
        <v>5.3432000000000004</v>
      </c>
      <c r="JI20" s="41"/>
      <c r="JJ20" s="41"/>
      <c r="JK20" s="41">
        <v>5.3475000000000001</v>
      </c>
      <c r="JL20" s="41">
        <v>5.4203000000000001</v>
      </c>
      <c r="JM20" s="41">
        <v>5.4169999999999998</v>
      </c>
      <c r="JN20" s="41">
        <v>5.4390999999999998</v>
      </c>
      <c r="JO20" s="41">
        <v>5.3907999999999996</v>
      </c>
      <c r="JP20" s="41"/>
      <c r="JQ20" s="41"/>
      <c r="JR20" s="41">
        <v>5.4100999999999999</v>
      </c>
      <c r="JS20" s="41">
        <v>5.4607999999999999</v>
      </c>
      <c r="JT20" s="41">
        <v>5.5094000000000003</v>
      </c>
      <c r="JU20" s="41">
        <v>5.5137</v>
      </c>
      <c r="JV20" s="41">
        <v>5.5080999999999998</v>
      </c>
      <c r="JW20" s="41"/>
      <c r="JX20" s="41"/>
      <c r="JY20" s="41">
        <v>5.5149999999999997</v>
      </c>
      <c r="JZ20" s="41">
        <v>5.5149999999999997</v>
      </c>
      <c r="KA20" s="41">
        <v>5.5469999999999997</v>
      </c>
      <c r="KB20" s="41">
        <v>5.4980000000000002</v>
      </c>
      <c r="KC20" s="41">
        <v>5.4509999999999996</v>
      </c>
      <c r="KD20" s="41"/>
      <c r="KE20" s="41"/>
      <c r="KF20" s="41">
        <v>5.5190000000000001</v>
      </c>
      <c r="KG20" s="41">
        <v>5.556</v>
      </c>
      <c r="KH20" s="41">
        <v>5.5570000000000004</v>
      </c>
      <c r="KI20" s="41">
        <v>5.6420000000000003</v>
      </c>
      <c r="KJ20" s="41">
        <v>5.71</v>
      </c>
      <c r="KK20" s="41"/>
      <c r="KL20" s="41"/>
      <c r="KM20" s="41">
        <v>5.5970000000000004</v>
      </c>
      <c r="KN20" s="41">
        <v>5.5789999999999997</v>
      </c>
      <c r="KO20" s="41">
        <v>5.5659999999999998</v>
      </c>
      <c r="KP20" s="41">
        <v>5.5609999999999999</v>
      </c>
      <c r="KQ20" s="41">
        <v>5.6420000000000003</v>
      </c>
      <c r="KR20" s="41"/>
      <c r="KS20" s="41"/>
      <c r="KT20" s="41">
        <v>5.6680000000000001</v>
      </c>
      <c r="KU20" s="41">
        <v>5.6680000000000001</v>
      </c>
      <c r="KV20" s="41">
        <v>5.6669</v>
      </c>
      <c r="KW20" s="41">
        <v>5.5940000000000003</v>
      </c>
      <c r="KX20" s="41">
        <v>5.5449999999999999</v>
      </c>
      <c r="KY20" s="41"/>
      <c r="KZ20" s="41"/>
      <c r="LA20" s="41">
        <v>5.5620000000000003</v>
      </c>
      <c r="LB20" s="41">
        <v>5.4950000000000001</v>
      </c>
      <c r="LC20" s="41">
        <v>5.4587000000000003</v>
      </c>
      <c r="LD20" s="41">
        <v>5.4269999999999996</v>
      </c>
      <c r="LE20" s="41">
        <v>5.4189999999999996</v>
      </c>
      <c r="LF20" s="41"/>
      <c r="LG20" s="41"/>
      <c r="LH20" s="41">
        <v>5.4189999999999996</v>
      </c>
      <c r="LI20" s="41">
        <v>5.4770000000000003</v>
      </c>
      <c r="LJ20" s="41">
        <v>5.4989999999999997</v>
      </c>
      <c r="LK20" s="41">
        <v>5.5460000000000003</v>
      </c>
      <c r="LL20" s="41">
        <v>5.5579999999999998</v>
      </c>
      <c r="LM20" s="41"/>
      <c r="LN20" s="41"/>
      <c r="LO20" s="41">
        <v>5.5839999999999996</v>
      </c>
      <c r="LP20" s="41">
        <v>5.6449999999999996</v>
      </c>
      <c r="LQ20" s="41">
        <v>5.6020000000000003</v>
      </c>
      <c r="LR20" s="41">
        <v>5.5730000000000004</v>
      </c>
      <c r="LS20" s="41">
        <v>5.5860000000000003</v>
      </c>
      <c r="LT20" s="41"/>
      <c r="LU20" s="41"/>
      <c r="LV20" s="41">
        <v>5.6120000000000001</v>
      </c>
      <c r="LW20" s="41">
        <v>5.6189999999999998</v>
      </c>
      <c r="LX20" s="41">
        <v>5.6159999999999997</v>
      </c>
      <c r="LY20" s="41">
        <v>5.6340000000000003</v>
      </c>
      <c r="LZ20" s="41">
        <v>5.6420000000000003</v>
      </c>
      <c r="MA20" s="41"/>
      <c r="MB20" s="41"/>
      <c r="MC20" s="41">
        <v>5.6870000000000003</v>
      </c>
      <c r="MD20" s="41">
        <v>5.641</v>
      </c>
      <c r="ME20" s="41">
        <v>5.577</v>
      </c>
      <c r="MF20" s="41">
        <v>5.556</v>
      </c>
      <c r="MG20" s="41">
        <v>5.593</v>
      </c>
      <c r="MH20" s="41"/>
      <c r="MI20" s="41"/>
      <c r="MJ20" s="41">
        <v>5.6360000000000001</v>
      </c>
      <c r="MK20" s="41">
        <v>5.6459999999999999</v>
      </c>
      <c r="ML20" s="41">
        <v>5.7119999999999997</v>
      </c>
      <c r="MM20" s="41">
        <v>5.6959999999999997</v>
      </c>
      <c r="MN20" s="41">
        <v>5.6959999999999997</v>
      </c>
      <c r="MO20" s="41"/>
      <c r="MP20" s="41"/>
      <c r="MQ20" s="41">
        <v>5.7050000000000001</v>
      </c>
      <c r="MR20" s="41">
        <v>5.7370000000000001</v>
      </c>
      <c r="MS20" s="41">
        <v>5.7190000000000003</v>
      </c>
      <c r="MT20" s="41">
        <v>5.6909999999999998</v>
      </c>
      <c r="MU20" s="41">
        <v>5.6550000000000002</v>
      </c>
      <c r="MV20" s="41"/>
      <c r="MW20" s="41"/>
      <c r="MX20" s="41">
        <v>5.6639999999999997</v>
      </c>
      <c r="MY20" s="41">
        <v>5.6440000000000001</v>
      </c>
      <c r="MZ20" s="41">
        <v>5.6619999999999999</v>
      </c>
      <c r="NA20" s="41">
        <v>5.5789999999999997</v>
      </c>
      <c r="NB20" s="41">
        <v>5.58</v>
      </c>
    </row>
    <row r="21" spans="1:367" x14ac:dyDescent="0.25">
      <c r="A21" s="1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100"/>
      <c r="AV21" s="100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61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</row>
    <row r="22" spans="1:367" x14ac:dyDescent="0.25">
      <c r="A22" s="81" t="s">
        <v>86</v>
      </c>
      <c r="B22" s="89"/>
      <c r="C22" s="89"/>
      <c r="D22" s="89"/>
      <c r="E22" s="89">
        <v>146</v>
      </c>
      <c r="F22" s="89">
        <v>155</v>
      </c>
      <c r="G22" s="89">
        <v>162</v>
      </c>
      <c r="H22" s="89">
        <v>162</v>
      </c>
      <c r="I22" s="89">
        <v>163</v>
      </c>
      <c r="J22" s="89"/>
      <c r="K22" s="89"/>
      <c r="L22" s="89">
        <v>167</v>
      </c>
      <c r="M22" s="89">
        <v>165</v>
      </c>
      <c r="N22" s="89">
        <v>164</v>
      </c>
      <c r="O22" s="89">
        <v>167</v>
      </c>
      <c r="P22" s="89">
        <v>168</v>
      </c>
      <c r="Q22" s="89"/>
      <c r="R22" s="89"/>
      <c r="S22" s="89">
        <v>168</v>
      </c>
      <c r="T22" s="89">
        <v>164</v>
      </c>
      <c r="U22" s="23">
        <v>162</v>
      </c>
      <c r="V22" s="23">
        <v>164</v>
      </c>
      <c r="W22" s="23">
        <v>165</v>
      </c>
      <c r="X22" s="23"/>
      <c r="Y22" s="23"/>
      <c r="Z22" s="23">
        <v>164</v>
      </c>
      <c r="AA22" s="23">
        <v>166</v>
      </c>
      <c r="AB22" s="23">
        <v>167</v>
      </c>
      <c r="AC22" s="23">
        <v>166</v>
      </c>
      <c r="AD22" s="23">
        <v>167</v>
      </c>
      <c r="AE22" s="23"/>
      <c r="AF22" s="23"/>
      <c r="AG22" s="23">
        <v>165</v>
      </c>
      <c r="AH22" s="23">
        <v>163</v>
      </c>
      <c r="AI22" s="23">
        <v>165</v>
      </c>
      <c r="AJ22" s="23">
        <v>168</v>
      </c>
      <c r="AK22" s="23">
        <v>167</v>
      </c>
      <c r="AL22" s="23"/>
      <c r="AM22" s="23"/>
      <c r="AN22" s="23">
        <v>162</v>
      </c>
      <c r="AO22" s="23">
        <v>163</v>
      </c>
      <c r="AP22" s="23">
        <v>162</v>
      </c>
      <c r="AQ22" s="23">
        <v>163</v>
      </c>
      <c r="AR22" s="23">
        <v>162</v>
      </c>
      <c r="AS22" s="23"/>
      <c r="AT22" s="23"/>
      <c r="AU22" s="89">
        <v>162</v>
      </c>
      <c r="AV22" s="89">
        <v>163</v>
      </c>
      <c r="AW22" s="23">
        <v>163</v>
      </c>
      <c r="AX22" s="23">
        <v>162</v>
      </c>
      <c r="AY22" s="23">
        <v>163</v>
      </c>
      <c r="AZ22" s="23"/>
      <c r="BA22" s="23"/>
      <c r="BB22" s="23">
        <v>164</v>
      </c>
      <c r="BC22" s="23">
        <v>165</v>
      </c>
      <c r="BD22" s="23">
        <v>166</v>
      </c>
      <c r="BE22" s="23">
        <v>166</v>
      </c>
      <c r="BF22" s="23">
        <v>166</v>
      </c>
      <c r="BG22" s="62"/>
      <c r="BH22" s="23"/>
      <c r="BI22" s="23">
        <v>168</v>
      </c>
      <c r="BJ22" s="23">
        <v>171</v>
      </c>
      <c r="BK22" s="23">
        <v>171</v>
      </c>
      <c r="BL22" s="23">
        <v>171</v>
      </c>
      <c r="BM22" s="23">
        <v>172</v>
      </c>
      <c r="BN22" s="23"/>
      <c r="BO22" s="23"/>
      <c r="BP22" s="23">
        <v>176.5</v>
      </c>
      <c r="BQ22" s="23">
        <v>179</v>
      </c>
      <c r="BR22" s="23">
        <v>174</v>
      </c>
      <c r="BS22" s="23">
        <v>169</v>
      </c>
      <c r="BT22" s="23">
        <v>168</v>
      </c>
      <c r="BU22" s="23"/>
      <c r="BV22" s="23"/>
      <c r="BW22" s="23">
        <v>169</v>
      </c>
      <c r="BX22" s="23">
        <v>170</v>
      </c>
      <c r="BY22" s="23">
        <v>170</v>
      </c>
      <c r="BZ22" s="23">
        <v>166</v>
      </c>
      <c r="CA22" s="23">
        <v>163</v>
      </c>
      <c r="CB22" s="23"/>
      <c r="CC22" s="23"/>
      <c r="CD22" s="23">
        <v>166</v>
      </c>
      <c r="CE22" s="23">
        <v>265</v>
      </c>
      <c r="CF22" s="23">
        <v>164</v>
      </c>
      <c r="CG22" s="23">
        <v>167</v>
      </c>
      <c r="CH22" s="23">
        <v>167</v>
      </c>
      <c r="CI22" s="23"/>
      <c r="CJ22" s="23"/>
      <c r="CK22" s="23">
        <v>166</v>
      </c>
      <c r="CL22" s="23">
        <v>164</v>
      </c>
      <c r="CM22" s="23">
        <v>171</v>
      </c>
      <c r="CN22" s="23">
        <v>167</v>
      </c>
      <c r="CO22" s="23">
        <v>167</v>
      </c>
      <c r="CP22" s="23"/>
      <c r="CQ22" s="23"/>
      <c r="CR22" s="23">
        <v>167</v>
      </c>
      <c r="CS22" s="23">
        <v>167</v>
      </c>
      <c r="CT22" s="23">
        <v>168</v>
      </c>
      <c r="CU22" s="23">
        <v>167</v>
      </c>
      <c r="CV22" s="23">
        <v>167</v>
      </c>
      <c r="CW22" s="23"/>
      <c r="CX22" s="23"/>
      <c r="CY22" s="23">
        <v>167</v>
      </c>
      <c r="CZ22" s="23">
        <v>169.5</v>
      </c>
      <c r="DA22" s="23">
        <v>171</v>
      </c>
      <c r="DB22" s="23">
        <v>170</v>
      </c>
      <c r="DC22" s="23">
        <v>170</v>
      </c>
      <c r="DD22" s="23"/>
      <c r="DE22" s="23"/>
      <c r="DF22" s="23">
        <v>172</v>
      </c>
      <c r="DG22" s="23">
        <v>171.5</v>
      </c>
      <c r="DH22" s="23">
        <v>171.5</v>
      </c>
      <c r="DI22" s="23">
        <v>178</v>
      </c>
      <c r="DJ22" s="23">
        <v>179</v>
      </c>
      <c r="DK22" s="23"/>
      <c r="DL22" s="23"/>
      <c r="DM22" s="23">
        <v>179</v>
      </c>
      <c r="DN22" s="23">
        <v>178</v>
      </c>
      <c r="DO22" s="23">
        <v>177</v>
      </c>
      <c r="DP22" s="23">
        <v>173</v>
      </c>
      <c r="DQ22" s="23">
        <v>174</v>
      </c>
      <c r="DR22" s="23"/>
      <c r="DS22" s="23"/>
      <c r="DT22" s="23">
        <v>177</v>
      </c>
      <c r="DU22" s="23">
        <v>177</v>
      </c>
      <c r="DV22" s="23">
        <v>176</v>
      </c>
      <c r="DW22" s="23">
        <v>176</v>
      </c>
      <c r="DX22" s="23">
        <v>176.5</v>
      </c>
      <c r="DY22" s="23"/>
      <c r="DZ22" s="23"/>
      <c r="EA22" s="23">
        <v>175.5</v>
      </c>
      <c r="EB22" s="23">
        <v>177</v>
      </c>
      <c r="EC22" s="23">
        <v>179</v>
      </c>
      <c r="ED22" s="23">
        <v>175</v>
      </c>
      <c r="EE22" s="23">
        <v>175</v>
      </c>
      <c r="EF22" s="23"/>
      <c r="EG22" s="23"/>
      <c r="EH22" s="23">
        <v>174</v>
      </c>
      <c r="EI22" s="23">
        <v>173</v>
      </c>
      <c r="EJ22" s="23">
        <v>171</v>
      </c>
      <c r="EK22" s="23">
        <v>171</v>
      </c>
      <c r="EL22" s="23">
        <v>172</v>
      </c>
      <c r="EM22" s="23"/>
      <c r="EN22" s="23"/>
      <c r="EO22" s="23">
        <v>171</v>
      </c>
      <c r="EP22" s="23">
        <v>171</v>
      </c>
      <c r="EQ22" s="23">
        <v>171</v>
      </c>
      <c r="ER22" s="23">
        <v>171.5</v>
      </c>
      <c r="ES22" s="23">
        <v>170.5</v>
      </c>
      <c r="ET22" s="23"/>
      <c r="EU22" s="23"/>
      <c r="EV22" s="23">
        <v>168</v>
      </c>
      <c r="EW22" s="23">
        <v>170</v>
      </c>
      <c r="EX22" s="23">
        <v>167</v>
      </c>
      <c r="EY22" s="23">
        <v>167</v>
      </c>
      <c r="EZ22" s="23">
        <v>169</v>
      </c>
      <c r="FA22" s="23"/>
      <c r="FB22" s="23"/>
      <c r="FC22" s="23">
        <v>168.5</v>
      </c>
      <c r="FD22" s="23">
        <v>169</v>
      </c>
      <c r="FE22" s="23">
        <v>168</v>
      </c>
      <c r="FF22" s="23">
        <v>168</v>
      </c>
      <c r="FG22" s="23">
        <v>165</v>
      </c>
      <c r="FH22" s="23"/>
      <c r="FI22" s="23"/>
      <c r="FJ22" s="23">
        <v>161</v>
      </c>
      <c r="FK22" s="23">
        <v>161</v>
      </c>
      <c r="FL22" s="23">
        <v>157</v>
      </c>
      <c r="FM22" s="23">
        <v>147</v>
      </c>
      <c r="FN22" s="23">
        <v>146</v>
      </c>
      <c r="FO22" s="23"/>
      <c r="FP22" s="23"/>
      <c r="FQ22" s="23">
        <v>148</v>
      </c>
      <c r="FR22" s="23">
        <v>149.5</v>
      </c>
      <c r="FS22" s="23">
        <v>147</v>
      </c>
      <c r="FT22" s="23">
        <v>144</v>
      </c>
      <c r="FU22" s="23">
        <v>144</v>
      </c>
      <c r="FV22" s="23"/>
      <c r="FW22" s="23"/>
      <c r="FX22" s="23">
        <v>146</v>
      </c>
      <c r="FY22" s="23">
        <v>148</v>
      </c>
      <c r="FZ22" s="23">
        <v>158</v>
      </c>
      <c r="GA22" s="23">
        <v>159</v>
      </c>
      <c r="GB22" s="23">
        <v>159.5</v>
      </c>
      <c r="GC22" s="23"/>
      <c r="GD22" s="23"/>
      <c r="GE22" s="23">
        <v>159</v>
      </c>
      <c r="GF22" s="23">
        <v>156</v>
      </c>
      <c r="GG22" s="23">
        <v>160</v>
      </c>
      <c r="GH22" s="23">
        <v>160.5</v>
      </c>
      <c r="GI22" s="23">
        <v>160.5</v>
      </c>
      <c r="GJ22" s="23"/>
      <c r="GK22" s="23"/>
      <c r="GL22" s="23">
        <v>163</v>
      </c>
      <c r="GM22" s="23">
        <v>170</v>
      </c>
      <c r="GN22" s="23">
        <v>165</v>
      </c>
      <c r="GO22" s="23">
        <v>164.5</v>
      </c>
      <c r="GP22" s="23">
        <v>165</v>
      </c>
      <c r="GQ22" s="23"/>
      <c r="GR22" s="23"/>
      <c r="GS22" s="23">
        <v>166</v>
      </c>
      <c r="GT22" s="23">
        <v>168</v>
      </c>
      <c r="GU22" s="23">
        <v>168</v>
      </c>
      <c r="GV22" s="23">
        <v>163</v>
      </c>
      <c r="GW22" s="23">
        <v>162.5</v>
      </c>
      <c r="GX22" s="23"/>
      <c r="GY22" s="23"/>
      <c r="GZ22" s="23">
        <v>162</v>
      </c>
      <c r="HA22" s="23">
        <v>163.5</v>
      </c>
      <c r="HB22" s="23">
        <v>164</v>
      </c>
      <c r="HC22" s="23">
        <v>163</v>
      </c>
      <c r="HD22" s="23">
        <v>163</v>
      </c>
      <c r="HE22" s="23"/>
      <c r="HF22" s="23"/>
      <c r="HG22" s="23">
        <v>163</v>
      </c>
      <c r="HH22" s="23">
        <v>163.5</v>
      </c>
      <c r="HI22" s="23">
        <v>163.5</v>
      </c>
      <c r="HJ22" s="23">
        <v>163</v>
      </c>
      <c r="HK22" s="23">
        <v>166</v>
      </c>
      <c r="HL22" s="23"/>
      <c r="HM22" s="23"/>
      <c r="HN22" s="23">
        <v>167</v>
      </c>
      <c r="HO22" s="23">
        <v>167</v>
      </c>
      <c r="HP22" s="23">
        <v>167.5</v>
      </c>
      <c r="HQ22" s="23">
        <v>170.5</v>
      </c>
      <c r="HR22" s="23">
        <v>170</v>
      </c>
      <c r="HS22" s="23"/>
      <c r="HT22" s="23"/>
      <c r="HU22" s="23">
        <v>171</v>
      </c>
      <c r="HV22" s="23">
        <v>172</v>
      </c>
      <c r="HW22" s="23">
        <v>172.5</v>
      </c>
      <c r="HX22" s="23">
        <v>171</v>
      </c>
      <c r="HY22" s="23">
        <v>169</v>
      </c>
      <c r="HZ22" s="23"/>
      <c r="IA22" s="23"/>
      <c r="IB22" s="23">
        <v>169</v>
      </c>
      <c r="IC22" s="23">
        <v>169</v>
      </c>
      <c r="ID22" s="23">
        <v>169.5</v>
      </c>
      <c r="IE22" s="23">
        <v>168</v>
      </c>
      <c r="IF22" s="23">
        <v>167</v>
      </c>
      <c r="IG22" s="23"/>
      <c r="IH22" s="23"/>
      <c r="II22" s="23">
        <v>166.5</v>
      </c>
      <c r="IJ22" s="23">
        <v>165</v>
      </c>
      <c r="IK22" s="23">
        <v>164</v>
      </c>
      <c r="IL22" s="23">
        <v>164</v>
      </c>
      <c r="IM22" s="23">
        <v>166</v>
      </c>
      <c r="IN22" s="23"/>
      <c r="IO22" s="23"/>
      <c r="IP22" s="23">
        <v>166</v>
      </c>
      <c r="IQ22" s="23">
        <v>166</v>
      </c>
      <c r="IR22" s="23">
        <v>171</v>
      </c>
      <c r="IS22" s="23">
        <v>171</v>
      </c>
      <c r="IT22" s="23">
        <v>171.5</v>
      </c>
      <c r="IU22" s="23"/>
      <c r="IV22" s="23"/>
      <c r="IW22" s="23">
        <v>169</v>
      </c>
      <c r="IX22" s="23">
        <v>170</v>
      </c>
      <c r="IY22" s="23">
        <v>171.5</v>
      </c>
      <c r="IZ22" s="23">
        <v>173</v>
      </c>
      <c r="JA22" s="23">
        <v>173</v>
      </c>
      <c r="JB22" s="23"/>
      <c r="JC22" s="23"/>
      <c r="JD22" s="23">
        <v>172</v>
      </c>
      <c r="JE22" s="23">
        <v>171</v>
      </c>
      <c r="JF22" s="23">
        <v>171</v>
      </c>
      <c r="JG22" s="23">
        <v>171</v>
      </c>
      <c r="JH22" s="23">
        <v>172</v>
      </c>
      <c r="JI22" s="23"/>
      <c r="JJ22" s="23"/>
      <c r="JK22" s="23">
        <v>172.5</v>
      </c>
      <c r="JL22" s="23">
        <v>173</v>
      </c>
      <c r="JM22" s="23">
        <v>173</v>
      </c>
      <c r="JN22" s="23">
        <v>172</v>
      </c>
      <c r="JO22" s="23">
        <v>167</v>
      </c>
      <c r="JP22" s="23"/>
      <c r="JQ22" s="23"/>
      <c r="JR22" s="23">
        <v>167</v>
      </c>
      <c r="JS22" s="23">
        <v>169</v>
      </c>
      <c r="JT22" s="23">
        <v>170</v>
      </c>
      <c r="JU22" s="23">
        <v>171</v>
      </c>
      <c r="JV22" s="23">
        <v>171</v>
      </c>
      <c r="JW22" s="23"/>
      <c r="JX22" s="23"/>
      <c r="JY22" s="23">
        <v>168</v>
      </c>
      <c r="JZ22" s="23">
        <v>168</v>
      </c>
      <c r="KA22" s="23">
        <v>167.5</v>
      </c>
      <c r="KB22" s="23">
        <v>168</v>
      </c>
      <c r="KC22" s="23">
        <v>168.5</v>
      </c>
      <c r="KD22" s="23"/>
      <c r="KE22" s="23"/>
      <c r="KF22" s="23">
        <v>168</v>
      </c>
      <c r="KG22" s="23">
        <v>169</v>
      </c>
      <c r="KH22" s="23">
        <v>172</v>
      </c>
      <c r="KI22" s="23">
        <v>172</v>
      </c>
      <c r="KJ22" s="23">
        <v>172</v>
      </c>
      <c r="KK22" s="23"/>
      <c r="KL22" s="23"/>
      <c r="KM22" s="23">
        <v>174.5</v>
      </c>
      <c r="KN22" s="23">
        <v>170</v>
      </c>
      <c r="KO22" s="23">
        <v>169.5</v>
      </c>
      <c r="KP22" s="23">
        <v>169</v>
      </c>
      <c r="KQ22" s="23">
        <v>169</v>
      </c>
      <c r="KR22" s="23"/>
      <c r="KS22" s="23"/>
      <c r="KT22" s="23">
        <v>169</v>
      </c>
      <c r="KU22" s="23">
        <v>169</v>
      </c>
      <c r="KV22" s="23">
        <v>167.5</v>
      </c>
      <c r="KW22" s="23">
        <v>164</v>
      </c>
      <c r="KX22" s="23">
        <v>162</v>
      </c>
      <c r="KY22" s="23"/>
      <c r="KZ22" s="23"/>
      <c r="LA22" s="23">
        <v>161.5</v>
      </c>
      <c r="LB22" s="23">
        <v>161.5</v>
      </c>
      <c r="LC22" s="23">
        <v>160</v>
      </c>
      <c r="LD22" s="23">
        <v>159</v>
      </c>
      <c r="LE22" s="23">
        <v>163</v>
      </c>
      <c r="LF22" s="23"/>
      <c r="LG22" s="23"/>
      <c r="LH22" s="23">
        <v>163</v>
      </c>
      <c r="LI22" s="23">
        <v>164.5</v>
      </c>
      <c r="LJ22" s="23">
        <v>168</v>
      </c>
      <c r="LK22" s="23">
        <v>168.5</v>
      </c>
      <c r="LL22" s="23">
        <v>167</v>
      </c>
      <c r="LM22" s="23"/>
      <c r="LN22" s="23"/>
      <c r="LO22" s="23">
        <v>168</v>
      </c>
      <c r="LP22" s="23">
        <v>169</v>
      </c>
      <c r="LQ22" s="23">
        <v>168</v>
      </c>
      <c r="LR22" s="23">
        <v>166.5</v>
      </c>
      <c r="LS22" s="23">
        <v>167</v>
      </c>
      <c r="LT22" s="23"/>
      <c r="LU22" s="23"/>
      <c r="LV22" s="23">
        <v>167</v>
      </c>
      <c r="LW22" s="23">
        <v>166</v>
      </c>
      <c r="LX22" s="23">
        <v>172</v>
      </c>
      <c r="LY22" s="23">
        <v>166</v>
      </c>
      <c r="LZ22" s="23">
        <v>169.5</v>
      </c>
      <c r="MA22" s="23"/>
      <c r="MB22" s="23"/>
      <c r="MC22" s="23">
        <v>170.5</v>
      </c>
      <c r="MD22" s="23">
        <v>170</v>
      </c>
      <c r="ME22" s="23">
        <v>169</v>
      </c>
      <c r="MF22" s="23">
        <v>170</v>
      </c>
      <c r="MG22" s="23">
        <v>171</v>
      </c>
      <c r="MH22" s="23"/>
      <c r="MI22" s="23"/>
      <c r="MJ22" s="23">
        <v>169</v>
      </c>
      <c r="MK22" s="23">
        <v>173</v>
      </c>
      <c r="ML22" s="23">
        <v>172.5</v>
      </c>
      <c r="MM22" s="23">
        <v>174</v>
      </c>
      <c r="MN22" s="23">
        <v>174</v>
      </c>
      <c r="MO22" s="23"/>
      <c r="MP22" s="23"/>
      <c r="MQ22" s="23">
        <v>176</v>
      </c>
      <c r="MR22" s="23">
        <v>178</v>
      </c>
      <c r="MS22" s="23">
        <v>176</v>
      </c>
      <c r="MT22" s="23">
        <v>176</v>
      </c>
      <c r="MU22" s="23">
        <v>176</v>
      </c>
      <c r="MV22" s="23"/>
      <c r="MW22" s="89"/>
      <c r="MX22" s="23">
        <v>178</v>
      </c>
      <c r="MY22" s="23">
        <v>178</v>
      </c>
      <c r="MZ22" s="23">
        <v>178</v>
      </c>
      <c r="NA22" s="23">
        <v>176</v>
      </c>
      <c r="NB22" s="23">
        <v>176</v>
      </c>
    </row>
    <row r="23" spans="1:367" x14ac:dyDescent="0.25">
      <c r="A23" s="47" t="s">
        <v>87</v>
      </c>
      <c r="B23" s="63"/>
      <c r="C23" s="63"/>
      <c r="D23" s="63"/>
      <c r="E23" s="63">
        <v>150</v>
      </c>
      <c r="F23" s="63">
        <v>152</v>
      </c>
      <c r="G23" s="63">
        <v>161</v>
      </c>
      <c r="H23" s="63">
        <v>142</v>
      </c>
      <c r="I23" s="63">
        <v>150</v>
      </c>
      <c r="J23" s="63"/>
      <c r="K23" s="63"/>
      <c r="L23" s="63">
        <v>150</v>
      </c>
      <c r="M23" s="63">
        <v>150</v>
      </c>
      <c r="N23" s="63">
        <v>150</v>
      </c>
      <c r="O23" s="63">
        <v>150</v>
      </c>
      <c r="P23" s="63">
        <v>150</v>
      </c>
      <c r="Q23" s="63"/>
      <c r="R23" s="63"/>
      <c r="S23" s="63">
        <v>150</v>
      </c>
      <c r="T23" s="63">
        <v>160</v>
      </c>
      <c r="U23" s="43">
        <v>160</v>
      </c>
      <c r="V23" s="43">
        <v>160</v>
      </c>
      <c r="W23" s="43">
        <v>160</v>
      </c>
      <c r="X23" s="43"/>
      <c r="Y23" s="43"/>
      <c r="Z23" s="43">
        <v>160</v>
      </c>
      <c r="AA23" s="43">
        <v>160</v>
      </c>
      <c r="AB23" s="43">
        <v>160</v>
      </c>
      <c r="AC23" s="43">
        <v>160</v>
      </c>
      <c r="AD23" s="43">
        <v>160</v>
      </c>
      <c r="AE23" s="43"/>
      <c r="AF23" s="43"/>
      <c r="AG23" s="43">
        <v>160</v>
      </c>
      <c r="AH23" s="43">
        <v>162</v>
      </c>
      <c r="AI23" s="43">
        <v>158</v>
      </c>
      <c r="AJ23" s="43">
        <v>156</v>
      </c>
      <c r="AK23" s="43">
        <v>156</v>
      </c>
      <c r="AL23" s="43"/>
      <c r="AM23" s="43"/>
      <c r="AN23" s="43">
        <v>154</v>
      </c>
      <c r="AO23" s="43">
        <v>154</v>
      </c>
      <c r="AP23" s="43">
        <v>152</v>
      </c>
      <c r="AQ23" s="43">
        <v>152</v>
      </c>
      <c r="AR23" s="43">
        <v>152</v>
      </c>
      <c r="AS23" s="43"/>
      <c r="AT23" s="43"/>
      <c r="AU23" s="63">
        <v>154</v>
      </c>
      <c r="AV23" s="63">
        <v>154</v>
      </c>
      <c r="AW23" s="43">
        <v>152</v>
      </c>
      <c r="AX23" s="43">
        <v>152</v>
      </c>
      <c r="AY23" s="43">
        <v>152</v>
      </c>
      <c r="AZ23" s="43"/>
      <c r="BA23" s="43"/>
      <c r="BB23" s="43">
        <v>152</v>
      </c>
      <c r="BC23" s="43">
        <v>160</v>
      </c>
      <c r="BD23" s="43">
        <v>160</v>
      </c>
      <c r="BE23" s="43">
        <v>160</v>
      </c>
      <c r="BF23" s="43">
        <v>156</v>
      </c>
      <c r="BG23" s="63"/>
      <c r="BH23" s="43"/>
      <c r="BI23" s="43">
        <v>160</v>
      </c>
      <c r="BJ23" s="43">
        <v>161</v>
      </c>
      <c r="BK23" s="43">
        <v>161</v>
      </c>
      <c r="BL23" s="43">
        <v>158</v>
      </c>
      <c r="BM23" s="43">
        <v>159.5</v>
      </c>
      <c r="BN23" s="43"/>
      <c r="BO23" s="43"/>
      <c r="BP23" s="43">
        <v>162</v>
      </c>
      <c r="BQ23" s="43">
        <v>165</v>
      </c>
      <c r="BR23" s="43">
        <v>163</v>
      </c>
      <c r="BS23" s="43">
        <v>160</v>
      </c>
      <c r="BT23" s="43">
        <v>160</v>
      </c>
      <c r="BU23" s="43"/>
      <c r="BV23" s="43"/>
      <c r="BW23" s="43">
        <v>158</v>
      </c>
      <c r="BX23" s="43">
        <v>158</v>
      </c>
      <c r="BY23" s="43">
        <v>158</v>
      </c>
      <c r="BZ23" s="43">
        <v>154.5</v>
      </c>
      <c r="CA23" s="43">
        <v>156</v>
      </c>
      <c r="CB23" s="43"/>
      <c r="CC23" s="43"/>
      <c r="CD23" s="43">
        <v>155</v>
      </c>
      <c r="CE23" s="43">
        <v>155.5</v>
      </c>
      <c r="CF23" s="43">
        <v>155.5</v>
      </c>
      <c r="CG23" s="43">
        <v>156.5</v>
      </c>
      <c r="CH23" s="43">
        <v>159</v>
      </c>
      <c r="CI23" s="43"/>
      <c r="CJ23" s="43"/>
      <c r="CK23" s="43">
        <v>161</v>
      </c>
      <c r="CL23" s="43">
        <v>160</v>
      </c>
      <c r="CM23" s="43">
        <v>163</v>
      </c>
      <c r="CN23" s="43">
        <v>162</v>
      </c>
      <c r="CO23" s="43">
        <v>162</v>
      </c>
      <c r="CP23" s="43"/>
      <c r="CQ23" s="43"/>
      <c r="CR23" s="43">
        <v>160</v>
      </c>
      <c r="CS23" s="43">
        <v>160.5</v>
      </c>
      <c r="CT23" s="43">
        <v>160</v>
      </c>
      <c r="CU23" s="43">
        <v>159</v>
      </c>
      <c r="CV23" s="43">
        <v>160.5</v>
      </c>
      <c r="CW23" s="43"/>
      <c r="CX23" s="43"/>
      <c r="CY23" s="43">
        <v>160</v>
      </c>
      <c r="CZ23" s="43">
        <v>162</v>
      </c>
      <c r="DA23" s="43">
        <v>162</v>
      </c>
      <c r="DB23" s="43">
        <v>161.5</v>
      </c>
      <c r="DC23" s="43">
        <v>162</v>
      </c>
      <c r="DD23" s="43"/>
      <c r="DE23" s="43"/>
      <c r="DF23" s="43">
        <v>161.5</v>
      </c>
      <c r="DG23" s="43">
        <v>160</v>
      </c>
      <c r="DH23" s="43">
        <v>160</v>
      </c>
      <c r="DI23" s="43">
        <v>164</v>
      </c>
      <c r="DJ23" s="43">
        <v>165</v>
      </c>
      <c r="DK23" s="43"/>
      <c r="DL23" s="43"/>
      <c r="DM23" s="76">
        <v>165.5</v>
      </c>
      <c r="DN23" s="43">
        <v>165</v>
      </c>
      <c r="DO23" s="43">
        <v>165</v>
      </c>
      <c r="DP23" s="43">
        <v>162.5</v>
      </c>
      <c r="DQ23" s="43">
        <v>163.5</v>
      </c>
      <c r="DR23" s="43"/>
      <c r="DS23" s="43"/>
      <c r="DT23" s="43">
        <v>164</v>
      </c>
      <c r="DU23" s="43">
        <v>165.5</v>
      </c>
      <c r="DV23" s="43">
        <v>164</v>
      </c>
      <c r="DW23" s="43">
        <v>167</v>
      </c>
      <c r="DX23" s="43">
        <v>165.5</v>
      </c>
      <c r="DY23" s="43"/>
      <c r="DZ23" s="43"/>
      <c r="EA23" s="43">
        <v>164.5</v>
      </c>
      <c r="EB23" s="43">
        <v>166</v>
      </c>
      <c r="EC23" s="43">
        <v>167.5</v>
      </c>
      <c r="ED23" s="43">
        <v>165</v>
      </c>
      <c r="EE23" s="43">
        <v>162</v>
      </c>
      <c r="EF23" s="43"/>
      <c r="EG23" s="43"/>
      <c r="EH23" s="43">
        <v>163</v>
      </c>
      <c r="EI23" s="43">
        <v>163</v>
      </c>
      <c r="EJ23" s="43">
        <v>160</v>
      </c>
      <c r="EK23" s="43">
        <v>160</v>
      </c>
      <c r="EL23" s="43">
        <v>160</v>
      </c>
      <c r="EM23" s="43"/>
      <c r="EN23" s="43"/>
      <c r="EO23" s="43">
        <v>156.5</v>
      </c>
      <c r="EP23" s="43">
        <v>155</v>
      </c>
      <c r="EQ23" s="43">
        <v>155</v>
      </c>
      <c r="ER23" s="43">
        <v>158</v>
      </c>
      <c r="ES23" s="43">
        <v>158</v>
      </c>
      <c r="ET23" s="43"/>
      <c r="EU23" s="43"/>
      <c r="EV23" s="43">
        <v>158</v>
      </c>
      <c r="EW23" s="43">
        <v>158</v>
      </c>
      <c r="EX23" s="43">
        <v>156</v>
      </c>
      <c r="EY23" s="43">
        <v>156</v>
      </c>
      <c r="EZ23" s="43">
        <v>158</v>
      </c>
      <c r="FA23" s="43"/>
      <c r="FB23" s="43"/>
      <c r="FC23" s="43">
        <v>155</v>
      </c>
      <c r="FD23" s="43">
        <v>157</v>
      </c>
      <c r="FE23" s="43">
        <v>156.5</v>
      </c>
      <c r="FF23" s="43">
        <v>158</v>
      </c>
      <c r="FG23" s="43">
        <v>156</v>
      </c>
      <c r="FH23" s="43"/>
      <c r="FI23" s="43"/>
      <c r="FJ23" s="43">
        <v>151</v>
      </c>
      <c r="FK23" s="43">
        <v>151</v>
      </c>
      <c r="FL23" s="43">
        <v>150</v>
      </c>
      <c r="FM23" s="43">
        <v>136</v>
      </c>
      <c r="FN23" s="43">
        <v>138</v>
      </c>
      <c r="FO23" s="43"/>
      <c r="FP23" s="43"/>
      <c r="FQ23" s="43">
        <v>140</v>
      </c>
      <c r="FR23" s="43">
        <v>136</v>
      </c>
      <c r="FS23" s="43">
        <v>138</v>
      </c>
      <c r="FT23" s="43">
        <v>138</v>
      </c>
      <c r="FU23" s="43">
        <v>135</v>
      </c>
      <c r="FV23" s="43"/>
      <c r="FW23" s="43"/>
      <c r="FX23" s="43">
        <v>138</v>
      </c>
      <c r="FY23" s="43">
        <v>138</v>
      </c>
      <c r="FZ23" s="43">
        <v>149</v>
      </c>
      <c r="GA23" s="43">
        <v>152</v>
      </c>
      <c r="GB23" s="43">
        <v>152</v>
      </c>
      <c r="GC23" s="43"/>
      <c r="GD23" s="43"/>
      <c r="GE23" s="43">
        <v>152</v>
      </c>
      <c r="GF23" s="43">
        <v>146</v>
      </c>
      <c r="GG23" s="43">
        <v>154</v>
      </c>
      <c r="GH23" s="43">
        <v>155</v>
      </c>
      <c r="GI23" s="43">
        <v>155</v>
      </c>
      <c r="GJ23" s="43"/>
      <c r="GK23" s="43"/>
      <c r="GL23" s="43">
        <v>153</v>
      </c>
      <c r="GM23" s="43">
        <v>154</v>
      </c>
      <c r="GN23" s="43">
        <v>159</v>
      </c>
      <c r="GO23" s="43">
        <v>160</v>
      </c>
      <c r="GP23" s="43">
        <v>161</v>
      </c>
      <c r="GQ23" s="43"/>
      <c r="GR23" s="43"/>
      <c r="GS23" s="43">
        <v>160</v>
      </c>
      <c r="GT23" s="43">
        <v>162.5</v>
      </c>
      <c r="GU23" s="43">
        <v>163</v>
      </c>
      <c r="GV23" s="43">
        <v>160</v>
      </c>
      <c r="GW23" s="43">
        <v>158</v>
      </c>
      <c r="GX23" s="43"/>
      <c r="GY23" s="43"/>
      <c r="GZ23" s="43">
        <v>154</v>
      </c>
      <c r="HA23" s="43">
        <v>156.5</v>
      </c>
      <c r="HB23" s="43">
        <v>156</v>
      </c>
      <c r="HC23" s="43">
        <v>155</v>
      </c>
      <c r="HD23" s="43">
        <v>156</v>
      </c>
      <c r="HE23" s="43"/>
      <c r="HF23" s="43"/>
      <c r="HG23" s="43">
        <v>156</v>
      </c>
      <c r="HH23" s="43">
        <v>158</v>
      </c>
      <c r="HI23" s="43">
        <v>161.5</v>
      </c>
      <c r="HJ23" s="43">
        <v>160</v>
      </c>
      <c r="HK23" s="43">
        <v>161.5</v>
      </c>
      <c r="HL23" s="43"/>
      <c r="HM23" s="43"/>
      <c r="HN23" s="43">
        <v>163</v>
      </c>
      <c r="HO23" s="43">
        <v>162</v>
      </c>
      <c r="HP23" s="43">
        <v>162</v>
      </c>
      <c r="HQ23" s="43">
        <v>163</v>
      </c>
      <c r="HR23" s="43">
        <v>164.5</v>
      </c>
      <c r="HS23" s="43"/>
      <c r="HT23" s="43"/>
      <c r="HU23" s="43">
        <v>164</v>
      </c>
      <c r="HV23" s="43">
        <v>165</v>
      </c>
      <c r="HW23" s="43">
        <v>168</v>
      </c>
      <c r="HX23" s="43">
        <v>169</v>
      </c>
      <c r="HY23" s="43">
        <v>162</v>
      </c>
      <c r="HZ23" s="43"/>
      <c r="IA23" s="43"/>
      <c r="IB23" s="43">
        <v>162</v>
      </c>
      <c r="IC23" s="43">
        <v>164</v>
      </c>
      <c r="ID23" s="43">
        <v>164</v>
      </c>
      <c r="IE23" s="43">
        <v>164</v>
      </c>
      <c r="IF23" s="43">
        <v>162</v>
      </c>
      <c r="IG23" s="43"/>
      <c r="IH23" s="43"/>
      <c r="II23" s="43">
        <v>158</v>
      </c>
      <c r="IJ23" s="43">
        <v>157</v>
      </c>
      <c r="IK23" s="43">
        <v>157</v>
      </c>
      <c r="IL23" s="43">
        <v>157</v>
      </c>
      <c r="IM23" s="43">
        <v>161</v>
      </c>
      <c r="IN23" s="43"/>
      <c r="IO23" s="43"/>
      <c r="IP23" s="43">
        <v>157</v>
      </c>
      <c r="IQ23" s="43">
        <v>157</v>
      </c>
      <c r="IR23" s="43">
        <v>160</v>
      </c>
      <c r="IS23" s="43">
        <v>165</v>
      </c>
      <c r="IT23" s="43">
        <v>163.5</v>
      </c>
      <c r="IU23" s="43"/>
      <c r="IV23" s="43"/>
      <c r="IW23" s="43">
        <v>163</v>
      </c>
      <c r="IX23" s="43">
        <v>166</v>
      </c>
      <c r="IY23" s="43">
        <v>163.5</v>
      </c>
      <c r="IZ23" s="43">
        <v>163.5</v>
      </c>
      <c r="JA23" s="43">
        <v>163.5</v>
      </c>
      <c r="JB23" s="43"/>
      <c r="JC23" s="43"/>
      <c r="JD23" s="43">
        <v>164</v>
      </c>
      <c r="JE23" s="43">
        <v>164</v>
      </c>
      <c r="JF23" s="43">
        <v>164</v>
      </c>
      <c r="JG23" s="43">
        <v>165</v>
      </c>
      <c r="JH23" s="43">
        <v>166</v>
      </c>
      <c r="JI23" s="43"/>
      <c r="JJ23" s="43"/>
      <c r="JK23" s="43">
        <v>166</v>
      </c>
      <c r="JL23" s="43">
        <v>174</v>
      </c>
      <c r="JM23" s="43">
        <v>165</v>
      </c>
      <c r="JN23" s="43">
        <v>165</v>
      </c>
      <c r="JO23" s="43">
        <v>161</v>
      </c>
      <c r="JP23" s="43"/>
      <c r="JQ23" s="43"/>
      <c r="JR23" s="43">
        <v>161</v>
      </c>
      <c r="JS23" s="43">
        <v>164</v>
      </c>
      <c r="JT23" s="43">
        <v>164.5</v>
      </c>
      <c r="JU23" s="43">
        <v>162</v>
      </c>
      <c r="JV23" s="43">
        <v>162</v>
      </c>
      <c r="JW23" s="43"/>
      <c r="JX23" s="43"/>
      <c r="JY23" s="43">
        <v>160.5</v>
      </c>
      <c r="JZ23" s="43">
        <v>160.5</v>
      </c>
      <c r="KA23" s="43">
        <v>158</v>
      </c>
      <c r="KB23" s="43">
        <v>158</v>
      </c>
      <c r="KC23" s="43">
        <v>157.5</v>
      </c>
      <c r="KD23" s="43"/>
      <c r="KE23" s="43"/>
      <c r="KF23" s="43">
        <v>158</v>
      </c>
      <c r="KG23" s="43">
        <v>158</v>
      </c>
      <c r="KH23" s="43">
        <v>162</v>
      </c>
      <c r="KI23" s="43">
        <v>162</v>
      </c>
      <c r="KJ23" s="43">
        <v>163</v>
      </c>
      <c r="KK23" s="43"/>
      <c r="KL23" s="43"/>
      <c r="KM23" s="43">
        <v>161</v>
      </c>
      <c r="KN23" s="43">
        <v>162</v>
      </c>
      <c r="KO23" s="43">
        <v>158</v>
      </c>
      <c r="KP23" s="43">
        <v>158</v>
      </c>
      <c r="KQ23" s="43">
        <v>158</v>
      </c>
      <c r="KR23" s="43"/>
      <c r="KS23" s="43"/>
      <c r="KT23" s="43">
        <v>158</v>
      </c>
      <c r="KU23" s="43">
        <v>158</v>
      </c>
      <c r="KV23" s="43">
        <v>159</v>
      </c>
      <c r="KW23" s="43">
        <v>156</v>
      </c>
      <c r="KX23" s="43">
        <v>156</v>
      </c>
      <c r="KY23" s="43"/>
      <c r="KZ23" s="43"/>
      <c r="LA23" s="43">
        <v>152</v>
      </c>
      <c r="LB23" s="43">
        <v>148</v>
      </c>
      <c r="LC23" s="43">
        <v>150</v>
      </c>
      <c r="LD23" s="43">
        <v>150</v>
      </c>
      <c r="LE23" s="43">
        <v>150</v>
      </c>
      <c r="LF23" s="43"/>
      <c r="LG23" s="43"/>
      <c r="LH23" s="43">
        <v>150</v>
      </c>
      <c r="LI23" s="43">
        <v>151</v>
      </c>
      <c r="LJ23" s="43">
        <v>158</v>
      </c>
      <c r="LK23" s="43">
        <v>158</v>
      </c>
      <c r="LL23" s="43">
        <v>156.5</v>
      </c>
      <c r="LM23" s="43"/>
      <c r="LN23" s="43"/>
      <c r="LO23" s="43">
        <v>159</v>
      </c>
      <c r="LP23" s="43">
        <v>159</v>
      </c>
      <c r="LQ23" s="43">
        <v>159</v>
      </c>
      <c r="LR23" s="43">
        <v>158</v>
      </c>
      <c r="LS23" s="43">
        <v>158</v>
      </c>
      <c r="LT23" s="43"/>
      <c r="LU23" s="43"/>
      <c r="LV23" s="43">
        <v>158</v>
      </c>
      <c r="LW23" s="43">
        <v>155</v>
      </c>
      <c r="LX23" s="43">
        <v>157</v>
      </c>
      <c r="LY23" s="43">
        <v>158.5</v>
      </c>
      <c r="LZ23" s="43">
        <v>160</v>
      </c>
      <c r="MA23" s="43"/>
      <c r="MB23" s="43"/>
      <c r="MC23" s="43">
        <v>157</v>
      </c>
      <c r="MD23" s="43">
        <v>151</v>
      </c>
      <c r="ME23" s="43">
        <v>151</v>
      </c>
      <c r="MF23" s="43">
        <v>151</v>
      </c>
      <c r="MG23" s="43">
        <v>151</v>
      </c>
      <c r="MH23" s="43"/>
      <c r="MI23" s="43"/>
      <c r="MJ23" s="43">
        <v>154</v>
      </c>
      <c r="MK23" s="43">
        <v>154</v>
      </c>
      <c r="ML23" s="43">
        <v>156</v>
      </c>
      <c r="MM23" s="43">
        <v>156</v>
      </c>
      <c r="MN23" s="43">
        <v>156</v>
      </c>
      <c r="MO23" s="43"/>
      <c r="MP23" s="43"/>
      <c r="MQ23" s="43">
        <v>157</v>
      </c>
      <c r="MR23" s="43">
        <v>158</v>
      </c>
      <c r="MS23" s="43">
        <v>158</v>
      </c>
      <c r="MT23" s="43">
        <v>158</v>
      </c>
      <c r="MU23" s="43">
        <v>158</v>
      </c>
      <c r="MV23" s="43"/>
      <c r="MW23" s="63"/>
      <c r="MX23" s="43">
        <v>160</v>
      </c>
      <c r="MY23" s="43">
        <v>160</v>
      </c>
      <c r="MZ23" s="43">
        <v>160</v>
      </c>
      <c r="NA23" s="43">
        <v>158</v>
      </c>
      <c r="NB23" s="43">
        <v>158</v>
      </c>
    </row>
    <row r="24" spans="1:367" x14ac:dyDescent="0.25">
      <c r="A24" s="26" t="s">
        <v>88</v>
      </c>
      <c r="B24" s="59"/>
      <c r="C24" s="59"/>
      <c r="D24" s="59"/>
      <c r="E24" s="59">
        <v>150</v>
      </c>
      <c r="F24" s="59">
        <v>159</v>
      </c>
      <c r="G24" s="59">
        <v>145</v>
      </c>
      <c r="H24" s="59">
        <v>160</v>
      </c>
      <c r="I24" s="59">
        <v>167</v>
      </c>
      <c r="J24" s="59"/>
      <c r="K24" s="59"/>
      <c r="L24" s="59">
        <v>166</v>
      </c>
      <c r="M24" s="59">
        <v>168</v>
      </c>
      <c r="N24" s="59">
        <v>167</v>
      </c>
      <c r="O24" s="59">
        <v>167</v>
      </c>
      <c r="P24" s="59">
        <v>171</v>
      </c>
      <c r="Q24" s="59"/>
      <c r="R24" s="59"/>
      <c r="S24" s="59">
        <v>170</v>
      </c>
      <c r="T24" s="59">
        <v>169</v>
      </c>
      <c r="U24" s="24">
        <v>171</v>
      </c>
      <c r="V24" s="24">
        <v>170</v>
      </c>
      <c r="W24" s="24">
        <v>166</v>
      </c>
      <c r="X24" s="24"/>
      <c r="Y24" s="24"/>
      <c r="Z24" s="24">
        <v>171</v>
      </c>
      <c r="AA24" s="24">
        <v>170</v>
      </c>
      <c r="AB24" s="24">
        <v>171</v>
      </c>
      <c r="AC24" s="24">
        <v>170</v>
      </c>
      <c r="AD24" s="24">
        <v>172</v>
      </c>
      <c r="AE24" s="24"/>
      <c r="AF24" s="24"/>
      <c r="AG24" s="24">
        <v>171</v>
      </c>
      <c r="AH24" s="24">
        <v>168</v>
      </c>
      <c r="AI24" s="24">
        <v>171</v>
      </c>
      <c r="AJ24" s="24">
        <v>172</v>
      </c>
      <c r="AK24" s="24">
        <v>171</v>
      </c>
      <c r="AL24" s="24"/>
      <c r="AM24" s="24"/>
      <c r="AN24" s="24">
        <v>168</v>
      </c>
      <c r="AO24" s="24">
        <v>170</v>
      </c>
      <c r="AP24" s="24">
        <v>162.5</v>
      </c>
      <c r="AQ24" s="24">
        <v>163</v>
      </c>
      <c r="AR24" s="24">
        <v>163</v>
      </c>
      <c r="AS24" s="24"/>
      <c r="AT24" s="24"/>
      <c r="AU24" s="59">
        <v>168</v>
      </c>
      <c r="AV24" s="59">
        <v>170</v>
      </c>
      <c r="AW24" s="24">
        <v>161</v>
      </c>
      <c r="AX24" s="24">
        <v>161</v>
      </c>
      <c r="AY24" s="24">
        <v>160</v>
      </c>
      <c r="AZ24" s="24"/>
      <c r="BA24" s="24"/>
      <c r="BB24" s="24">
        <v>160</v>
      </c>
      <c r="BC24" s="24">
        <v>162</v>
      </c>
      <c r="BD24" s="24">
        <v>163</v>
      </c>
      <c r="BE24" s="24">
        <v>163.5</v>
      </c>
      <c r="BF24" s="24">
        <v>165</v>
      </c>
      <c r="BG24" s="59"/>
      <c r="BH24" s="24"/>
      <c r="BI24" s="24">
        <v>168</v>
      </c>
      <c r="BJ24" s="24">
        <v>169</v>
      </c>
      <c r="BK24" s="24">
        <v>172</v>
      </c>
      <c r="BL24" s="24">
        <v>174</v>
      </c>
      <c r="BM24" s="24">
        <v>171</v>
      </c>
      <c r="BN24" s="24"/>
      <c r="BO24" s="24"/>
      <c r="BP24" s="24">
        <v>176</v>
      </c>
      <c r="BQ24" s="24">
        <v>176</v>
      </c>
      <c r="BR24" s="24">
        <v>169</v>
      </c>
      <c r="BS24" s="24">
        <v>169</v>
      </c>
      <c r="BT24" s="24">
        <v>164.5</v>
      </c>
      <c r="BU24" s="24"/>
      <c r="BV24" s="24"/>
      <c r="BW24" s="24">
        <v>164.5</v>
      </c>
      <c r="BX24" s="24">
        <v>165</v>
      </c>
      <c r="BY24" s="24">
        <v>165</v>
      </c>
      <c r="BZ24" s="24">
        <v>163</v>
      </c>
      <c r="CA24" s="24">
        <v>161</v>
      </c>
      <c r="CB24" s="24"/>
      <c r="CC24" s="24"/>
      <c r="CD24" s="24">
        <v>164</v>
      </c>
      <c r="CE24" s="24">
        <v>164</v>
      </c>
      <c r="CF24" s="24">
        <v>168</v>
      </c>
      <c r="CG24" s="24">
        <v>167</v>
      </c>
      <c r="CH24" s="24">
        <v>168</v>
      </c>
      <c r="CI24" s="24"/>
      <c r="CJ24" s="24"/>
      <c r="CK24" s="24">
        <v>168</v>
      </c>
      <c r="CL24" s="24">
        <v>168</v>
      </c>
      <c r="CM24" s="24">
        <v>170</v>
      </c>
      <c r="CN24" s="24">
        <v>169</v>
      </c>
      <c r="CO24" s="24">
        <v>169</v>
      </c>
      <c r="CP24" s="24"/>
      <c r="CQ24" s="59"/>
      <c r="CR24" s="24">
        <v>169</v>
      </c>
      <c r="CS24" s="24">
        <v>169.5</v>
      </c>
      <c r="CT24" s="24">
        <v>170</v>
      </c>
      <c r="CU24" s="24">
        <v>169</v>
      </c>
      <c r="CV24" s="24">
        <v>171</v>
      </c>
      <c r="CW24" s="24"/>
      <c r="CX24" s="24"/>
      <c r="CY24" s="24">
        <v>171</v>
      </c>
      <c r="CZ24" s="24">
        <v>172</v>
      </c>
      <c r="DA24" s="24">
        <v>172</v>
      </c>
      <c r="DB24" s="24">
        <v>172.5</v>
      </c>
      <c r="DC24" s="24">
        <v>174</v>
      </c>
      <c r="DD24" s="24"/>
      <c r="DE24" s="24"/>
      <c r="DF24" s="24">
        <v>174</v>
      </c>
      <c r="DG24" s="24">
        <v>174.5</v>
      </c>
      <c r="DH24" s="24">
        <v>174.5</v>
      </c>
      <c r="DI24" s="24">
        <v>174.5</v>
      </c>
      <c r="DJ24" s="24">
        <v>179</v>
      </c>
      <c r="DK24" s="24"/>
      <c r="DL24" s="24"/>
      <c r="DM24" s="43">
        <v>181.5</v>
      </c>
      <c r="DN24" s="24">
        <v>180.5</v>
      </c>
      <c r="DO24" s="24">
        <v>173</v>
      </c>
      <c r="DP24" s="24">
        <v>172</v>
      </c>
      <c r="DQ24" s="24">
        <v>177</v>
      </c>
      <c r="DR24" s="24"/>
      <c r="DS24" s="24"/>
      <c r="DT24" s="24">
        <v>176</v>
      </c>
      <c r="DU24" s="24">
        <v>178</v>
      </c>
      <c r="DV24" s="24">
        <v>176</v>
      </c>
      <c r="DW24" s="24">
        <v>176</v>
      </c>
      <c r="DX24" s="24">
        <v>177</v>
      </c>
      <c r="DY24" s="24"/>
      <c r="DZ24" s="24"/>
      <c r="EA24" s="24">
        <v>175.5</v>
      </c>
      <c r="EB24" s="24">
        <v>178</v>
      </c>
      <c r="EC24" s="24">
        <v>181</v>
      </c>
      <c r="ED24" s="24">
        <v>172</v>
      </c>
      <c r="EE24" s="24">
        <v>172</v>
      </c>
      <c r="EF24" s="24"/>
      <c r="EG24" s="24"/>
      <c r="EH24" s="24">
        <v>172</v>
      </c>
      <c r="EI24" s="24">
        <v>172</v>
      </c>
      <c r="EJ24" s="24">
        <v>170</v>
      </c>
      <c r="EK24" s="24">
        <v>170</v>
      </c>
      <c r="EL24" s="24">
        <v>170.5</v>
      </c>
      <c r="EM24" s="24"/>
      <c r="EN24" s="24"/>
      <c r="EO24" s="24">
        <v>172</v>
      </c>
      <c r="EP24" s="24">
        <v>172</v>
      </c>
      <c r="EQ24" s="24">
        <v>171</v>
      </c>
      <c r="ER24" s="24">
        <v>171</v>
      </c>
      <c r="ES24" s="24">
        <v>170</v>
      </c>
      <c r="ET24" s="24"/>
      <c r="EU24" s="24"/>
      <c r="EV24" s="24">
        <v>170</v>
      </c>
      <c r="EW24" s="24">
        <v>171</v>
      </c>
      <c r="EX24" s="24">
        <v>171</v>
      </c>
      <c r="EY24" s="24">
        <v>171</v>
      </c>
      <c r="EZ24" s="24">
        <v>171</v>
      </c>
      <c r="FA24" s="24"/>
      <c r="FB24" s="24"/>
      <c r="FC24" s="24">
        <v>170</v>
      </c>
      <c r="FD24" s="24">
        <v>171</v>
      </c>
      <c r="FE24" s="24">
        <v>171</v>
      </c>
      <c r="FF24" s="24">
        <v>170</v>
      </c>
      <c r="FG24" s="24">
        <v>167</v>
      </c>
      <c r="FH24" s="24"/>
      <c r="FI24" s="24"/>
      <c r="FJ24" s="24">
        <v>163</v>
      </c>
      <c r="FK24" s="24">
        <v>163</v>
      </c>
      <c r="FL24" s="24">
        <v>157</v>
      </c>
      <c r="FM24" s="24">
        <v>149</v>
      </c>
      <c r="FN24" s="24">
        <v>149</v>
      </c>
      <c r="FO24" s="24"/>
      <c r="FP24" s="24"/>
      <c r="FQ24" s="24">
        <v>153</v>
      </c>
      <c r="FR24" s="24">
        <v>150</v>
      </c>
      <c r="FS24" s="24">
        <v>149</v>
      </c>
      <c r="FT24" s="24">
        <v>151</v>
      </c>
      <c r="FU24" s="24">
        <v>147</v>
      </c>
      <c r="FV24" s="24"/>
      <c r="FW24" s="24"/>
      <c r="FX24" s="24">
        <v>149</v>
      </c>
      <c r="FY24" s="24">
        <v>151</v>
      </c>
      <c r="FZ24" s="24">
        <v>159</v>
      </c>
      <c r="GA24" s="24">
        <v>162</v>
      </c>
      <c r="GB24" s="24">
        <v>162</v>
      </c>
      <c r="GC24" s="24"/>
      <c r="GD24" s="24"/>
      <c r="GE24" s="24">
        <v>161.5</v>
      </c>
      <c r="GF24" s="24">
        <v>157</v>
      </c>
      <c r="GG24" s="24">
        <v>159</v>
      </c>
      <c r="GH24" s="24">
        <v>161</v>
      </c>
      <c r="GI24" s="24">
        <v>164</v>
      </c>
      <c r="GJ24" s="24"/>
      <c r="GK24" s="24"/>
      <c r="GL24" s="24">
        <v>165</v>
      </c>
      <c r="GM24" s="24">
        <v>166</v>
      </c>
      <c r="GN24" s="24">
        <v>167</v>
      </c>
      <c r="GO24" s="24">
        <v>167</v>
      </c>
      <c r="GP24" s="24">
        <v>169</v>
      </c>
      <c r="GQ24" s="24"/>
      <c r="GR24" s="24"/>
      <c r="GS24" s="24">
        <v>168</v>
      </c>
      <c r="GT24" s="24">
        <v>169.5</v>
      </c>
      <c r="GU24" s="24">
        <v>169.5</v>
      </c>
      <c r="GV24" s="24">
        <v>167</v>
      </c>
      <c r="GW24" s="24">
        <v>166</v>
      </c>
      <c r="GX24" s="24"/>
      <c r="GY24" s="24"/>
      <c r="GZ24" s="24">
        <v>166.5</v>
      </c>
      <c r="HA24" s="24">
        <v>167</v>
      </c>
      <c r="HB24" s="24">
        <v>166</v>
      </c>
      <c r="HC24" s="24">
        <v>165</v>
      </c>
      <c r="HD24" s="24">
        <v>165</v>
      </c>
      <c r="HE24" s="24"/>
      <c r="HF24" s="24"/>
      <c r="HG24" s="24">
        <v>165</v>
      </c>
      <c r="HH24" s="24">
        <v>165</v>
      </c>
      <c r="HI24" s="24">
        <v>165</v>
      </c>
      <c r="HJ24" s="24">
        <v>164.5</v>
      </c>
      <c r="HK24" s="24">
        <v>169</v>
      </c>
      <c r="HL24" s="24"/>
      <c r="HM24" s="24"/>
      <c r="HN24" s="24">
        <v>169</v>
      </c>
      <c r="HO24" s="24">
        <v>167</v>
      </c>
      <c r="HP24" s="24">
        <v>167.5</v>
      </c>
      <c r="HQ24" s="24">
        <v>167.5</v>
      </c>
      <c r="HR24" s="24">
        <v>170</v>
      </c>
      <c r="HS24" s="24"/>
      <c r="HT24" s="24"/>
      <c r="HU24" s="24">
        <v>171.5</v>
      </c>
      <c r="HV24" s="24">
        <v>172</v>
      </c>
      <c r="HW24" s="24">
        <v>172</v>
      </c>
      <c r="HX24" s="24">
        <v>171</v>
      </c>
      <c r="HY24" s="24">
        <v>168.5</v>
      </c>
      <c r="HZ24" s="24"/>
      <c r="IA24" s="24"/>
      <c r="IB24" s="24">
        <v>168.5</v>
      </c>
      <c r="IC24" s="24">
        <v>170</v>
      </c>
      <c r="ID24" s="24">
        <v>169.5</v>
      </c>
      <c r="IE24" s="24">
        <v>169.5</v>
      </c>
      <c r="IF24" s="24">
        <v>167.5</v>
      </c>
      <c r="IG24" s="24"/>
      <c r="IH24" s="24"/>
      <c r="II24" s="24">
        <v>166</v>
      </c>
      <c r="IJ24" s="24">
        <v>163</v>
      </c>
      <c r="IK24" s="24">
        <v>166</v>
      </c>
      <c r="IL24" s="24">
        <v>168</v>
      </c>
      <c r="IM24" s="24">
        <v>170</v>
      </c>
      <c r="IN24" s="24"/>
      <c r="IO24" s="24"/>
      <c r="IP24" s="24">
        <v>169</v>
      </c>
      <c r="IQ24" s="24">
        <v>169</v>
      </c>
      <c r="IR24" s="24">
        <v>175</v>
      </c>
      <c r="IS24" s="24">
        <v>174</v>
      </c>
      <c r="IT24" s="24">
        <v>172</v>
      </c>
      <c r="IU24" s="24"/>
      <c r="IV24" s="24"/>
      <c r="IW24" s="24">
        <v>170.5</v>
      </c>
      <c r="IX24" s="24">
        <v>172</v>
      </c>
      <c r="IY24" s="24">
        <v>174</v>
      </c>
      <c r="IZ24" s="24">
        <v>176</v>
      </c>
      <c r="JA24" s="24">
        <v>173</v>
      </c>
      <c r="JB24" s="24"/>
      <c r="JC24" s="24"/>
      <c r="JD24" s="24">
        <v>171</v>
      </c>
      <c r="JE24" s="24">
        <v>172</v>
      </c>
      <c r="JF24" s="24">
        <v>169</v>
      </c>
      <c r="JG24" s="24">
        <v>170</v>
      </c>
      <c r="JH24" s="24">
        <v>170.5</v>
      </c>
      <c r="JI24" s="24"/>
      <c r="JJ24" s="24"/>
      <c r="JK24" s="24">
        <v>173</v>
      </c>
      <c r="JL24" s="24">
        <v>174.5</v>
      </c>
      <c r="JM24" s="24">
        <v>174.5</v>
      </c>
      <c r="JN24" s="24">
        <v>171.5</v>
      </c>
      <c r="JO24" s="24">
        <v>169</v>
      </c>
      <c r="JP24" s="24"/>
      <c r="JQ24" s="24"/>
      <c r="JR24" s="24">
        <v>166</v>
      </c>
      <c r="JS24" s="24">
        <v>172</v>
      </c>
      <c r="JT24" s="24">
        <v>169.5</v>
      </c>
      <c r="JU24" s="24">
        <v>172</v>
      </c>
      <c r="JV24" s="24">
        <v>172</v>
      </c>
      <c r="JW24" s="24"/>
      <c r="JX24" s="24"/>
      <c r="JY24" s="24">
        <v>171.5</v>
      </c>
      <c r="JZ24" s="24">
        <v>171.5</v>
      </c>
      <c r="KA24" s="24">
        <v>169</v>
      </c>
      <c r="KB24" s="24">
        <v>170</v>
      </c>
      <c r="KC24" s="24">
        <v>169</v>
      </c>
      <c r="KD24" s="24"/>
      <c r="KE24" s="24"/>
      <c r="KF24" s="24">
        <v>170</v>
      </c>
      <c r="KG24" s="24">
        <v>172.5</v>
      </c>
      <c r="KH24" s="24">
        <v>173.5</v>
      </c>
      <c r="KI24" s="24">
        <v>173.5</v>
      </c>
      <c r="KJ24" s="24">
        <v>173.5</v>
      </c>
      <c r="KK24" s="24"/>
      <c r="KL24" s="24"/>
      <c r="KM24" s="24">
        <v>172</v>
      </c>
      <c r="KN24" s="24">
        <v>171</v>
      </c>
      <c r="KO24" s="24">
        <v>170</v>
      </c>
      <c r="KP24" s="24">
        <v>169.5</v>
      </c>
      <c r="KQ24" s="24">
        <v>172</v>
      </c>
      <c r="KR24" s="24"/>
      <c r="KS24" s="24"/>
      <c r="KT24" s="24">
        <v>169.5</v>
      </c>
      <c r="KU24" s="24">
        <v>169.5</v>
      </c>
      <c r="KV24" s="24">
        <v>168.5</v>
      </c>
      <c r="KW24" s="24">
        <v>164</v>
      </c>
      <c r="KX24" s="24">
        <v>162.5</v>
      </c>
      <c r="KY24" s="24"/>
      <c r="KZ24" s="24"/>
      <c r="LA24" s="24">
        <v>159</v>
      </c>
      <c r="LB24" s="24">
        <v>159</v>
      </c>
      <c r="LC24" s="24">
        <v>159</v>
      </c>
      <c r="LD24" s="24">
        <v>158</v>
      </c>
      <c r="LE24" s="24">
        <v>161.5</v>
      </c>
      <c r="LF24" s="24"/>
      <c r="LG24" s="24"/>
      <c r="LH24" s="24">
        <v>161.5</v>
      </c>
      <c r="LI24" s="24">
        <v>163</v>
      </c>
      <c r="LJ24" s="24">
        <v>166.5</v>
      </c>
      <c r="LK24" s="24">
        <v>166.5</v>
      </c>
      <c r="LL24" s="24">
        <v>167</v>
      </c>
      <c r="LM24" s="24"/>
      <c r="LN24" s="24"/>
      <c r="LO24" s="24">
        <v>170</v>
      </c>
      <c r="LP24" s="24">
        <v>170</v>
      </c>
      <c r="LQ24" s="24">
        <v>169</v>
      </c>
      <c r="LR24" s="24">
        <v>167</v>
      </c>
      <c r="LS24" s="24">
        <v>165.5</v>
      </c>
      <c r="LT24" s="24"/>
      <c r="LU24" s="24"/>
      <c r="LV24" s="24">
        <v>166</v>
      </c>
      <c r="LW24" s="24">
        <v>164</v>
      </c>
      <c r="LX24" s="24">
        <v>166</v>
      </c>
      <c r="LY24" s="24">
        <v>167</v>
      </c>
      <c r="LZ24" s="24">
        <v>170</v>
      </c>
      <c r="MA24" s="24"/>
      <c r="MB24" s="24"/>
      <c r="MC24" s="24">
        <v>168</v>
      </c>
      <c r="MD24" s="24">
        <v>166.5</v>
      </c>
      <c r="ME24" s="24">
        <v>163</v>
      </c>
      <c r="MF24" s="24">
        <v>165</v>
      </c>
      <c r="MG24" s="24">
        <v>166</v>
      </c>
      <c r="MH24" s="24"/>
      <c r="MI24" s="24"/>
      <c r="MJ24" s="24">
        <v>164</v>
      </c>
      <c r="MK24" s="24">
        <v>166</v>
      </c>
      <c r="ML24" s="24">
        <v>169.5</v>
      </c>
      <c r="MM24" s="24">
        <v>171</v>
      </c>
      <c r="MN24" s="24">
        <v>171</v>
      </c>
      <c r="MO24" s="24"/>
      <c r="MP24" s="24"/>
      <c r="MQ24" s="24">
        <v>172</v>
      </c>
      <c r="MR24" s="24">
        <v>173</v>
      </c>
      <c r="MS24" s="24">
        <v>173</v>
      </c>
      <c r="MT24" s="24">
        <v>172</v>
      </c>
      <c r="MU24" s="24">
        <v>172</v>
      </c>
      <c r="MV24" s="24"/>
      <c r="MW24" s="59"/>
      <c r="MX24" s="24">
        <v>174.5</v>
      </c>
      <c r="MY24" s="24">
        <v>174.5</v>
      </c>
      <c r="MZ24" s="24">
        <v>174.5</v>
      </c>
      <c r="NA24" s="24">
        <v>172.5</v>
      </c>
      <c r="NB24" s="24">
        <v>172.5</v>
      </c>
    </row>
    <row r="25" spans="1:367" x14ac:dyDescent="0.25">
      <c r="A25" s="42" t="s">
        <v>89</v>
      </c>
      <c r="B25" s="63"/>
      <c r="C25" s="63"/>
      <c r="D25" s="63"/>
      <c r="E25" s="63">
        <v>153</v>
      </c>
      <c r="F25" s="63">
        <v>153</v>
      </c>
      <c r="G25" s="63">
        <v>153</v>
      </c>
      <c r="H25" s="63">
        <v>154</v>
      </c>
      <c r="I25" s="63">
        <v>155</v>
      </c>
      <c r="J25" s="63"/>
      <c r="K25" s="63"/>
      <c r="L25" s="63">
        <v>157</v>
      </c>
      <c r="M25" s="63">
        <v>159</v>
      </c>
      <c r="N25" s="63">
        <v>157</v>
      </c>
      <c r="O25" s="63">
        <v>155</v>
      </c>
      <c r="P25" s="63">
        <v>155</v>
      </c>
      <c r="Q25" s="63"/>
      <c r="R25" s="63"/>
      <c r="S25" s="63">
        <v>155</v>
      </c>
      <c r="T25" s="63">
        <v>153</v>
      </c>
      <c r="U25" s="43">
        <v>150</v>
      </c>
      <c r="V25" s="43">
        <v>151</v>
      </c>
      <c r="W25" s="43">
        <v>151</v>
      </c>
      <c r="X25" s="43"/>
      <c r="Y25" s="43"/>
      <c r="Z25" s="43">
        <v>153</v>
      </c>
      <c r="AA25" s="43">
        <v>153</v>
      </c>
      <c r="AB25" s="43">
        <v>155</v>
      </c>
      <c r="AC25" s="43">
        <v>155</v>
      </c>
      <c r="AD25" s="43">
        <v>156</v>
      </c>
      <c r="AE25" s="43"/>
      <c r="AF25" s="43"/>
      <c r="AG25" s="43">
        <v>155</v>
      </c>
      <c r="AH25" s="43">
        <v>153</v>
      </c>
      <c r="AI25" s="43">
        <v>154</v>
      </c>
      <c r="AJ25" s="43">
        <v>155</v>
      </c>
      <c r="AK25" s="43">
        <v>155</v>
      </c>
      <c r="AL25" s="43"/>
      <c r="AM25" s="43"/>
      <c r="AN25" s="43">
        <v>155</v>
      </c>
      <c r="AO25" s="43">
        <v>158</v>
      </c>
      <c r="AP25" s="43">
        <v>158</v>
      </c>
      <c r="AQ25" s="43">
        <v>158</v>
      </c>
      <c r="AR25" s="43">
        <v>158</v>
      </c>
      <c r="AS25" s="43"/>
      <c r="AT25" s="43"/>
      <c r="AU25" s="63">
        <v>155</v>
      </c>
      <c r="AV25" s="63">
        <v>158</v>
      </c>
      <c r="AW25" s="43">
        <v>158</v>
      </c>
      <c r="AX25" s="43">
        <v>153</v>
      </c>
      <c r="AY25" s="43">
        <v>153</v>
      </c>
      <c r="AZ25" s="43"/>
      <c r="BA25" s="43"/>
      <c r="BB25" s="43">
        <v>157.5</v>
      </c>
      <c r="BC25" s="43">
        <v>157.5</v>
      </c>
      <c r="BD25" s="43">
        <v>157.5</v>
      </c>
      <c r="BE25" s="43">
        <v>157.5</v>
      </c>
      <c r="BF25" s="43">
        <v>158</v>
      </c>
      <c r="BG25" s="43"/>
      <c r="BH25" s="43"/>
      <c r="BI25" s="43">
        <v>161.5</v>
      </c>
      <c r="BJ25" s="43">
        <v>163</v>
      </c>
      <c r="BK25" s="43">
        <v>163</v>
      </c>
      <c r="BL25" s="63">
        <v>163</v>
      </c>
      <c r="BM25" s="43">
        <v>165</v>
      </c>
      <c r="BN25" s="43"/>
      <c r="BO25" s="43"/>
      <c r="BP25" s="43">
        <v>173</v>
      </c>
      <c r="BQ25" s="43">
        <v>173</v>
      </c>
      <c r="BR25" s="43">
        <v>171.5</v>
      </c>
      <c r="BS25" s="43">
        <v>164</v>
      </c>
      <c r="BT25" s="43">
        <v>164</v>
      </c>
      <c r="BU25" s="43"/>
      <c r="BV25" s="43"/>
      <c r="BW25" s="43">
        <v>165</v>
      </c>
      <c r="BX25" s="43">
        <v>165</v>
      </c>
      <c r="BY25" s="43">
        <v>163.5</v>
      </c>
      <c r="BZ25" s="43">
        <v>160</v>
      </c>
      <c r="CA25" s="43">
        <v>160</v>
      </c>
      <c r="CB25" s="43"/>
      <c r="CC25" s="43"/>
      <c r="CD25" s="43">
        <v>158</v>
      </c>
      <c r="CE25" s="43">
        <v>159.5</v>
      </c>
      <c r="CF25" s="43">
        <v>161</v>
      </c>
      <c r="CG25" s="43">
        <v>162</v>
      </c>
      <c r="CH25" s="43">
        <v>164</v>
      </c>
      <c r="CI25" s="43"/>
      <c r="CJ25" s="43"/>
      <c r="CK25" s="43">
        <v>165</v>
      </c>
      <c r="CL25" s="43">
        <v>161</v>
      </c>
      <c r="CM25" s="43">
        <v>166</v>
      </c>
      <c r="CN25" s="43">
        <v>165</v>
      </c>
      <c r="CO25" s="43">
        <v>165</v>
      </c>
      <c r="CP25" s="43"/>
      <c r="CQ25" s="43"/>
      <c r="CR25" s="43">
        <v>165</v>
      </c>
      <c r="CS25" s="43">
        <v>165</v>
      </c>
      <c r="CT25" s="43">
        <v>165</v>
      </c>
      <c r="CU25" s="43">
        <v>164</v>
      </c>
      <c r="CV25" s="43">
        <v>165</v>
      </c>
      <c r="CW25" s="43"/>
      <c r="CX25" s="43"/>
      <c r="CY25" s="43">
        <v>165</v>
      </c>
      <c r="CZ25" s="43">
        <v>165.5</v>
      </c>
      <c r="DA25" s="43">
        <v>165.5</v>
      </c>
      <c r="DB25" s="43">
        <v>165.5</v>
      </c>
      <c r="DC25" s="43">
        <v>166.5</v>
      </c>
      <c r="DD25" s="43"/>
      <c r="DE25" s="43"/>
      <c r="DF25" s="43">
        <v>167</v>
      </c>
      <c r="DG25" s="43">
        <v>168</v>
      </c>
      <c r="DH25" s="43">
        <v>168</v>
      </c>
      <c r="DI25" s="43">
        <v>170</v>
      </c>
      <c r="DJ25" s="43">
        <v>172</v>
      </c>
      <c r="DK25" s="43"/>
      <c r="DL25" s="43"/>
      <c r="DM25" s="43">
        <v>174</v>
      </c>
      <c r="DN25" s="43">
        <v>174</v>
      </c>
      <c r="DO25" s="43">
        <v>173</v>
      </c>
      <c r="DP25" s="43">
        <v>171</v>
      </c>
      <c r="DQ25" s="43">
        <v>173</v>
      </c>
      <c r="DR25" s="43"/>
      <c r="DS25" s="43"/>
      <c r="DT25" s="43">
        <v>170</v>
      </c>
      <c r="DU25" s="43">
        <v>171</v>
      </c>
      <c r="DV25" s="43">
        <v>171</v>
      </c>
      <c r="DW25" s="43">
        <v>170</v>
      </c>
      <c r="DX25" s="43">
        <v>174</v>
      </c>
      <c r="DY25" s="43"/>
      <c r="DZ25" s="43"/>
      <c r="EA25" s="43">
        <v>172</v>
      </c>
      <c r="EB25" s="43">
        <v>173.5</v>
      </c>
      <c r="EC25" s="43">
        <v>177</v>
      </c>
      <c r="ED25" s="43">
        <v>174</v>
      </c>
      <c r="EE25" s="43">
        <v>170</v>
      </c>
      <c r="EF25" s="43"/>
      <c r="EG25" s="43"/>
      <c r="EH25" s="43">
        <v>170</v>
      </c>
      <c r="EI25" s="43">
        <v>171</v>
      </c>
      <c r="EJ25" s="43">
        <v>167.5</v>
      </c>
      <c r="EK25" s="43">
        <v>167</v>
      </c>
      <c r="EL25" s="43">
        <v>167</v>
      </c>
      <c r="EM25" s="43"/>
      <c r="EN25" s="43"/>
      <c r="EO25" s="43">
        <v>165.5</v>
      </c>
      <c r="EP25" s="43">
        <v>164</v>
      </c>
      <c r="EQ25" s="43">
        <v>165</v>
      </c>
      <c r="ER25" s="43">
        <v>166</v>
      </c>
      <c r="ES25" s="43">
        <v>165.5</v>
      </c>
      <c r="ET25" s="43"/>
      <c r="EU25" s="43"/>
      <c r="EV25" s="43">
        <v>165.5</v>
      </c>
      <c r="EW25" s="43">
        <v>166</v>
      </c>
      <c r="EX25" s="43">
        <v>164</v>
      </c>
      <c r="EY25" s="43">
        <v>164</v>
      </c>
      <c r="EZ25" s="43">
        <v>165</v>
      </c>
      <c r="FA25" s="43"/>
      <c r="FB25" s="43"/>
      <c r="FC25" s="43">
        <v>165</v>
      </c>
      <c r="FD25" s="43">
        <v>166</v>
      </c>
      <c r="FE25" s="43">
        <v>166</v>
      </c>
      <c r="FF25" s="43">
        <v>166</v>
      </c>
      <c r="FG25" s="43">
        <v>163</v>
      </c>
      <c r="FH25" s="43"/>
      <c r="FI25" s="43"/>
      <c r="FJ25" s="43">
        <v>158</v>
      </c>
      <c r="FK25" s="43">
        <v>155</v>
      </c>
      <c r="FL25" s="43">
        <v>150</v>
      </c>
      <c r="FM25" s="43">
        <v>142</v>
      </c>
      <c r="FN25" s="43">
        <v>148</v>
      </c>
      <c r="FO25" s="43"/>
      <c r="FP25" s="43"/>
      <c r="FQ25" s="43">
        <v>150</v>
      </c>
      <c r="FR25" s="43">
        <v>147</v>
      </c>
      <c r="FS25" s="43">
        <v>145</v>
      </c>
      <c r="FT25" s="43">
        <v>140</v>
      </c>
      <c r="FU25" s="43">
        <v>140</v>
      </c>
      <c r="FV25" s="43"/>
      <c r="FW25" s="43"/>
      <c r="FX25" s="43">
        <v>142.5</v>
      </c>
      <c r="FY25" s="43">
        <v>145.5</v>
      </c>
      <c r="FZ25" s="43">
        <v>152</v>
      </c>
      <c r="GA25" s="43">
        <v>155</v>
      </c>
      <c r="GB25" s="43">
        <v>153.5</v>
      </c>
      <c r="GC25" s="43"/>
      <c r="GD25" s="43"/>
      <c r="GE25" s="43">
        <v>153.5</v>
      </c>
      <c r="GF25" s="43">
        <v>150.5</v>
      </c>
      <c r="GG25" s="43">
        <v>156</v>
      </c>
      <c r="GH25" s="43">
        <v>156.5</v>
      </c>
      <c r="GI25" s="43">
        <v>156.5</v>
      </c>
      <c r="GJ25" s="43"/>
      <c r="GK25" s="43"/>
      <c r="GL25" s="43">
        <v>157.5</v>
      </c>
      <c r="GM25" s="43">
        <v>159</v>
      </c>
      <c r="GN25" s="43">
        <v>161</v>
      </c>
      <c r="GO25" s="43">
        <v>161</v>
      </c>
      <c r="GP25" s="43">
        <v>164</v>
      </c>
      <c r="GQ25" s="43"/>
      <c r="GR25" s="43"/>
      <c r="GS25" s="43">
        <v>168</v>
      </c>
      <c r="GT25" s="43">
        <v>172.5</v>
      </c>
      <c r="GU25" s="43">
        <v>170</v>
      </c>
      <c r="GV25" s="43">
        <v>170</v>
      </c>
      <c r="GW25" s="43">
        <v>169</v>
      </c>
      <c r="GX25" s="43"/>
      <c r="GY25" s="43"/>
      <c r="GZ25" s="43">
        <v>165.5</v>
      </c>
      <c r="HA25" s="43">
        <v>168</v>
      </c>
      <c r="HB25" s="43">
        <v>168</v>
      </c>
      <c r="HC25" s="43">
        <v>165</v>
      </c>
      <c r="HD25" s="43">
        <v>167</v>
      </c>
      <c r="HE25" s="43"/>
      <c r="HF25" s="43"/>
      <c r="HG25" s="43">
        <v>167</v>
      </c>
      <c r="HH25" s="43">
        <v>168</v>
      </c>
      <c r="HI25" s="43">
        <v>167.5</v>
      </c>
      <c r="HJ25" s="43">
        <v>167.5</v>
      </c>
      <c r="HK25" s="43">
        <v>172</v>
      </c>
      <c r="HL25" s="43"/>
      <c r="HM25" s="43"/>
      <c r="HN25" s="43">
        <v>173</v>
      </c>
      <c r="HO25" s="43">
        <v>173</v>
      </c>
      <c r="HP25" s="43">
        <v>173</v>
      </c>
      <c r="HQ25" s="43">
        <v>174</v>
      </c>
      <c r="HR25" s="43">
        <v>175</v>
      </c>
      <c r="HS25" s="43"/>
      <c r="HT25" s="43"/>
      <c r="HU25" s="43">
        <v>175</v>
      </c>
      <c r="HV25" s="43">
        <v>177</v>
      </c>
      <c r="HW25" s="43">
        <v>177.5</v>
      </c>
      <c r="HX25" s="43">
        <v>177</v>
      </c>
      <c r="HY25" s="43">
        <v>174</v>
      </c>
      <c r="HZ25" s="43"/>
      <c r="IA25" s="43"/>
      <c r="IB25" s="43">
        <v>175</v>
      </c>
      <c r="IC25" s="43">
        <v>175</v>
      </c>
      <c r="ID25" s="43">
        <v>174</v>
      </c>
      <c r="IE25" s="43">
        <v>174</v>
      </c>
      <c r="IF25" s="43">
        <v>171</v>
      </c>
      <c r="IG25" s="43"/>
      <c r="IH25" s="43"/>
      <c r="II25" s="43">
        <v>167</v>
      </c>
      <c r="IJ25" s="43">
        <v>167</v>
      </c>
      <c r="IK25" s="43">
        <v>164</v>
      </c>
      <c r="IL25" s="43">
        <v>164</v>
      </c>
      <c r="IM25" s="43">
        <v>165.5</v>
      </c>
      <c r="IN25" s="43"/>
      <c r="IO25" s="43"/>
      <c r="IP25" s="43">
        <v>165.5</v>
      </c>
      <c r="IQ25" s="43">
        <v>165.5</v>
      </c>
      <c r="IR25" s="43">
        <v>168</v>
      </c>
      <c r="IS25" s="43">
        <v>169</v>
      </c>
      <c r="IT25" s="43">
        <v>170</v>
      </c>
      <c r="IU25" s="43"/>
      <c r="IV25" s="43"/>
      <c r="IW25" s="43">
        <v>169</v>
      </c>
      <c r="IX25" s="43">
        <v>171.5</v>
      </c>
      <c r="IY25" s="43">
        <v>173</v>
      </c>
      <c r="IZ25" s="43">
        <v>173.5</v>
      </c>
      <c r="JA25" s="43">
        <v>173.5</v>
      </c>
      <c r="JB25" s="43"/>
      <c r="JC25" s="43"/>
      <c r="JD25" s="43">
        <v>175</v>
      </c>
      <c r="JE25" s="43">
        <v>173</v>
      </c>
      <c r="JF25" s="43">
        <v>175</v>
      </c>
      <c r="JG25" s="43">
        <v>172.5</v>
      </c>
      <c r="JH25" s="43">
        <v>173</v>
      </c>
      <c r="JI25" s="43"/>
      <c r="JJ25" s="43"/>
      <c r="JK25" s="43">
        <v>174</v>
      </c>
      <c r="JL25" s="43">
        <v>168</v>
      </c>
      <c r="JM25" s="43">
        <v>172</v>
      </c>
      <c r="JN25" s="43">
        <v>163.5</v>
      </c>
      <c r="JO25" s="43">
        <v>163.5</v>
      </c>
      <c r="JP25" s="43"/>
      <c r="JQ25" s="43"/>
      <c r="JR25" s="43">
        <v>163.5</v>
      </c>
      <c r="JS25" s="43">
        <v>1653.3</v>
      </c>
      <c r="JT25" s="43">
        <v>164</v>
      </c>
      <c r="JU25" s="43">
        <v>164</v>
      </c>
      <c r="JV25" s="43">
        <v>164</v>
      </c>
      <c r="JW25" s="43"/>
      <c r="JX25" s="43"/>
      <c r="JY25" s="43">
        <v>168</v>
      </c>
      <c r="JZ25" s="43">
        <v>168</v>
      </c>
      <c r="KA25" s="43">
        <v>163</v>
      </c>
      <c r="KB25" s="43">
        <v>164</v>
      </c>
      <c r="KC25" s="43">
        <v>161.5</v>
      </c>
      <c r="KD25" s="43"/>
      <c r="KE25" s="43"/>
      <c r="KF25" s="43">
        <v>163</v>
      </c>
      <c r="KG25" s="43">
        <v>166</v>
      </c>
      <c r="KH25" s="43">
        <v>167</v>
      </c>
      <c r="KI25" s="43">
        <v>167</v>
      </c>
      <c r="KJ25" s="43">
        <v>167</v>
      </c>
      <c r="KK25" s="43"/>
      <c r="KL25" s="43"/>
      <c r="KM25" s="43">
        <v>164</v>
      </c>
      <c r="KN25" s="43">
        <v>164</v>
      </c>
      <c r="KO25" s="43">
        <v>164</v>
      </c>
      <c r="KP25" s="43">
        <v>164</v>
      </c>
      <c r="KQ25" s="43">
        <v>164</v>
      </c>
      <c r="KR25" s="43"/>
      <c r="KS25" s="43"/>
      <c r="KT25" s="43">
        <v>164</v>
      </c>
      <c r="KU25" s="43">
        <v>164</v>
      </c>
      <c r="KV25" s="43">
        <v>163</v>
      </c>
      <c r="KW25" s="43">
        <v>161</v>
      </c>
      <c r="KX25" s="43">
        <v>157</v>
      </c>
      <c r="KY25" s="43"/>
      <c r="KZ25" s="43"/>
      <c r="LA25" s="43">
        <v>152</v>
      </c>
      <c r="LB25" s="43">
        <v>150</v>
      </c>
      <c r="LC25" s="43">
        <v>152</v>
      </c>
      <c r="LD25" s="43">
        <v>152</v>
      </c>
      <c r="LE25" s="43">
        <v>152</v>
      </c>
      <c r="LF25" s="43"/>
      <c r="LG25" s="43"/>
      <c r="LH25" s="43">
        <v>152</v>
      </c>
      <c r="LI25" s="43">
        <v>154.5</v>
      </c>
      <c r="LJ25" s="43">
        <v>158</v>
      </c>
      <c r="LK25" s="43">
        <v>158.5</v>
      </c>
      <c r="LL25" s="43">
        <v>159</v>
      </c>
      <c r="LM25" s="43"/>
      <c r="LN25" s="43"/>
      <c r="LO25" s="43">
        <v>157</v>
      </c>
      <c r="LP25" s="43">
        <v>157</v>
      </c>
      <c r="LQ25" s="43">
        <v>157</v>
      </c>
      <c r="LR25" s="43">
        <v>156</v>
      </c>
      <c r="LS25" s="43">
        <v>152</v>
      </c>
      <c r="LT25" s="43"/>
      <c r="LU25" s="43"/>
      <c r="LV25" s="43">
        <v>151</v>
      </c>
      <c r="LW25" s="43">
        <v>149</v>
      </c>
      <c r="LX25" s="43">
        <v>153</v>
      </c>
      <c r="LY25" s="43">
        <v>154</v>
      </c>
      <c r="LZ25" s="43">
        <v>155</v>
      </c>
      <c r="MA25" s="43"/>
      <c r="MB25" s="43"/>
      <c r="MC25" s="43">
        <v>155</v>
      </c>
      <c r="MD25" s="43">
        <v>154</v>
      </c>
      <c r="ME25" s="43">
        <v>154</v>
      </c>
      <c r="MF25" s="43">
        <v>155</v>
      </c>
      <c r="MG25" s="43">
        <v>155</v>
      </c>
      <c r="MH25" s="43"/>
      <c r="MI25" s="43"/>
      <c r="MJ25" s="43">
        <v>155</v>
      </c>
      <c r="MK25" s="43">
        <v>156</v>
      </c>
      <c r="ML25" s="43">
        <v>156</v>
      </c>
      <c r="MM25" s="43">
        <v>156</v>
      </c>
      <c r="MN25" s="43">
        <v>156</v>
      </c>
      <c r="MO25" s="43"/>
      <c r="MP25" s="43"/>
      <c r="MQ25" s="43">
        <v>158</v>
      </c>
      <c r="MR25" s="43">
        <v>160</v>
      </c>
      <c r="MS25" s="43">
        <v>161</v>
      </c>
      <c r="MT25" s="43">
        <v>161</v>
      </c>
      <c r="MU25" s="43">
        <v>161</v>
      </c>
      <c r="MV25" s="43"/>
      <c r="MW25" s="63"/>
      <c r="MX25" s="43">
        <v>162</v>
      </c>
      <c r="MY25" s="43">
        <v>164</v>
      </c>
      <c r="MZ25" s="43">
        <v>164</v>
      </c>
      <c r="NA25" s="43">
        <v>162</v>
      </c>
      <c r="NB25" s="43">
        <v>162</v>
      </c>
    </row>
    <row r="26" spans="1:367" x14ac:dyDescent="0.25">
      <c r="A26" s="34" t="s">
        <v>154</v>
      </c>
      <c r="B26" s="59"/>
      <c r="C26" s="59"/>
      <c r="D26" s="59"/>
      <c r="E26" s="59">
        <v>150</v>
      </c>
      <c r="F26" s="59">
        <v>156</v>
      </c>
      <c r="G26" s="59">
        <v>157.5</v>
      </c>
      <c r="H26" s="59">
        <v>155</v>
      </c>
      <c r="I26" s="59">
        <v>165</v>
      </c>
      <c r="J26" s="59"/>
      <c r="K26" s="59"/>
      <c r="L26" s="59">
        <v>165</v>
      </c>
      <c r="M26" s="59">
        <v>164</v>
      </c>
      <c r="N26" s="59">
        <v>169</v>
      </c>
      <c r="O26" s="59">
        <v>165</v>
      </c>
      <c r="P26" s="59">
        <v>165</v>
      </c>
      <c r="Q26" s="59"/>
      <c r="R26" s="59"/>
      <c r="S26" s="59">
        <v>165</v>
      </c>
      <c r="T26" s="59">
        <v>163</v>
      </c>
      <c r="U26" s="24">
        <v>157</v>
      </c>
      <c r="V26" s="24">
        <v>160</v>
      </c>
      <c r="W26" s="24">
        <v>160</v>
      </c>
      <c r="X26" s="24"/>
      <c r="Y26" s="24"/>
      <c r="Z26" s="24">
        <v>160</v>
      </c>
      <c r="AA26" s="24">
        <v>163</v>
      </c>
      <c r="AB26" s="24">
        <v>160</v>
      </c>
      <c r="AC26" s="24">
        <v>160</v>
      </c>
      <c r="AD26" s="24">
        <v>165</v>
      </c>
      <c r="AE26" s="24"/>
      <c r="AF26" s="24"/>
      <c r="AG26" s="24">
        <v>160</v>
      </c>
      <c r="AH26" s="24">
        <v>160</v>
      </c>
      <c r="AI26" s="24">
        <v>161</v>
      </c>
      <c r="AJ26" s="24">
        <v>160</v>
      </c>
      <c r="AK26" s="24">
        <v>160</v>
      </c>
      <c r="AL26" s="24"/>
      <c r="AM26" s="24"/>
      <c r="AN26" s="24">
        <v>160</v>
      </c>
      <c r="AO26" s="24">
        <v>160</v>
      </c>
      <c r="AP26" s="24">
        <v>155</v>
      </c>
      <c r="AQ26" s="24">
        <v>151</v>
      </c>
      <c r="AR26" s="24">
        <v>155</v>
      </c>
      <c r="AS26" s="24"/>
      <c r="AT26" s="24"/>
      <c r="AU26" s="59">
        <v>160</v>
      </c>
      <c r="AV26" s="59">
        <v>160</v>
      </c>
      <c r="AW26" s="24">
        <v>155</v>
      </c>
      <c r="AX26" s="24">
        <v>151</v>
      </c>
      <c r="AY26" s="24">
        <v>151</v>
      </c>
      <c r="AZ26" s="24"/>
      <c r="BA26" s="24"/>
      <c r="BB26" s="24">
        <v>152</v>
      </c>
      <c r="BC26" s="24">
        <v>153</v>
      </c>
      <c r="BD26" s="24">
        <v>154</v>
      </c>
      <c r="BE26" s="24">
        <v>156</v>
      </c>
      <c r="BF26" s="24">
        <v>155</v>
      </c>
      <c r="BG26" s="24"/>
      <c r="BH26" s="24"/>
      <c r="BI26" s="24">
        <v>155</v>
      </c>
      <c r="BJ26" s="24">
        <v>160</v>
      </c>
      <c r="BK26" s="24">
        <v>160</v>
      </c>
      <c r="BL26" s="24">
        <v>160</v>
      </c>
      <c r="BM26" s="24">
        <v>159</v>
      </c>
      <c r="BN26" s="24"/>
      <c r="BO26" s="24"/>
      <c r="BP26" s="24">
        <v>161</v>
      </c>
      <c r="BQ26" s="24">
        <v>165</v>
      </c>
      <c r="BR26" s="24">
        <v>161</v>
      </c>
      <c r="BS26" s="24">
        <v>161</v>
      </c>
      <c r="BT26" s="24">
        <v>160</v>
      </c>
      <c r="BU26" s="24"/>
      <c r="BV26" s="24"/>
      <c r="BW26" s="24">
        <v>158</v>
      </c>
      <c r="BX26" s="24">
        <v>158</v>
      </c>
      <c r="BY26" s="24">
        <v>158</v>
      </c>
      <c r="BZ26" s="24">
        <v>156</v>
      </c>
      <c r="CA26" s="24">
        <v>154</v>
      </c>
      <c r="CB26" s="24"/>
      <c r="CC26" s="24"/>
      <c r="CD26" s="24">
        <v>156</v>
      </c>
      <c r="CE26" s="24">
        <v>156</v>
      </c>
      <c r="CF26" s="24">
        <v>156</v>
      </c>
      <c r="CG26" s="24">
        <v>156</v>
      </c>
      <c r="CH26" s="24">
        <v>158</v>
      </c>
      <c r="CI26" s="24"/>
      <c r="CJ26" s="24"/>
      <c r="CK26" s="24">
        <v>159</v>
      </c>
      <c r="CL26" s="24">
        <v>157</v>
      </c>
      <c r="CM26" s="24">
        <v>162</v>
      </c>
      <c r="CN26" s="24">
        <v>161</v>
      </c>
      <c r="CO26" s="24">
        <v>161</v>
      </c>
      <c r="CP26" s="24"/>
      <c r="CQ26" s="24"/>
      <c r="CR26" s="24">
        <v>161</v>
      </c>
      <c r="CS26" s="24">
        <v>161</v>
      </c>
      <c r="CT26" s="24">
        <v>161</v>
      </c>
      <c r="CU26" s="24">
        <v>161</v>
      </c>
      <c r="CV26" s="24">
        <v>161</v>
      </c>
      <c r="CW26" s="24"/>
      <c r="CX26" s="24"/>
      <c r="CY26" s="24">
        <v>160</v>
      </c>
      <c r="CZ26" s="24">
        <v>160</v>
      </c>
      <c r="DA26" s="24">
        <v>161</v>
      </c>
      <c r="DB26" s="24">
        <v>161</v>
      </c>
      <c r="DC26" s="24">
        <v>162</v>
      </c>
      <c r="DD26" s="24"/>
      <c r="DE26" s="24"/>
      <c r="DF26" s="24">
        <v>162</v>
      </c>
      <c r="DG26" s="24">
        <v>164</v>
      </c>
      <c r="DH26" s="24">
        <v>164</v>
      </c>
      <c r="DI26" s="24">
        <v>165</v>
      </c>
      <c r="DJ26" s="24">
        <v>165</v>
      </c>
      <c r="DK26" s="24"/>
      <c r="DL26" s="24"/>
      <c r="DM26" s="24">
        <v>165</v>
      </c>
      <c r="DN26" s="24">
        <v>170</v>
      </c>
      <c r="DO26" s="24">
        <v>170</v>
      </c>
      <c r="DP26" s="24">
        <v>166</v>
      </c>
      <c r="DQ26" s="24">
        <v>169</v>
      </c>
      <c r="DR26" s="24"/>
      <c r="DS26" s="24"/>
      <c r="DT26" s="24">
        <v>170</v>
      </c>
      <c r="DU26" s="24">
        <v>170</v>
      </c>
      <c r="DV26" s="24">
        <v>170</v>
      </c>
      <c r="DW26" s="24">
        <v>170</v>
      </c>
      <c r="DX26" s="24">
        <v>170</v>
      </c>
      <c r="DY26" s="24"/>
      <c r="DZ26" s="24"/>
      <c r="EA26" s="24">
        <v>170</v>
      </c>
      <c r="EB26" s="24">
        <v>172</v>
      </c>
      <c r="EC26" s="24">
        <v>175</v>
      </c>
      <c r="ED26" s="24">
        <v>173</v>
      </c>
      <c r="EE26" s="24">
        <v>170</v>
      </c>
      <c r="EF26" s="24"/>
      <c r="EG26" s="24"/>
      <c r="EH26" s="24">
        <v>170</v>
      </c>
      <c r="EI26" s="24">
        <v>171</v>
      </c>
      <c r="EJ26" s="24">
        <v>167</v>
      </c>
      <c r="EK26" s="24">
        <v>166</v>
      </c>
      <c r="EL26" s="24">
        <v>168</v>
      </c>
      <c r="EM26" s="24"/>
      <c r="EN26" s="24"/>
      <c r="EO26" s="24">
        <v>165</v>
      </c>
      <c r="EP26" s="24">
        <v>165</v>
      </c>
      <c r="EQ26" s="24">
        <v>164</v>
      </c>
      <c r="ER26" s="24">
        <v>165</v>
      </c>
      <c r="ES26" s="24">
        <v>165</v>
      </c>
      <c r="ET26" s="24"/>
      <c r="EU26" s="24"/>
      <c r="EV26" s="24">
        <v>165</v>
      </c>
      <c r="EW26" s="24">
        <v>166</v>
      </c>
      <c r="EX26" s="24">
        <v>166</v>
      </c>
      <c r="EY26" s="24">
        <v>166</v>
      </c>
      <c r="EZ26" s="24">
        <v>167</v>
      </c>
      <c r="FA26" s="24"/>
      <c r="FB26" s="24"/>
      <c r="FC26" s="24">
        <v>166</v>
      </c>
      <c r="FD26" s="24">
        <v>167</v>
      </c>
      <c r="FE26" s="24">
        <v>164</v>
      </c>
      <c r="FF26" s="24">
        <v>164</v>
      </c>
      <c r="FG26" s="24">
        <v>162</v>
      </c>
      <c r="FH26" s="24"/>
      <c r="FI26" s="24"/>
      <c r="FJ26" s="24">
        <v>156</v>
      </c>
      <c r="FK26" s="24">
        <v>155</v>
      </c>
      <c r="FL26" s="24">
        <v>153</v>
      </c>
      <c r="FM26" s="24">
        <v>142</v>
      </c>
      <c r="FN26" s="24">
        <v>145</v>
      </c>
      <c r="FO26" s="24"/>
      <c r="FP26" s="24"/>
      <c r="FQ26" s="24">
        <v>145</v>
      </c>
      <c r="FR26" s="24">
        <v>146</v>
      </c>
      <c r="FS26" s="24">
        <v>145</v>
      </c>
      <c r="FT26" s="24">
        <v>141</v>
      </c>
      <c r="FU26" s="24">
        <v>140.5</v>
      </c>
      <c r="FV26" s="24"/>
      <c r="FW26" s="24"/>
      <c r="FX26" s="24">
        <v>146</v>
      </c>
      <c r="FY26" s="24">
        <v>145</v>
      </c>
      <c r="FZ26" s="24">
        <v>152</v>
      </c>
      <c r="GA26" s="24">
        <v>157</v>
      </c>
      <c r="GB26" s="24">
        <v>155</v>
      </c>
      <c r="GC26" s="24"/>
      <c r="GD26" s="24"/>
      <c r="GE26" s="24">
        <v>155</v>
      </c>
      <c r="GF26" s="24">
        <v>152</v>
      </c>
      <c r="GG26" s="24">
        <v>156</v>
      </c>
      <c r="GH26" s="24">
        <v>156</v>
      </c>
      <c r="GI26" s="24">
        <v>155</v>
      </c>
      <c r="GJ26" s="24"/>
      <c r="GK26" s="24"/>
      <c r="GL26" s="24">
        <v>159</v>
      </c>
      <c r="GM26" s="24">
        <v>160</v>
      </c>
      <c r="GN26" s="24">
        <v>162</v>
      </c>
      <c r="GO26" s="24">
        <v>161</v>
      </c>
      <c r="GP26" s="24">
        <v>162</v>
      </c>
      <c r="GQ26" s="24"/>
      <c r="GR26" s="24"/>
      <c r="GS26" s="24">
        <v>164</v>
      </c>
      <c r="GT26" s="24">
        <v>166</v>
      </c>
      <c r="GU26" s="24">
        <v>166</v>
      </c>
      <c r="GV26" s="24">
        <v>162</v>
      </c>
      <c r="GW26" s="24">
        <v>161</v>
      </c>
      <c r="GX26" s="24"/>
      <c r="GY26" s="24"/>
      <c r="GZ26" s="24">
        <v>162</v>
      </c>
      <c r="HA26" s="24">
        <v>164</v>
      </c>
      <c r="HB26" s="24">
        <v>163</v>
      </c>
      <c r="HC26" s="24">
        <v>162</v>
      </c>
      <c r="HD26" s="24">
        <v>161</v>
      </c>
      <c r="HE26" s="24"/>
      <c r="HF26" s="24"/>
      <c r="HG26" s="24">
        <v>161</v>
      </c>
      <c r="HH26" s="24">
        <v>163</v>
      </c>
      <c r="HI26" s="24">
        <v>164</v>
      </c>
      <c r="HJ26" s="24">
        <v>166</v>
      </c>
      <c r="HK26" s="24">
        <v>170</v>
      </c>
      <c r="HL26" s="24"/>
      <c r="HM26" s="24"/>
      <c r="HN26" s="24">
        <v>170</v>
      </c>
      <c r="HO26" s="24">
        <v>169</v>
      </c>
      <c r="HP26" s="24">
        <v>169</v>
      </c>
      <c r="HQ26" s="24">
        <v>170</v>
      </c>
      <c r="HR26" s="24">
        <v>172</v>
      </c>
      <c r="HS26" s="24"/>
      <c r="HT26" s="24"/>
      <c r="HU26" s="24">
        <v>170</v>
      </c>
      <c r="HV26" s="24">
        <v>171</v>
      </c>
      <c r="HW26" s="24">
        <v>173.5</v>
      </c>
      <c r="HX26" s="24">
        <v>171</v>
      </c>
      <c r="HY26" s="24">
        <v>171</v>
      </c>
      <c r="HZ26" s="24"/>
      <c r="IA26" s="75"/>
      <c r="IB26" s="24">
        <v>170</v>
      </c>
      <c r="IC26" s="24">
        <v>170</v>
      </c>
      <c r="ID26" s="24">
        <v>168</v>
      </c>
      <c r="IE26" s="24">
        <v>169</v>
      </c>
      <c r="IF26" s="24">
        <v>169</v>
      </c>
      <c r="IG26" s="24"/>
      <c r="IH26" s="75"/>
      <c r="II26" s="24">
        <v>165</v>
      </c>
      <c r="IJ26" s="24">
        <v>161</v>
      </c>
      <c r="IK26" s="24">
        <v>159</v>
      </c>
      <c r="IL26" s="24">
        <v>160</v>
      </c>
      <c r="IM26" s="24">
        <v>162</v>
      </c>
      <c r="IN26" s="24"/>
      <c r="IO26" s="24"/>
      <c r="IP26" s="24">
        <v>162</v>
      </c>
      <c r="IQ26" s="24">
        <v>162</v>
      </c>
      <c r="IR26" s="24">
        <v>162</v>
      </c>
      <c r="IS26" s="24">
        <v>162</v>
      </c>
      <c r="IT26" s="24">
        <v>164</v>
      </c>
      <c r="IU26" s="24"/>
      <c r="IV26" s="24"/>
      <c r="IW26" s="24">
        <v>164</v>
      </c>
      <c r="IX26" s="24">
        <v>166</v>
      </c>
      <c r="IY26" s="24">
        <v>166</v>
      </c>
      <c r="IZ26" s="24">
        <v>166</v>
      </c>
      <c r="JA26" s="24">
        <v>167</v>
      </c>
      <c r="JB26" s="24"/>
      <c r="JC26" s="24"/>
      <c r="JD26" s="24">
        <v>166</v>
      </c>
      <c r="JE26" s="24">
        <v>168</v>
      </c>
      <c r="JF26" s="24">
        <v>168</v>
      </c>
      <c r="JG26" s="24">
        <v>167</v>
      </c>
      <c r="JH26" s="24">
        <v>168</v>
      </c>
      <c r="JI26" s="24"/>
      <c r="JJ26" s="24"/>
      <c r="JK26" s="24">
        <v>168</v>
      </c>
      <c r="JL26" s="24">
        <v>164.5</v>
      </c>
      <c r="JM26" s="24">
        <v>169</v>
      </c>
      <c r="JN26" s="24">
        <v>162</v>
      </c>
      <c r="JO26" s="24">
        <v>162</v>
      </c>
      <c r="JP26" s="24"/>
      <c r="JQ26" s="24"/>
      <c r="JR26" s="24">
        <v>162</v>
      </c>
      <c r="JS26" s="24">
        <v>163</v>
      </c>
      <c r="JT26" s="24">
        <v>164</v>
      </c>
      <c r="JU26" s="24">
        <v>165</v>
      </c>
      <c r="JV26" s="24">
        <v>164</v>
      </c>
      <c r="JW26" s="24"/>
      <c r="JX26" s="24"/>
      <c r="JY26" s="24">
        <v>164</v>
      </c>
      <c r="JZ26" s="24">
        <v>164</v>
      </c>
      <c r="KA26" s="24">
        <v>160</v>
      </c>
      <c r="KB26" s="24">
        <v>160</v>
      </c>
      <c r="KC26" s="24">
        <v>160</v>
      </c>
      <c r="KD26" s="24"/>
      <c r="KE26" s="24"/>
      <c r="KF26" s="24">
        <v>161</v>
      </c>
      <c r="KG26" s="24">
        <v>163</v>
      </c>
      <c r="KH26" s="24">
        <v>163</v>
      </c>
      <c r="KI26" s="24">
        <v>163</v>
      </c>
      <c r="KJ26" s="24">
        <v>165</v>
      </c>
      <c r="KK26" s="24"/>
      <c r="KL26" s="24"/>
      <c r="KM26" s="24">
        <v>163</v>
      </c>
      <c r="KN26" s="24">
        <v>163</v>
      </c>
      <c r="KO26" s="24">
        <v>163</v>
      </c>
      <c r="KP26" s="24">
        <v>162</v>
      </c>
      <c r="KQ26" s="24">
        <v>162</v>
      </c>
      <c r="KR26" s="24"/>
      <c r="KS26" s="24"/>
      <c r="KT26" s="24">
        <v>162</v>
      </c>
      <c r="KU26" s="24">
        <v>162</v>
      </c>
      <c r="KV26" s="24">
        <v>160</v>
      </c>
      <c r="KW26" s="24">
        <v>156</v>
      </c>
      <c r="KX26" s="24">
        <v>152</v>
      </c>
      <c r="KY26" s="24"/>
      <c r="KZ26" s="24"/>
      <c r="LA26" s="24">
        <v>150.5</v>
      </c>
      <c r="LB26" s="24">
        <v>150</v>
      </c>
      <c r="LC26" s="24">
        <v>151</v>
      </c>
      <c r="LD26" s="24">
        <v>150</v>
      </c>
      <c r="LE26" s="24">
        <v>149</v>
      </c>
      <c r="LF26" s="24"/>
      <c r="LG26" s="24"/>
      <c r="LH26" s="24">
        <v>149</v>
      </c>
      <c r="LI26" s="24">
        <v>153</v>
      </c>
      <c r="LJ26" s="24">
        <v>156</v>
      </c>
      <c r="LK26" s="24">
        <v>156</v>
      </c>
      <c r="LL26" s="24">
        <v>155</v>
      </c>
      <c r="LM26" s="24"/>
      <c r="LN26" s="24"/>
      <c r="LO26" s="24">
        <v>156</v>
      </c>
      <c r="LP26" s="24">
        <v>156</v>
      </c>
      <c r="LQ26" s="24">
        <v>155</v>
      </c>
      <c r="LR26" s="24">
        <v>154</v>
      </c>
      <c r="LS26" s="24">
        <v>154</v>
      </c>
      <c r="LT26" s="24"/>
      <c r="LU26" s="24"/>
      <c r="LV26" s="24">
        <v>151</v>
      </c>
      <c r="LW26" s="24">
        <v>150</v>
      </c>
      <c r="LX26" s="24">
        <v>152</v>
      </c>
      <c r="LY26" s="24">
        <v>153</v>
      </c>
      <c r="LZ26" s="24">
        <v>155</v>
      </c>
      <c r="MA26" s="24"/>
      <c r="MB26" s="24"/>
      <c r="MC26" s="24">
        <v>155</v>
      </c>
      <c r="MD26" s="24">
        <v>153</v>
      </c>
      <c r="ME26" s="24">
        <v>151</v>
      </c>
      <c r="MF26" s="24">
        <v>153.5</v>
      </c>
      <c r="MG26" s="24">
        <v>154</v>
      </c>
      <c r="MH26" s="24"/>
      <c r="MI26" s="24"/>
      <c r="MJ26" s="24">
        <v>154</v>
      </c>
      <c r="MK26" s="24">
        <v>154</v>
      </c>
      <c r="ML26" s="24">
        <v>155</v>
      </c>
      <c r="MM26" s="24">
        <v>160</v>
      </c>
      <c r="MN26" s="24">
        <v>160</v>
      </c>
      <c r="MO26" s="24"/>
      <c r="MP26" s="24"/>
      <c r="MQ26" s="24">
        <v>162</v>
      </c>
      <c r="MR26" s="24">
        <v>164</v>
      </c>
      <c r="MS26" s="24">
        <v>164</v>
      </c>
      <c r="MT26" s="24">
        <v>164</v>
      </c>
      <c r="MU26" s="24">
        <v>164</v>
      </c>
      <c r="MV26" s="24"/>
      <c r="MW26" s="59"/>
      <c r="MX26" s="24">
        <v>164</v>
      </c>
      <c r="MY26" s="24">
        <v>163</v>
      </c>
      <c r="MZ26" s="24">
        <v>163</v>
      </c>
      <c r="NA26" s="24">
        <v>158</v>
      </c>
      <c r="NB26" s="24">
        <v>158</v>
      </c>
    </row>
    <row r="27" spans="1:367" s="5" customFormat="1" x14ac:dyDescent="0.25">
      <c r="A27" s="42" t="s">
        <v>90</v>
      </c>
      <c r="B27" s="63"/>
      <c r="C27" s="63"/>
      <c r="D27" s="63"/>
      <c r="E27" s="63">
        <v>2540</v>
      </c>
      <c r="F27" s="63">
        <v>2590</v>
      </c>
      <c r="G27" s="63">
        <v>2590</v>
      </c>
      <c r="H27" s="63">
        <v>2610</v>
      </c>
      <c r="I27" s="63">
        <f>'[1]preço mercado'!$B$26</f>
        <v>2540</v>
      </c>
      <c r="J27" s="63"/>
      <c r="K27" s="63"/>
      <c r="L27" s="63">
        <f>'[1]preço mercado'!$B$26</f>
        <v>2540</v>
      </c>
      <c r="M27" s="63">
        <f>'[1]preço mercado'!$B$26</f>
        <v>2540</v>
      </c>
      <c r="N27" s="63">
        <f>'[1]preço mercado'!$B$26</f>
        <v>2540</v>
      </c>
      <c r="O27" s="63">
        <f>'[1]preço mercado'!$B$26</f>
        <v>2540</v>
      </c>
      <c r="P27" s="63">
        <f>'[1]preço mercado'!$B$26</f>
        <v>2540</v>
      </c>
      <c r="Q27" s="63"/>
      <c r="R27" s="63"/>
      <c r="S27" s="63">
        <v>2850</v>
      </c>
      <c r="T27" s="63">
        <v>2850</v>
      </c>
      <c r="U27" s="43">
        <f>'[1]preço mercado'!$B$26</f>
        <v>2540</v>
      </c>
      <c r="V27" s="76">
        <v>2830</v>
      </c>
      <c r="W27" s="76">
        <v>2880</v>
      </c>
      <c r="X27" s="43"/>
      <c r="Y27" s="43"/>
      <c r="Z27" s="76">
        <v>2880</v>
      </c>
      <c r="AA27" s="76">
        <v>2890</v>
      </c>
      <c r="AB27" s="76">
        <v>2960</v>
      </c>
      <c r="AC27" s="76">
        <v>2960</v>
      </c>
      <c r="AD27" s="76">
        <v>2970</v>
      </c>
      <c r="AE27" s="43"/>
      <c r="AF27" s="43"/>
      <c r="AG27" s="76">
        <v>2980</v>
      </c>
      <c r="AH27" s="76">
        <v>2980</v>
      </c>
      <c r="AI27" s="76">
        <v>2980</v>
      </c>
      <c r="AJ27" s="76">
        <v>3000</v>
      </c>
      <c r="AK27" s="76">
        <v>3000</v>
      </c>
      <c r="AL27" s="43"/>
      <c r="AM27" s="43"/>
      <c r="AN27" s="76">
        <v>3000</v>
      </c>
      <c r="AO27" s="76">
        <v>3020</v>
      </c>
      <c r="AP27" s="76">
        <v>3020</v>
      </c>
      <c r="AQ27" s="76">
        <v>3000</v>
      </c>
      <c r="AR27" s="76">
        <v>2990</v>
      </c>
      <c r="AS27" s="43"/>
      <c r="AT27" s="43"/>
      <c r="AU27" s="63">
        <v>3000</v>
      </c>
      <c r="AV27" s="63">
        <v>3020</v>
      </c>
      <c r="AW27" s="76">
        <v>2980</v>
      </c>
      <c r="AX27" s="76">
        <v>2980</v>
      </c>
      <c r="AY27" s="76">
        <v>2980</v>
      </c>
      <c r="AZ27" s="92"/>
      <c r="BA27" s="92"/>
      <c r="BB27" s="76">
        <v>3000</v>
      </c>
      <c r="BC27" s="76">
        <v>2780</v>
      </c>
      <c r="BD27" s="76">
        <v>2780</v>
      </c>
      <c r="BE27" s="76">
        <v>2700</v>
      </c>
      <c r="BF27" s="76">
        <f>'[1]preço mercado'!$B$26</f>
        <v>2540</v>
      </c>
      <c r="BG27" s="43"/>
      <c r="BH27" s="43"/>
      <c r="BI27" s="76">
        <v>2700</v>
      </c>
      <c r="BJ27" s="76">
        <v>2730</v>
      </c>
      <c r="BK27" s="76">
        <v>2730</v>
      </c>
      <c r="BL27" s="76">
        <v>2730</v>
      </c>
      <c r="BM27" s="76">
        <v>2730</v>
      </c>
      <c r="BN27" s="92"/>
      <c r="BO27" s="92"/>
      <c r="BP27" s="76">
        <v>2750</v>
      </c>
      <c r="BQ27" s="76">
        <v>2750</v>
      </c>
      <c r="BR27" s="76">
        <v>2670</v>
      </c>
      <c r="BS27" s="76">
        <v>2670</v>
      </c>
      <c r="BT27" s="76">
        <v>2590</v>
      </c>
      <c r="BU27" s="43"/>
      <c r="BV27" s="43"/>
      <c r="BW27" s="94">
        <v>2590</v>
      </c>
      <c r="BX27" s="76">
        <v>2590</v>
      </c>
      <c r="BY27" s="94">
        <v>2560</v>
      </c>
      <c r="BZ27" s="94">
        <v>2560</v>
      </c>
      <c r="CA27" s="76">
        <v>2470</v>
      </c>
      <c r="CB27" s="92"/>
      <c r="CC27" s="92"/>
      <c r="CD27" s="94">
        <v>2460</v>
      </c>
      <c r="CE27" s="94">
        <v>2420</v>
      </c>
      <c r="CF27" s="94">
        <v>2370</v>
      </c>
      <c r="CG27" s="94">
        <v>2370</v>
      </c>
      <c r="CH27" s="94">
        <v>2320</v>
      </c>
      <c r="CI27" s="43"/>
      <c r="CJ27" s="43"/>
      <c r="CK27" s="43">
        <v>2300</v>
      </c>
      <c r="CL27" s="94">
        <v>2300</v>
      </c>
      <c r="CM27" s="94">
        <v>2300</v>
      </c>
      <c r="CN27" s="94">
        <v>2320</v>
      </c>
      <c r="CO27" s="94">
        <v>2370</v>
      </c>
      <c r="CP27" s="43"/>
      <c r="CQ27" s="43"/>
      <c r="CR27" s="76">
        <v>2370</v>
      </c>
      <c r="CS27" s="94">
        <v>2370</v>
      </c>
      <c r="CT27" s="94">
        <v>2300</v>
      </c>
      <c r="CU27" s="94">
        <v>2280</v>
      </c>
      <c r="CV27" s="94">
        <v>2310</v>
      </c>
      <c r="CW27" s="92"/>
      <c r="CX27" s="92"/>
      <c r="CY27" s="94">
        <v>2310</v>
      </c>
      <c r="CZ27" s="94">
        <v>2310</v>
      </c>
      <c r="DA27" s="94">
        <v>2310</v>
      </c>
      <c r="DB27" s="94">
        <v>2310</v>
      </c>
      <c r="DC27" s="94">
        <v>2310</v>
      </c>
      <c r="DD27" s="92"/>
      <c r="DE27" s="92"/>
      <c r="DF27" s="94">
        <v>2310</v>
      </c>
      <c r="DG27" s="94">
        <v>2310</v>
      </c>
      <c r="DH27" s="94">
        <v>2310</v>
      </c>
      <c r="DI27" s="94">
        <v>2390</v>
      </c>
      <c r="DJ27" s="94">
        <v>2390</v>
      </c>
      <c r="DK27" s="43"/>
      <c r="DL27" s="43"/>
      <c r="DM27" s="94">
        <v>2390</v>
      </c>
      <c r="DN27" s="94">
        <v>2390</v>
      </c>
      <c r="DO27" s="94">
        <v>2390</v>
      </c>
      <c r="DP27" s="94">
        <v>2390</v>
      </c>
      <c r="DQ27" s="94">
        <v>2390</v>
      </c>
      <c r="DR27" s="43"/>
      <c r="DS27" s="43"/>
      <c r="DT27" s="94">
        <v>2350</v>
      </c>
      <c r="DU27" s="94">
        <v>2370</v>
      </c>
      <c r="DV27" s="94">
        <v>2370</v>
      </c>
      <c r="DW27" s="94">
        <v>2370</v>
      </c>
      <c r="DX27" s="94">
        <f>'[1]preço mercado'!$B$26</f>
        <v>2540</v>
      </c>
      <c r="DY27" s="43"/>
      <c r="DZ27" s="43"/>
      <c r="EA27" s="94">
        <v>2360</v>
      </c>
      <c r="EB27" s="94">
        <v>2380</v>
      </c>
      <c r="EC27" s="94">
        <v>2400</v>
      </c>
      <c r="ED27" s="94">
        <v>2400</v>
      </c>
      <c r="EE27" s="94">
        <v>2370</v>
      </c>
      <c r="EF27" s="43"/>
      <c r="EG27" s="43"/>
      <c r="EH27" s="94">
        <v>2370</v>
      </c>
      <c r="EI27" s="94">
        <v>2370</v>
      </c>
      <c r="EJ27" s="94">
        <v>2320</v>
      </c>
      <c r="EK27" s="94">
        <v>2320</v>
      </c>
      <c r="EL27" s="94">
        <v>2300</v>
      </c>
      <c r="EM27" s="43"/>
      <c r="EN27" s="43"/>
      <c r="EO27" s="94">
        <v>2290</v>
      </c>
      <c r="EP27" s="94">
        <v>2290</v>
      </c>
      <c r="EQ27" s="94">
        <v>2260</v>
      </c>
      <c r="ER27" s="94">
        <v>2250</v>
      </c>
      <c r="ES27" s="94">
        <v>2250</v>
      </c>
      <c r="ET27" s="43"/>
      <c r="EU27" s="43"/>
      <c r="EV27" s="94">
        <v>2240</v>
      </c>
      <c r="EW27" s="94">
        <v>2240</v>
      </c>
      <c r="EX27" s="94">
        <v>2240</v>
      </c>
      <c r="EY27" s="76">
        <v>2240</v>
      </c>
      <c r="EZ27" s="94">
        <v>2240</v>
      </c>
      <c r="FA27" s="43"/>
      <c r="FB27" s="43"/>
      <c r="FC27" s="94">
        <v>2230</v>
      </c>
      <c r="FD27" s="94">
        <v>2230</v>
      </c>
      <c r="FE27" s="94">
        <v>2220</v>
      </c>
      <c r="FF27" s="94">
        <v>2190</v>
      </c>
      <c r="FG27" s="94">
        <v>2190</v>
      </c>
      <c r="FH27" s="43"/>
      <c r="FI27" s="43"/>
      <c r="FJ27" s="94">
        <v>2180</v>
      </c>
      <c r="FK27" s="94">
        <v>2110</v>
      </c>
      <c r="FL27" s="94">
        <v>2110</v>
      </c>
      <c r="FM27" s="94">
        <v>2050</v>
      </c>
      <c r="FN27" s="94">
        <v>2050</v>
      </c>
      <c r="FO27" s="43"/>
      <c r="FP27" s="43"/>
      <c r="FQ27" s="94">
        <v>2070</v>
      </c>
      <c r="FR27" s="94">
        <v>2070</v>
      </c>
      <c r="FS27" s="94">
        <v>2070</v>
      </c>
      <c r="FT27" s="76">
        <v>2020</v>
      </c>
      <c r="FU27" s="43">
        <v>2020</v>
      </c>
      <c r="FV27" s="43"/>
      <c r="FW27" s="43"/>
      <c r="FX27" s="94">
        <v>1980</v>
      </c>
      <c r="FY27" s="94">
        <v>1980</v>
      </c>
      <c r="FZ27" s="94">
        <v>1960</v>
      </c>
      <c r="GA27" s="94">
        <v>1960</v>
      </c>
      <c r="GB27" s="94">
        <v>2190</v>
      </c>
      <c r="GC27" s="43"/>
      <c r="GD27" s="43"/>
      <c r="GE27" s="94">
        <v>2190</v>
      </c>
      <c r="GF27" s="94">
        <v>2190</v>
      </c>
      <c r="GG27" s="94">
        <v>2190</v>
      </c>
      <c r="GH27" s="94">
        <v>2200</v>
      </c>
      <c r="GI27" s="94">
        <v>2200</v>
      </c>
      <c r="GJ27" s="43"/>
      <c r="GK27" s="43"/>
      <c r="GL27" s="94">
        <v>2200</v>
      </c>
      <c r="GM27" s="94">
        <v>2200</v>
      </c>
      <c r="GN27" s="94">
        <v>2200</v>
      </c>
      <c r="GO27" s="94">
        <v>2190</v>
      </c>
      <c r="GP27" s="94">
        <v>2190</v>
      </c>
      <c r="GQ27" s="92"/>
      <c r="GR27" s="92"/>
      <c r="GS27" s="76">
        <v>2260</v>
      </c>
      <c r="GT27" s="94">
        <v>2260</v>
      </c>
      <c r="GU27" s="94">
        <v>2260</v>
      </c>
      <c r="GV27" s="94">
        <v>2240</v>
      </c>
      <c r="GW27" s="94">
        <v>2240</v>
      </c>
      <c r="GX27" s="43"/>
      <c r="GY27" s="43"/>
      <c r="GZ27" s="94">
        <v>2240</v>
      </c>
      <c r="HA27" s="94">
        <v>2210</v>
      </c>
      <c r="HB27" s="94">
        <v>2210</v>
      </c>
      <c r="HC27" s="94">
        <v>2180</v>
      </c>
      <c r="HD27" s="94">
        <v>2180</v>
      </c>
      <c r="HE27" s="43"/>
      <c r="HF27" s="43"/>
      <c r="HG27" s="94">
        <v>2180</v>
      </c>
      <c r="HH27" s="94">
        <v>2180</v>
      </c>
      <c r="HI27" s="94">
        <v>2180</v>
      </c>
      <c r="HJ27" s="94">
        <v>2170</v>
      </c>
      <c r="HK27" s="94">
        <v>2190</v>
      </c>
      <c r="HL27" s="43"/>
      <c r="HM27" s="43"/>
      <c r="HN27" s="94">
        <v>2190</v>
      </c>
      <c r="HO27" s="94">
        <v>2190</v>
      </c>
      <c r="HP27" s="94">
        <v>2200</v>
      </c>
      <c r="HQ27" s="94">
        <v>2200</v>
      </c>
      <c r="HR27" s="94">
        <v>2200</v>
      </c>
      <c r="HS27" s="76"/>
      <c r="HT27" s="76"/>
      <c r="HU27" s="94">
        <v>2220</v>
      </c>
      <c r="HV27" s="94">
        <v>2220</v>
      </c>
      <c r="HW27" s="94">
        <v>2230</v>
      </c>
      <c r="HX27" s="94">
        <v>2230</v>
      </c>
      <c r="HY27" s="94">
        <v>2230</v>
      </c>
      <c r="HZ27" s="76"/>
      <c r="IA27" s="76"/>
      <c r="IB27" s="94">
        <v>2230</v>
      </c>
      <c r="IC27" s="94">
        <v>2190</v>
      </c>
      <c r="ID27" s="94">
        <v>2180</v>
      </c>
      <c r="IE27" s="94">
        <v>2180</v>
      </c>
      <c r="IF27" s="94">
        <v>2170</v>
      </c>
      <c r="IG27" s="76"/>
      <c r="IH27" s="76"/>
      <c r="II27" s="76">
        <v>2160</v>
      </c>
      <c r="IJ27" s="76">
        <v>2130</v>
      </c>
      <c r="IK27" s="76">
        <v>2130</v>
      </c>
      <c r="IL27" s="76">
        <v>2130</v>
      </c>
      <c r="IM27" s="94">
        <v>2130</v>
      </c>
      <c r="IN27" s="76"/>
      <c r="IO27" s="76"/>
      <c r="IP27" s="94">
        <v>2130</v>
      </c>
      <c r="IQ27" s="94">
        <v>2130</v>
      </c>
      <c r="IR27" s="94">
        <v>2140</v>
      </c>
      <c r="IS27" s="94">
        <v>2200</v>
      </c>
      <c r="IT27" s="94">
        <v>2170</v>
      </c>
      <c r="IU27" s="76"/>
      <c r="IV27" s="76"/>
      <c r="IW27" s="94">
        <v>2160</v>
      </c>
      <c r="IX27" s="94">
        <v>2170</v>
      </c>
      <c r="IY27" s="94">
        <v>2170</v>
      </c>
      <c r="IZ27" s="94">
        <v>2180</v>
      </c>
      <c r="JA27" s="94">
        <v>2180</v>
      </c>
      <c r="JB27" s="76"/>
      <c r="JC27" s="76"/>
      <c r="JD27" s="94">
        <v>2180</v>
      </c>
      <c r="JE27" s="94">
        <v>2160</v>
      </c>
      <c r="JF27" s="94">
        <v>2140</v>
      </c>
      <c r="JG27" s="94">
        <v>2140</v>
      </c>
      <c r="JH27" s="76">
        <v>2130</v>
      </c>
      <c r="JI27" s="76"/>
      <c r="JJ27" s="76"/>
      <c r="JK27" s="76">
        <v>2130</v>
      </c>
      <c r="JL27" s="76">
        <v>2130</v>
      </c>
      <c r="JM27" s="76">
        <v>2130</v>
      </c>
      <c r="JN27" s="76">
        <v>2130</v>
      </c>
      <c r="JO27" s="76">
        <v>2130</v>
      </c>
      <c r="JP27" s="92"/>
      <c r="JQ27" s="92"/>
      <c r="JR27" s="76">
        <v>2130</v>
      </c>
      <c r="JS27" s="76">
        <v>2130</v>
      </c>
      <c r="JT27" s="76">
        <v>2130</v>
      </c>
      <c r="JU27" s="76">
        <v>2130</v>
      </c>
      <c r="JV27" s="76">
        <v>2130</v>
      </c>
      <c r="JW27" s="92"/>
      <c r="JX27" s="92"/>
      <c r="JY27" s="94">
        <v>2130</v>
      </c>
      <c r="JZ27" s="94">
        <v>2130</v>
      </c>
      <c r="KA27" s="94">
        <v>2130</v>
      </c>
      <c r="KB27" s="94">
        <v>2130</v>
      </c>
      <c r="KC27" s="94">
        <v>2100</v>
      </c>
      <c r="KD27" s="76"/>
      <c r="KE27" s="76"/>
      <c r="KF27" s="94">
        <v>2130</v>
      </c>
      <c r="KG27" s="94">
        <v>2130</v>
      </c>
      <c r="KH27" s="94">
        <v>2100</v>
      </c>
      <c r="KI27" s="76">
        <v>2120</v>
      </c>
      <c r="KJ27" s="94">
        <v>2120</v>
      </c>
      <c r="KK27" s="76"/>
      <c r="KL27" s="76"/>
      <c r="KM27" s="76">
        <v>2080</v>
      </c>
      <c r="KN27" s="94">
        <v>2080</v>
      </c>
      <c r="KO27" s="94">
        <v>2050</v>
      </c>
      <c r="KP27" s="94">
        <v>2050</v>
      </c>
      <c r="KQ27" s="94">
        <v>2050</v>
      </c>
      <c r="KR27" s="76"/>
      <c r="KS27" s="76"/>
      <c r="KT27" s="76">
        <v>2060</v>
      </c>
      <c r="KU27" s="76">
        <v>2060</v>
      </c>
      <c r="KV27" s="76">
        <v>2060</v>
      </c>
      <c r="KW27" s="94">
        <v>2060</v>
      </c>
      <c r="KX27" s="94">
        <v>2060</v>
      </c>
      <c r="KY27" s="76"/>
      <c r="KZ27" s="76"/>
      <c r="LA27" s="94">
        <v>2000</v>
      </c>
      <c r="LB27" s="94">
        <v>1970</v>
      </c>
      <c r="LC27" s="76">
        <v>1960</v>
      </c>
      <c r="LD27" s="94">
        <v>1960</v>
      </c>
      <c r="LE27" s="94">
        <v>1960</v>
      </c>
      <c r="LF27" s="76"/>
      <c r="LG27" s="76"/>
      <c r="LH27" s="94">
        <v>1960</v>
      </c>
      <c r="LI27" s="94">
        <v>2050</v>
      </c>
      <c r="LJ27" s="94">
        <v>2050</v>
      </c>
      <c r="LK27" s="94">
        <v>2150</v>
      </c>
      <c r="LL27" s="94">
        <v>2150</v>
      </c>
      <c r="LM27" s="76"/>
      <c r="LN27" s="76"/>
      <c r="LO27" s="94">
        <v>2140</v>
      </c>
      <c r="LP27" s="94">
        <v>2140</v>
      </c>
      <c r="LQ27" s="94">
        <v>2140</v>
      </c>
      <c r="LR27" s="94">
        <v>2050</v>
      </c>
      <c r="LS27" s="94">
        <v>2050</v>
      </c>
      <c r="LT27" s="76"/>
      <c r="LU27" s="76"/>
      <c r="LV27" s="94">
        <v>2060</v>
      </c>
      <c r="LW27" s="94">
        <v>2040</v>
      </c>
      <c r="LX27" s="94">
        <v>1990</v>
      </c>
      <c r="LY27" s="94">
        <v>1990</v>
      </c>
      <c r="LZ27" s="94">
        <v>2020</v>
      </c>
      <c r="MA27" s="76"/>
      <c r="MB27" s="76"/>
      <c r="MC27" s="94">
        <v>2040</v>
      </c>
      <c r="MD27" s="94">
        <v>2040</v>
      </c>
      <c r="ME27" s="94">
        <v>2070</v>
      </c>
      <c r="MF27" s="94">
        <v>2070</v>
      </c>
      <c r="MG27" s="94">
        <v>2070</v>
      </c>
      <c r="MH27" s="76"/>
      <c r="MI27" s="76"/>
      <c r="MJ27" s="94">
        <v>2160</v>
      </c>
      <c r="MK27" s="76">
        <v>2250</v>
      </c>
      <c r="ML27" s="94">
        <v>2250</v>
      </c>
      <c r="MM27" s="94">
        <v>2250</v>
      </c>
      <c r="MN27" s="94">
        <v>2250</v>
      </c>
      <c r="MO27" s="76"/>
      <c r="MP27" s="76"/>
      <c r="MQ27" s="94">
        <v>2270</v>
      </c>
      <c r="MR27" s="94">
        <v>2290</v>
      </c>
      <c r="MS27" s="94">
        <v>2370</v>
      </c>
      <c r="MT27" s="94">
        <v>2370</v>
      </c>
      <c r="MU27" s="94">
        <v>2420</v>
      </c>
      <c r="MV27" s="76"/>
      <c r="MW27" s="63"/>
      <c r="MX27" s="94">
        <v>2420</v>
      </c>
      <c r="MY27" s="94">
        <v>2420</v>
      </c>
      <c r="MZ27" s="94">
        <v>2420</v>
      </c>
      <c r="NA27" s="94">
        <v>2420</v>
      </c>
      <c r="NB27" s="94">
        <v>2420</v>
      </c>
      <c r="NC27" s="92"/>
    </row>
    <row r="28" spans="1:367" s="73" customFormat="1" x14ac:dyDescent="0.25">
      <c r="A28" s="26" t="s">
        <v>101</v>
      </c>
      <c r="B28" s="59"/>
      <c r="C28" s="59"/>
      <c r="D28" s="59"/>
      <c r="E28" s="59">
        <v>4900</v>
      </c>
      <c r="F28" s="59">
        <v>4900</v>
      </c>
      <c r="G28" s="59">
        <v>5100</v>
      </c>
      <c r="H28" s="59">
        <v>5100</v>
      </c>
      <c r="I28" s="59">
        <f>'[1]preço mercado'!$B$28</f>
        <v>7650</v>
      </c>
      <c r="J28" s="59"/>
      <c r="K28" s="59"/>
      <c r="L28" s="59">
        <f>'[1]preço mercado'!$B$28</f>
        <v>7650</v>
      </c>
      <c r="M28" s="59">
        <f>'[1]preço mercado'!$B$28</f>
        <v>7650</v>
      </c>
      <c r="N28" s="59">
        <f>'[1]preço mercado'!$B$28</f>
        <v>7650</v>
      </c>
      <c r="O28" s="59">
        <f>'[1]preço mercado'!$B$28</f>
        <v>7650</v>
      </c>
      <c r="P28" s="59">
        <f>'[1]preço mercado'!$B$28</f>
        <v>7650</v>
      </c>
      <c r="Q28" s="59"/>
      <c r="R28" s="59"/>
      <c r="S28" s="59">
        <v>5800</v>
      </c>
      <c r="T28" s="59">
        <v>5800</v>
      </c>
      <c r="U28" s="24">
        <f>'[1]preço mercado'!$B$28</f>
        <v>7650</v>
      </c>
      <c r="V28" s="75">
        <v>5600</v>
      </c>
      <c r="W28" s="75">
        <v>5600</v>
      </c>
      <c r="X28" s="24"/>
      <c r="Y28" s="24"/>
      <c r="Z28" s="75">
        <v>5600</v>
      </c>
      <c r="AA28" s="75">
        <v>5600</v>
      </c>
      <c r="AB28" s="75">
        <v>5600</v>
      </c>
      <c r="AC28" s="75">
        <v>5600</v>
      </c>
      <c r="AD28" s="75">
        <v>5600</v>
      </c>
      <c r="AE28" s="24"/>
      <c r="AF28" s="24"/>
      <c r="AG28" s="75">
        <v>5600</v>
      </c>
      <c r="AH28" s="75">
        <v>5600</v>
      </c>
      <c r="AI28" s="75">
        <v>5400</v>
      </c>
      <c r="AJ28" s="75">
        <v>5700</v>
      </c>
      <c r="AK28" s="75">
        <v>5700</v>
      </c>
      <c r="AL28" s="24"/>
      <c r="AM28" s="24"/>
      <c r="AN28" s="75">
        <v>5700</v>
      </c>
      <c r="AO28" s="75">
        <v>5700</v>
      </c>
      <c r="AP28" s="75">
        <v>5700</v>
      </c>
      <c r="AQ28" s="75">
        <v>5700</v>
      </c>
      <c r="AR28" s="75">
        <v>5700</v>
      </c>
      <c r="AS28" s="24"/>
      <c r="AT28" s="24"/>
      <c r="AU28" s="59">
        <v>5700</v>
      </c>
      <c r="AV28" s="59">
        <v>5700</v>
      </c>
      <c r="AW28" s="75">
        <v>5700</v>
      </c>
      <c r="AX28" s="75">
        <v>5700</v>
      </c>
      <c r="AY28" s="75">
        <v>5700</v>
      </c>
      <c r="AZ28" s="93"/>
      <c r="BA28" s="93"/>
      <c r="BB28" s="75">
        <v>5750</v>
      </c>
      <c r="BC28" s="75">
        <v>5800</v>
      </c>
      <c r="BD28" s="75">
        <v>5800</v>
      </c>
      <c r="BE28" s="75">
        <v>5800</v>
      </c>
      <c r="BF28" s="75">
        <f>'[1]preço mercado'!$B$28</f>
        <v>7650</v>
      </c>
      <c r="BG28" s="59"/>
      <c r="BH28" s="24"/>
      <c r="BI28" s="75">
        <v>5800</v>
      </c>
      <c r="BJ28" s="75">
        <v>6000</v>
      </c>
      <c r="BK28" s="75">
        <v>6000</v>
      </c>
      <c r="BL28" s="75">
        <v>6000</v>
      </c>
      <c r="BM28" s="75">
        <v>6000</v>
      </c>
      <c r="BN28" s="93"/>
      <c r="BO28" s="93"/>
      <c r="BP28" s="75">
        <v>6200</v>
      </c>
      <c r="BQ28" s="75">
        <v>6950</v>
      </c>
      <c r="BR28" s="75">
        <v>6700</v>
      </c>
      <c r="BS28" s="75">
        <v>6700</v>
      </c>
      <c r="BT28" s="75">
        <v>6700</v>
      </c>
      <c r="BU28" s="24"/>
      <c r="BV28" s="24"/>
      <c r="BW28" s="95">
        <v>6700</v>
      </c>
      <c r="BX28" s="75">
        <v>6900</v>
      </c>
      <c r="BY28" s="95">
        <v>6900</v>
      </c>
      <c r="BZ28" s="95">
        <v>6900</v>
      </c>
      <c r="CA28" s="75">
        <v>7000</v>
      </c>
      <c r="CB28" s="93"/>
      <c r="CC28" s="93"/>
      <c r="CD28" s="95">
        <v>7000</v>
      </c>
      <c r="CE28" s="95">
        <v>7000</v>
      </c>
      <c r="CF28" s="95">
        <v>6950</v>
      </c>
      <c r="CG28" s="95">
        <v>6950</v>
      </c>
      <c r="CH28" s="95">
        <v>7000</v>
      </c>
      <c r="CI28" s="24"/>
      <c r="CJ28" s="24"/>
      <c r="CK28" s="95">
        <v>7100</v>
      </c>
      <c r="CL28" s="95">
        <v>7100</v>
      </c>
      <c r="CM28" s="95">
        <v>7100</v>
      </c>
      <c r="CN28" s="95">
        <v>7000</v>
      </c>
      <c r="CO28" s="95">
        <v>7100</v>
      </c>
      <c r="CP28" s="24"/>
      <c r="CQ28" s="24"/>
      <c r="CR28" s="75">
        <v>7100</v>
      </c>
      <c r="CS28" s="95">
        <v>7100</v>
      </c>
      <c r="CT28" s="95">
        <v>7100</v>
      </c>
      <c r="CU28" s="95">
        <v>7000</v>
      </c>
      <c r="CV28" s="95">
        <v>6500</v>
      </c>
      <c r="CW28" s="93"/>
      <c r="CX28" s="93"/>
      <c r="CY28" s="95">
        <v>6500</v>
      </c>
      <c r="CZ28" s="95">
        <v>6600</v>
      </c>
      <c r="DA28" s="95">
        <v>6600</v>
      </c>
      <c r="DB28" s="95">
        <v>6600</v>
      </c>
      <c r="DC28" s="95">
        <v>6600</v>
      </c>
      <c r="DD28" s="93"/>
      <c r="DE28" s="93"/>
      <c r="DF28" s="95">
        <v>6600</v>
      </c>
      <c r="DG28" s="95">
        <v>6600</v>
      </c>
      <c r="DH28" s="95">
        <v>6600</v>
      </c>
      <c r="DI28" s="95">
        <v>6800</v>
      </c>
      <c r="DJ28" s="95">
        <v>6800</v>
      </c>
      <c r="DK28" s="24"/>
      <c r="DL28" s="24"/>
      <c r="DM28" s="95">
        <v>6800</v>
      </c>
      <c r="DN28" s="95">
        <v>6800</v>
      </c>
      <c r="DO28" s="95">
        <v>6800</v>
      </c>
      <c r="DP28" s="95">
        <v>6800</v>
      </c>
      <c r="DQ28" s="95">
        <v>6800</v>
      </c>
      <c r="DR28" s="24"/>
      <c r="DS28" s="24"/>
      <c r="DT28" s="95">
        <v>7200</v>
      </c>
      <c r="DU28" s="95">
        <v>7200</v>
      </c>
      <c r="DV28" s="95">
        <v>7200</v>
      </c>
      <c r="DW28" s="95">
        <v>7200</v>
      </c>
      <c r="DX28" s="95">
        <f>'[1]preço mercado'!$B$28</f>
        <v>7650</v>
      </c>
      <c r="DY28" s="24"/>
      <c r="DZ28" s="24"/>
      <c r="EA28" s="95">
        <v>6800</v>
      </c>
      <c r="EB28" s="95">
        <v>6900</v>
      </c>
      <c r="EC28" s="95">
        <v>6900</v>
      </c>
      <c r="ED28" s="95">
        <v>6900</v>
      </c>
      <c r="EE28" s="95">
        <v>7000</v>
      </c>
      <c r="EF28" s="24"/>
      <c r="EG28" s="24"/>
      <c r="EH28" s="95">
        <v>7000</v>
      </c>
      <c r="EI28" s="95">
        <v>7000</v>
      </c>
      <c r="EJ28" s="95">
        <v>7000</v>
      </c>
      <c r="EK28" s="95">
        <v>7000</v>
      </c>
      <c r="EL28" s="95">
        <v>6900</v>
      </c>
      <c r="EM28" s="24"/>
      <c r="EN28" s="24"/>
      <c r="EO28" s="95">
        <v>6900</v>
      </c>
      <c r="EP28" s="95">
        <v>6900</v>
      </c>
      <c r="EQ28" s="95">
        <v>6900</v>
      </c>
      <c r="ER28" s="95">
        <v>6800</v>
      </c>
      <c r="ES28" s="95">
        <v>6800</v>
      </c>
      <c r="ET28" s="24"/>
      <c r="EU28" s="24"/>
      <c r="EV28" s="95">
        <v>6800</v>
      </c>
      <c r="EW28" s="95">
        <v>6800</v>
      </c>
      <c r="EX28" s="95">
        <v>6800</v>
      </c>
      <c r="EY28" s="75">
        <v>6800</v>
      </c>
      <c r="EZ28" s="95">
        <v>6800</v>
      </c>
      <c r="FA28" s="24"/>
      <c r="FB28" s="24"/>
      <c r="FC28" s="95">
        <v>6800</v>
      </c>
      <c r="FD28" s="95">
        <v>6800</v>
      </c>
      <c r="FE28" s="95">
        <v>6800</v>
      </c>
      <c r="FF28" s="95">
        <v>6800</v>
      </c>
      <c r="FG28" s="95">
        <v>6800</v>
      </c>
      <c r="FH28" s="24"/>
      <c r="FI28" s="24"/>
      <c r="FJ28" s="95">
        <v>6800</v>
      </c>
      <c r="FK28" s="95">
        <v>6000</v>
      </c>
      <c r="FL28" s="95">
        <v>6000</v>
      </c>
      <c r="FM28" s="95">
        <v>5600</v>
      </c>
      <c r="FN28" s="95">
        <v>5800</v>
      </c>
      <c r="FO28" s="24"/>
      <c r="FP28" s="24"/>
      <c r="FQ28" s="95">
        <v>6300</v>
      </c>
      <c r="FR28" s="95">
        <v>6300</v>
      </c>
      <c r="FS28" s="95">
        <v>6300</v>
      </c>
      <c r="FT28" s="75">
        <v>6000</v>
      </c>
      <c r="FU28" s="95">
        <v>6000</v>
      </c>
      <c r="FV28" s="24"/>
      <c r="FW28" s="24"/>
      <c r="FX28" s="95">
        <v>6000</v>
      </c>
      <c r="FY28" s="95">
        <v>6000</v>
      </c>
      <c r="FZ28" s="95">
        <v>6100</v>
      </c>
      <c r="GA28" s="95">
        <v>6100</v>
      </c>
      <c r="GB28" s="95">
        <v>6100</v>
      </c>
      <c r="GC28" s="24"/>
      <c r="GD28" s="24"/>
      <c r="GE28" s="95">
        <v>6100</v>
      </c>
      <c r="GF28" s="95">
        <v>6100</v>
      </c>
      <c r="GG28" s="95">
        <v>6100</v>
      </c>
      <c r="GH28" s="95">
        <v>6100</v>
      </c>
      <c r="GI28" s="95">
        <v>6150</v>
      </c>
      <c r="GJ28" s="24"/>
      <c r="GK28" s="24"/>
      <c r="GL28" s="95">
        <v>6150</v>
      </c>
      <c r="GM28" s="95">
        <v>6150</v>
      </c>
      <c r="GN28" s="95">
        <v>6400</v>
      </c>
      <c r="GO28" s="95">
        <v>6500</v>
      </c>
      <c r="GP28" s="95">
        <v>6500</v>
      </c>
      <c r="GQ28" s="93"/>
      <c r="GR28" s="93"/>
      <c r="GS28" s="75">
        <v>6600</v>
      </c>
      <c r="GT28" s="95">
        <v>6600</v>
      </c>
      <c r="GU28" s="95">
        <v>6600</v>
      </c>
      <c r="GV28" s="95">
        <v>6550</v>
      </c>
      <c r="GW28" s="95">
        <v>6550</v>
      </c>
      <c r="GX28" s="24"/>
      <c r="GY28" s="24"/>
      <c r="GZ28" s="95">
        <v>6550</v>
      </c>
      <c r="HA28" s="95">
        <v>6500</v>
      </c>
      <c r="HB28" s="95">
        <v>6550</v>
      </c>
      <c r="HC28" s="95">
        <v>6600</v>
      </c>
      <c r="HD28" s="95">
        <v>6600</v>
      </c>
      <c r="HE28" s="24"/>
      <c r="HF28" s="24"/>
      <c r="HG28" s="95">
        <v>6600</v>
      </c>
      <c r="HH28" s="95">
        <v>6600</v>
      </c>
      <c r="HI28" s="95">
        <v>6600</v>
      </c>
      <c r="HJ28" s="95">
        <v>6600</v>
      </c>
      <c r="HK28" s="95">
        <v>6600</v>
      </c>
      <c r="HL28" s="24"/>
      <c r="HM28" s="24"/>
      <c r="HN28" s="95">
        <v>6600</v>
      </c>
      <c r="HO28" s="95">
        <v>6650</v>
      </c>
      <c r="HP28" s="95">
        <v>6750</v>
      </c>
      <c r="HQ28" s="95">
        <v>6750</v>
      </c>
      <c r="HR28" s="95">
        <v>6750</v>
      </c>
      <c r="HS28" s="75"/>
      <c r="HT28" s="75"/>
      <c r="HU28" s="95">
        <v>6800</v>
      </c>
      <c r="HV28" s="95">
        <v>6800</v>
      </c>
      <c r="HW28" s="95">
        <v>6900</v>
      </c>
      <c r="HX28" s="95">
        <v>7000</v>
      </c>
      <c r="HY28" s="95">
        <v>7000</v>
      </c>
      <c r="HZ28" s="75"/>
      <c r="IA28" s="75"/>
      <c r="IB28" s="95">
        <v>7000</v>
      </c>
      <c r="IC28" s="95">
        <v>7100</v>
      </c>
      <c r="ID28" s="95">
        <v>7100</v>
      </c>
      <c r="IE28" s="95">
        <v>7100</v>
      </c>
      <c r="IF28" s="95">
        <v>7100</v>
      </c>
      <c r="IG28" s="75"/>
      <c r="IH28" s="75"/>
      <c r="II28" s="75">
        <v>7100</v>
      </c>
      <c r="IJ28" s="75">
        <v>6800</v>
      </c>
      <c r="IK28" s="75">
        <v>6800</v>
      </c>
      <c r="IL28" s="75">
        <v>6800</v>
      </c>
      <c r="IM28" s="95">
        <v>6800</v>
      </c>
      <c r="IN28" s="75"/>
      <c r="IO28" s="75"/>
      <c r="IP28" s="95">
        <v>6800</v>
      </c>
      <c r="IQ28" s="95">
        <v>6800</v>
      </c>
      <c r="IR28" s="95">
        <v>6800</v>
      </c>
      <c r="IS28" s="95">
        <v>6850</v>
      </c>
      <c r="IT28" s="95">
        <v>6850</v>
      </c>
      <c r="IU28" s="75"/>
      <c r="IV28" s="75"/>
      <c r="IW28" s="95">
        <v>6850</v>
      </c>
      <c r="IX28" s="95">
        <v>6900</v>
      </c>
      <c r="IY28" s="95">
        <v>6950</v>
      </c>
      <c r="IZ28" s="95">
        <v>7050</v>
      </c>
      <c r="JA28" s="95">
        <v>7050</v>
      </c>
      <c r="JB28" s="75"/>
      <c r="JC28" s="75"/>
      <c r="JD28" s="95">
        <v>7050</v>
      </c>
      <c r="JE28" s="95">
        <v>7050</v>
      </c>
      <c r="JF28" s="95">
        <v>7050</v>
      </c>
      <c r="JG28" s="95">
        <v>6950</v>
      </c>
      <c r="JH28" s="75">
        <v>6950</v>
      </c>
      <c r="JI28" s="75"/>
      <c r="JJ28" s="75"/>
      <c r="JK28" s="75">
        <v>6950</v>
      </c>
      <c r="JL28" s="75">
        <v>6950</v>
      </c>
      <c r="JM28" s="75">
        <v>6950</v>
      </c>
      <c r="JN28" s="75">
        <v>6950</v>
      </c>
      <c r="JO28" s="75">
        <v>6950</v>
      </c>
      <c r="JP28" s="93"/>
      <c r="JQ28" s="93"/>
      <c r="JR28" s="75">
        <v>6900</v>
      </c>
      <c r="JS28" s="75">
        <v>7000</v>
      </c>
      <c r="JT28" s="75">
        <v>7300</v>
      </c>
      <c r="JU28" s="75">
        <v>7300</v>
      </c>
      <c r="JV28" s="75">
        <v>7300</v>
      </c>
      <c r="JW28" s="93"/>
      <c r="JX28" s="93"/>
      <c r="JY28" s="95">
        <v>7300</v>
      </c>
      <c r="JZ28" s="95">
        <v>7300</v>
      </c>
      <c r="KA28" s="95">
        <v>7300</v>
      </c>
      <c r="KB28" s="95">
        <v>7450</v>
      </c>
      <c r="KC28" s="95">
        <v>7450</v>
      </c>
      <c r="KD28" s="75"/>
      <c r="KE28" s="75"/>
      <c r="KF28" s="95">
        <v>7300</v>
      </c>
      <c r="KG28" s="95">
        <v>7300</v>
      </c>
      <c r="KH28" s="95">
        <v>7500</v>
      </c>
      <c r="KI28" s="75">
        <v>7600</v>
      </c>
      <c r="KJ28" s="95">
        <v>7600</v>
      </c>
      <c r="KK28" s="75"/>
      <c r="KL28" s="75"/>
      <c r="KM28" s="75">
        <v>7600</v>
      </c>
      <c r="KN28" s="95">
        <v>7600</v>
      </c>
      <c r="KO28" s="95">
        <v>7600</v>
      </c>
      <c r="KP28" s="95">
        <v>7600</v>
      </c>
      <c r="KQ28" s="95">
        <v>7600</v>
      </c>
      <c r="KR28" s="75"/>
      <c r="KS28" s="75"/>
      <c r="KT28" s="75">
        <v>7700</v>
      </c>
      <c r="KU28" s="75">
        <v>7700</v>
      </c>
      <c r="KV28" s="75">
        <v>7700</v>
      </c>
      <c r="KW28" s="95">
        <v>7700</v>
      </c>
      <c r="KX28" s="95">
        <v>7700</v>
      </c>
      <c r="KY28" s="75"/>
      <c r="KZ28" s="75"/>
      <c r="LA28" s="95">
        <v>7700</v>
      </c>
      <c r="LB28" s="95">
        <v>7400</v>
      </c>
      <c r="LC28" s="75">
        <v>7400</v>
      </c>
      <c r="LD28" s="95">
        <v>7400</v>
      </c>
      <c r="LE28" s="95">
        <v>7400</v>
      </c>
      <c r="LF28" s="75"/>
      <c r="LG28" s="75"/>
      <c r="LH28" s="95">
        <v>7400</v>
      </c>
      <c r="LI28" s="95">
        <v>7400</v>
      </c>
      <c r="LJ28" s="95">
        <v>7400</v>
      </c>
      <c r="LK28" s="95">
        <v>7600</v>
      </c>
      <c r="LL28" s="95">
        <v>7600</v>
      </c>
      <c r="LM28" s="75"/>
      <c r="LN28" s="75"/>
      <c r="LO28" s="95">
        <v>7600</v>
      </c>
      <c r="LP28" s="95">
        <v>7600</v>
      </c>
      <c r="LQ28" s="95">
        <v>7600</v>
      </c>
      <c r="LR28" s="95">
        <v>7650</v>
      </c>
      <c r="LS28" s="95">
        <v>7650</v>
      </c>
      <c r="LT28" s="75"/>
      <c r="LU28" s="75"/>
      <c r="LV28" s="95">
        <v>7650</v>
      </c>
      <c r="LW28" s="95">
        <v>7650</v>
      </c>
      <c r="LX28" s="95">
        <v>7300</v>
      </c>
      <c r="LY28" s="95">
        <v>7300</v>
      </c>
      <c r="LZ28" s="95">
        <v>7450</v>
      </c>
      <c r="MA28" s="75"/>
      <c r="MB28" s="75"/>
      <c r="MC28" s="95">
        <v>7450</v>
      </c>
      <c r="MD28" s="95">
        <v>7450</v>
      </c>
      <c r="ME28" s="95">
        <v>7400</v>
      </c>
      <c r="MF28" s="95">
        <v>7400</v>
      </c>
      <c r="MG28" s="95">
        <v>7400</v>
      </c>
      <c r="MH28" s="75"/>
      <c r="MI28" s="75"/>
      <c r="MJ28" s="95">
        <v>7200</v>
      </c>
      <c r="MK28" s="75">
        <v>7150</v>
      </c>
      <c r="ML28" s="95">
        <v>7150</v>
      </c>
      <c r="MM28" s="95">
        <v>7150</v>
      </c>
      <c r="MN28" s="95">
        <v>7150</v>
      </c>
      <c r="MO28" s="75"/>
      <c r="MP28" s="75"/>
      <c r="MQ28" s="95">
        <v>7250</v>
      </c>
      <c r="MR28" s="95">
        <v>7250</v>
      </c>
      <c r="MS28" s="95">
        <v>7300</v>
      </c>
      <c r="MT28" s="95">
        <v>7300</v>
      </c>
      <c r="MU28" s="95">
        <v>7300</v>
      </c>
      <c r="MV28" s="75"/>
      <c r="MW28" s="59"/>
      <c r="MX28" s="95">
        <v>7300</v>
      </c>
      <c r="MY28" s="95">
        <v>7300</v>
      </c>
      <c r="MZ28" s="95">
        <v>7300</v>
      </c>
      <c r="NA28" s="95">
        <v>7300</v>
      </c>
      <c r="NB28" s="95">
        <v>7300</v>
      </c>
      <c r="NC28" s="93"/>
    </row>
    <row r="29" spans="1:367" x14ac:dyDescent="0.25">
      <c r="A29" s="44" t="s">
        <v>102</v>
      </c>
      <c r="B29" s="101"/>
      <c r="C29" s="101"/>
      <c r="D29" s="101"/>
      <c r="E29" s="101">
        <f>E28/E20</f>
        <v>949.1893148402844</v>
      </c>
      <c r="F29" s="101">
        <f>F28/F20</f>
        <v>919.91138812751103</v>
      </c>
      <c r="G29" s="101">
        <f>G28/G20</f>
        <v>959.02517911205553</v>
      </c>
      <c r="H29" s="101">
        <f>H28/H20</f>
        <v>954.51993262212238</v>
      </c>
      <c r="I29" s="101">
        <f>I28/I20</f>
        <v>1425.1117734724291</v>
      </c>
      <c r="J29" s="101"/>
      <c r="K29" s="101"/>
      <c r="L29" s="101">
        <f>L28/L20</f>
        <v>1391.9213973799126</v>
      </c>
      <c r="M29" s="101">
        <f>M28/M20</f>
        <v>1400.3038567846095</v>
      </c>
      <c r="N29" s="101">
        <f>N28/N20</f>
        <v>1441.6553595658074</v>
      </c>
      <c r="O29" s="101">
        <f>O28/O20</f>
        <v>1441.6553595658074</v>
      </c>
      <c r="P29" s="101">
        <f>P28/P20</f>
        <v>1451.3925779767776</v>
      </c>
      <c r="Q29" s="101"/>
      <c r="R29" s="101"/>
      <c r="S29" s="101">
        <f>S28/S20</f>
        <v>1098.8594596642795</v>
      </c>
      <c r="T29" s="101">
        <f>T28/T20</f>
        <v>1095.6005969134287</v>
      </c>
      <c r="U29" s="45">
        <f>U28/U20</f>
        <v>1442.5796718838394</v>
      </c>
      <c r="V29" s="45">
        <f>V28/V20</f>
        <v>1053.4236267870581</v>
      </c>
      <c r="W29" s="45">
        <f>W28/W20</f>
        <v>1031.4025232526014</v>
      </c>
      <c r="X29" s="45"/>
      <c r="Y29" s="45"/>
      <c r="Z29" s="45">
        <f>Z28/Z20</f>
        <v>1016.7583564827423</v>
      </c>
      <c r="AA29" s="45">
        <f>AA28/AA20</f>
        <v>1039.6940328988899</v>
      </c>
      <c r="AB29" s="45">
        <f>AB28/AB20</f>
        <v>1035.5604046082437</v>
      </c>
      <c r="AC29" s="45">
        <f>AC28/AC20</f>
        <v>1031.7065531789458</v>
      </c>
      <c r="AD29" s="45">
        <f>AD28/AD20</f>
        <v>1022.7189714369201</v>
      </c>
      <c r="AE29" s="45"/>
      <c r="AF29" s="45"/>
      <c r="AG29" s="45">
        <f>AG28/AG20</f>
        <v>1025.5471110704148</v>
      </c>
      <c r="AH29" s="45">
        <f>AH28/AH20</f>
        <v>1039.5010395010395</v>
      </c>
      <c r="AI29" s="45">
        <f>AI28/AI20</f>
        <v>1010.8573567952078</v>
      </c>
      <c r="AJ29" s="45">
        <f>AJ28/AJ20</f>
        <v>1057.3765930213144</v>
      </c>
      <c r="AK29" s="45">
        <f>AK28/AK20</f>
        <v>1057.8868246691784</v>
      </c>
      <c r="AL29" s="45"/>
      <c r="AM29" s="45"/>
      <c r="AN29" s="45">
        <f>AN28/AN20</f>
        <v>1062.1052043155012</v>
      </c>
      <c r="AO29" s="45">
        <f>AO28/AO20</f>
        <v>1051.4083337944774</v>
      </c>
      <c r="AP29" s="45">
        <f>AP28/AP20</f>
        <v>1055.1452213028267</v>
      </c>
      <c r="AQ29" s="45">
        <f>AQ28/AQ20</f>
        <v>1062.9767077560002</v>
      </c>
      <c r="AR29" s="45">
        <f>AR28/AR20</f>
        <v>1059.2432914591541</v>
      </c>
      <c r="AS29" s="45"/>
      <c r="AT29" s="45"/>
      <c r="AU29" s="101">
        <v>1062.1052043155012</v>
      </c>
      <c r="AV29" s="101">
        <v>1051.4083337944774</v>
      </c>
      <c r="AW29" s="45">
        <f>AW28/AW20</f>
        <v>1052.9232474369633</v>
      </c>
      <c r="AX29" s="45">
        <f>AX28/AX20</f>
        <v>1050.9818382963031</v>
      </c>
      <c r="AY29" s="45">
        <f>AY28/AY20</f>
        <v>1057.1020567125981</v>
      </c>
      <c r="AZ29" s="45"/>
      <c r="BA29" s="45"/>
      <c r="BB29" s="45">
        <f>BB28/BB20</f>
        <v>1044.6757871404952</v>
      </c>
      <c r="BC29" s="45">
        <f>BC28/BC20</f>
        <v>1070.5254803521659</v>
      </c>
      <c r="BD29" s="45">
        <f>BD28/BD20</f>
        <v>1070.5254803521659</v>
      </c>
      <c r="BE29" s="45">
        <f>BE28/BE20</f>
        <v>1062.3294320200744</v>
      </c>
      <c r="BF29" s="45">
        <f>BF28/BF20</f>
        <v>1383.3884880377584</v>
      </c>
      <c r="BG29" s="45"/>
      <c r="BH29" s="45"/>
      <c r="BI29" s="45">
        <f>BI28/BI20</f>
        <v>1038.8866001540416</v>
      </c>
      <c r="BJ29" s="45">
        <f>BJ28/BJ20</f>
        <v>1055.5760806460125</v>
      </c>
      <c r="BK29" s="45">
        <f>BK28/BK20</f>
        <v>1046.408203840318</v>
      </c>
      <c r="BL29" s="45">
        <f>BL28/BL20</f>
        <v>1071.3329167038657</v>
      </c>
      <c r="BM29" s="45">
        <f>BM28/BM20</f>
        <v>1055.0934636959923</v>
      </c>
      <c r="BN29" s="45"/>
      <c r="BO29" s="45"/>
      <c r="BP29" s="45">
        <f>BP28/BP20</f>
        <v>1081.2696198116498</v>
      </c>
      <c r="BQ29" s="45">
        <f>BQ28/BQ20</f>
        <v>1190.1907730246257</v>
      </c>
      <c r="BR29" s="45">
        <f>BR28/BR20</f>
        <v>1166.3736225475689</v>
      </c>
      <c r="BS29" s="45">
        <f>BS28/BS20</f>
        <v>1198.8476747723084</v>
      </c>
      <c r="BT29" s="45">
        <f>BT28/BT20</f>
        <v>1190.2012683637397</v>
      </c>
      <c r="BU29" s="45"/>
      <c r="BV29" s="45"/>
      <c r="BW29" s="45">
        <f>BW28/BW20</f>
        <v>1192.170818505338</v>
      </c>
      <c r="BX29" s="45">
        <f>BX28/BX20</f>
        <v>1235.4521038495971</v>
      </c>
      <c r="BY29" s="45">
        <f>BY28/BY20</f>
        <v>1219.5984162895927</v>
      </c>
      <c r="BZ29" s="45">
        <f>BZ28/BZ20</f>
        <v>1243.9156300703085</v>
      </c>
      <c r="CA29" s="45">
        <f>CA28/CA20</f>
        <v>1270.878721859114</v>
      </c>
      <c r="CB29" s="45"/>
      <c r="CC29" s="45"/>
      <c r="CD29" s="45">
        <f>CD28/CD20</f>
        <v>1266.0517272562849</v>
      </c>
      <c r="CE29" s="45">
        <f>CE28/CE20</f>
        <v>1273.8853503184714</v>
      </c>
      <c r="CF29" s="45">
        <f>CF28/CF20</f>
        <v>1256.099765046087</v>
      </c>
      <c r="CG29" s="45">
        <f>CG28/CG20</f>
        <v>1228.3492400141392</v>
      </c>
      <c r="CH29" s="45">
        <f>CH28/CH20</f>
        <v>1227.2089761570828</v>
      </c>
      <c r="CI29" s="45"/>
      <c r="CJ29" s="45"/>
      <c r="CK29" s="45">
        <f>CK28/CK20</f>
        <v>1225.8287292817679</v>
      </c>
      <c r="CL29" s="45">
        <f>CL28/CL20</f>
        <v>1231.7834836918805</v>
      </c>
      <c r="CM29" s="45">
        <f>CM28/CM20</f>
        <v>1246.2699666491135</v>
      </c>
      <c r="CN29" s="45">
        <f>CN28/CN20</f>
        <v>1232.3943661971832</v>
      </c>
      <c r="CO29" s="45">
        <v>1232.3943661971832</v>
      </c>
      <c r="CP29" s="45"/>
      <c r="CQ29" s="45"/>
      <c r="CR29" s="45">
        <f>CR28/CR20</f>
        <v>1255.0821990454303</v>
      </c>
      <c r="CS29" s="45">
        <f>CS28/CS20</f>
        <v>1261.9978670458584</v>
      </c>
      <c r="CT29" s="45">
        <f>CT28/CT20</f>
        <v>1271.0347296813461</v>
      </c>
      <c r="CU29" s="45">
        <f>CU28/CU20</f>
        <v>1254.2555097652748</v>
      </c>
      <c r="CV29" s="45">
        <f>CV28/CV20</f>
        <v>1151.665485471297</v>
      </c>
      <c r="CW29" s="45"/>
      <c r="CX29" s="45"/>
      <c r="CY29" s="45">
        <f>CY28/CY20</f>
        <v>1148.8158359844467</v>
      </c>
      <c r="CZ29" s="45">
        <f>CZ28/CZ20</f>
        <v>1156.6771819137748</v>
      </c>
      <c r="DA29" s="45">
        <f>DA28/DA20</f>
        <v>1159.3184612682242</v>
      </c>
      <c r="DB29" s="45">
        <f>DB28/DB20</f>
        <v>1173.750666903788</v>
      </c>
      <c r="DC29" s="45">
        <f>DC28/DC20</f>
        <v>1171.875</v>
      </c>
      <c r="DD29" s="45"/>
      <c r="DE29" s="45"/>
      <c r="DF29" s="45">
        <f>DF28/DF20</f>
        <v>1184.0688912809474</v>
      </c>
      <c r="DG29" s="45">
        <f>DG28/DG20</f>
        <v>1194.3539630836049</v>
      </c>
      <c r="DH29" s="45">
        <f>DH28/DH20</f>
        <v>1194.3539630836049</v>
      </c>
      <c r="DI29" s="45">
        <f>DI28/DI20</f>
        <v>1237.2634643377</v>
      </c>
      <c r="DJ29" s="45">
        <f>DJ28/DJ20</f>
        <v>1241.3289521723257</v>
      </c>
      <c r="DK29" s="45"/>
      <c r="DL29" s="45"/>
      <c r="DM29" s="45">
        <f>DM28/DM20</f>
        <v>1246.3343108504398</v>
      </c>
      <c r="DN29" s="45">
        <f>DN28/DN20</f>
        <v>1250</v>
      </c>
      <c r="DO29" s="45">
        <f>DO28/DO20</f>
        <v>1259.2592592592591</v>
      </c>
      <c r="DP29" s="45">
        <f>DP28/DP20</f>
        <v>1267.2381662318301</v>
      </c>
      <c r="DQ29" s="45">
        <f>DQ28/DQ20</f>
        <v>1258.5600592263559</v>
      </c>
      <c r="DR29" s="45"/>
      <c r="DS29" s="45"/>
      <c r="DT29" s="45">
        <f>DT28/DT20</f>
        <v>1331.3609467455619</v>
      </c>
      <c r="DU29" s="45">
        <f>DU28/DU20</f>
        <v>1321.1009174311926</v>
      </c>
      <c r="DV29" s="45">
        <f>DV28/DV20</f>
        <v>1336.799108800594</v>
      </c>
      <c r="DW29" s="45">
        <f>DW28/DW20</f>
        <v>1361.3159387407829</v>
      </c>
      <c r="DX29" s="45">
        <f>DX28/DX20</f>
        <v>1465.236544723233</v>
      </c>
      <c r="DY29" s="45"/>
      <c r="DZ29" s="45"/>
      <c r="EA29" s="45">
        <f>EA28/EA20</f>
        <v>1302.1830716200689</v>
      </c>
      <c r="EB29" s="45">
        <f>EB28/EB20</f>
        <v>1316.793893129771</v>
      </c>
      <c r="EC29" s="45">
        <f>EC28/EC20</f>
        <v>1318.051575931232</v>
      </c>
      <c r="ED29" s="45">
        <f>ED28/ED20</f>
        <v>1306.5707252414315</v>
      </c>
      <c r="EE29" s="45">
        <f>EE28/EE20</f>
        <v>1328.5253368760675</v>
      </c>
      <c r="EF29" s="45"/>
      <c r="EG29" s="45"/>
      <c r="EH29" s="45">
        <f>EH28/EH20</f>
        <v>1327.0142180094786</v>
      </c>
      <c r="EI29" s="45">
        <f>EI28/EI20</f>
        <v>1331.3046785850133</v>
      </c>
      <c r="EJ29" s="45">
        <f>EJ28/EJ20</f>
        <v>1325.2555850056797</v>
      </c>
      <c r="EK29" s="45">
        <f>EK28/EK20</f>
        <v>1323.5016071090945</v>
      </c>
      <c r="EL29" s="45">
        <f>EL28/EL20</f>
        <v>1301.3956997359487</v>
      </c>
      <c r="EM29" s="45"/>
      <c r="EN29" s="45"/>
      <c r="EO29" s="45">
        <f>EO28/EO20</f>
        <v>1297.0900067674261</v>
      </c>
      <c r="EP29" s="45">
        <f>EP28/EP20</f>
        <v>1298.456906285284</v>
      </c>
      <c r="EQ29" s="45">
        <f>EQ28/EQ20</f>
        <v>1297.9683972911964</v>
      </c>
      <c r="ER29" s="45">
        <f>ER28/ER20</f>
        <v>1287.1474540980503</v>
      </c>
      <c r="ES29" s="45">
        <f>ES28/ES20</f>
        <v>1300.1912045889101</v>
      </c>
      <c r="ET29" s="45"/>
      <c r="EU29" s="45"/>
      <c r="EV29" s="45">
        <f>EV28/EV20</f>
        <v>1299.6941896024464</v>
      </c>
      <c r="EW29" s="45">
        <f>EW28/EW20</f>
        <v>1317.0637226418748</v>
      </c>
      <c r="EX29" s="45">
        <f>EX28/EX20</f>
        <v>1329.6832225263981</v>
      </c>
      <c r="EY29" s="45">
        <v>1329.6832225263981</v>
      </c>
      <c r="EZ29" s="45">
        <f>EZ28/EZ20</f>
        <v>1342.2818791946308</v>
      </c>
      <c r="FA29" s="45"/>
      <c r="FB29" s="45"/>
      <c r="FC29" s="45">
        <f>FC28/FC20</f>
        <v>1346.8013468013467</v>
      </c>
      <c r="FD29" s="45">
        <f>FD28/FD20</f>
        <v>1342.2818791946308</v>
      </c>
      <c r="FE29" s="45">
        <f>FE28/FE20</f>
        <v>1345.7352068078369</v>
      </c>
      <c r="FF29" s="45">
        <f>FF28/FF20</f>
        <v>1343.0772269405491</v>
      </c>
      <c r="FG29" s="45">
        <f>FG28/FG20</f>
        <v>1328.6440015631106</v>
      </c>
      <c r="FH29" s="45"/>
      <c r="FI29" s="45"/>
      <c r="FJ29" s="45">
        <f>FJ28/FJ20</f>
        <v>1340.958390849931</v>
      </c>
      <c r="FK29" s="45">
        <f>FK28/FK20</f>
        <v>1179.4770984863378</v>
      </c>
      <c r="FL29" s="45">
        <f>FL28/FL20</f>
        <v>1195.2191235059761</v>
      </c>
      <c r="FM29" s="45">
        <f>FM28/FM20</f>
        <v>1112.2144985104269</v>
      </c>
      <c r="FN29" s="45">
        <f>FN28/FN20</f>
        <v>1152.8523156430133</v>
      </c>
      <c r="FO29" s="45"/>
      <c r="FP29" s="45"/>
      <c r="FQ29" s="45">
        <f>FQ28/FQ20</f>
        <v>1250.7444907683146</v>
      </c>
      <c r="FR29" s="45">
        <f>FR28/FR20</f>
        <v>1255.7305162447676</v>
      </c>
      <c r="FS29" s="45">
        <f>FS28/FS20</f>
        <v>1272.4702080387801</v>
      </c>
      <c r="FT29" s="45">
        <f>FT28/FT20</f>
        <v>1219.5121951219512</v>
      </c>
      <c r="FU29" s="45">
        <f>FU28/FU20</f>
        <v>1219.5121951219512</v>
      </c>
      <c r="FV29" s="45"/>
      <c r="FW29" s="45"/>
      <c r="FX29" s="45">
        <f>FX28/FX20</f>
        <v>1214.0833670578713</v>
      </c>
      <c r="FY29" s="45">
        <f>FY28/FY20</f>
        <v>1212.121212121212</v>
      </c>
      <c r="FZ29" s="45">
        <f>FZ28/FZ20</f>
        <v>1219.5121951219512</v>
      </c>
      <c r="GA29" s="45">
        <f>GA28/GA20</f>
        <v>1218.7812187812187</v>
      </c>
      <c r="GB29" s="45">
        <f>GB28/GB20</f>
        <v>1212.9648041360113</v>
      </c>
      <c r="GC29" s="45"/>
      <c r="GD29" s="45"/>
      <c r="GE29" s="45">
        <f>GE28/GE20</f>
        <v>1201.9704433497536</v>
      </c>
      <c r="GF29" s="45">
        <f>GF28/GF20</f>
        <v>1181.2548412083656</v>
      </c>
      <c r="GG29" s="45">
        <f>GG28/GG20</f>
        <v>1159.0347710431313</v>
      </c>
      <c r="GH29" s="45">
        <f>GH28/GH20</f>
        <v>1160.1369341955117</v>
      </c>
      <c r="GI29" s="45">
        <f>GI28/GI20</f>
        <v>1174.3364521672713</v>
      </c>
      <c r="GJ29" s="45"/>
      <c r="GK29" s="45"/>
      <c r="GL29" s="45">
        <f>GL28/GL20</f>
        <v>1177.4842044801837</v>
      </c>
      <c r="GM29" s="45">
        <f>GM28/GM20</f>
        <v>1187.94668727062</v>
      </c>
      <c r="GN29" s="45">
        <f>GN28/GN20</f>
        <v>1259.8425196850394</v>
      </c>
      <c r="GO29" s="45">
        <f>GO28/GO20</f>
        <v>1274.7597568150618</v>
      </c>
      <c r="GP29" s="45">
        <f>GP28/GP20</f>
        <v>1276.010993325481</v>
      </c>
      <c r="GQ29" s="45"/>
      <c r="GR29" s="45"/>
      <c r="GS29" s="45">
        <f>GS28/GS20</f>
        <v>1269.9634404464114</v>
      </c>
      <c r="GT29" s="45">
        <f>GT28/GT20</f>
        <v>1258.1014105985512</v>
      </c>
      <c r="GU29" s="45">
        <f>GU28/GU20</f>
        <v>1256.9034469624833</v>
      </c>
      <c r="GV29" s="45">
        <f>GV28/GV20</f>
        <v>1260.3425052915143</v>
      </c>
      <c r="GW29" s="45">
        <f>GW28/GW20</f>
        <v>1266.9245647969053</v>
      </c>
      <c r="GX29" s="45"/>
      <c r="GY29" s="45"/>
      <c r="GZ29" s="45">
        <f>GZ28/GZ20</f>
        <v>1263.0158118010027</v>
      </c>
      <c r="HA29" s="45">
        <f>HA28/HA20</f>
        <v>1258.2268679829654</v>
      </c>
      <c r="HB29" s="45">
        <f>HB28/HB20</f>
        <v>1271.3509316770187</v>
      </c>
      <c r="HC29" s="45">
        <f>HC28/HC20</f>
        <v>1302.288871349645</v>
      </c>
      <c r="HD29" s="45">
        <f>HD28/HD20</f>
        <v>1288.8107791446982</v>
      </c>
      <c r="HE29" s="45"/>
      <c r="HF29" s="45"/>
      <c r="HG29" s="45">
        <f>HG28/HG20</f>
        <v>1284.796573875803</v>
      </c>
      <c r="HH29" s="45">
        <f>HH28/HH20</f>
        <v>1258.1014105985512</v>
      </c>
      <c r="HI29" s="45">
        <f>HI28/HI20</f>
        <v>1267.2811059907833</v>
      </c>
      <c r="HJ29" s="45">
        <f>HJ28/HJ20</f>
        <v>1282.5495530509133</v>
      </c>
      <c r="HK29" s="45">
        <f>HK28/HK20</f>
        <v>1259.3016599885518</v>
      </c>
      <c r="HL29" s="45"/>
      <c r="HM29" s="45"/>
      <c r="HN29" s="45">
        <f>HN28/HN20</f>
        <v>1250.7106310403638</v>
      </c>
      <c r="HO29" s="45">
        <f>HO28/HO20</f>
        <v>1273.702355870523</v>
      </c>
      <c r="HP29" s="45">
        <f>HP28/HP20</f>
        <v>1297.8273408959817</v>
      </c>
      <c r="HQ29" s="45">
        <f>HQ28/HQ20</f>
        <v>1289.3982808022922</v>
      </c>
      <c r="HR29" s="45">
        <f>HR28/HR20</f>
        <v>1289.6446312571647</v>
      </c>
      <c r="HS29" s="45"/>
      <c r="HT29" s="45"/>
      <c r="HU29" s="45">
        <f>HU28/HU20</f>
        <v>1295.7317073170732</v>
      </c>
      <c r="HV29" s="45">
        <f>HV28/HV20</f>
        <v>1293.513410690508</v>
      </c>
      <c r="HW29" s="45">
        <f>HW28/HW20</f>
        <v>1301.3956997359487</v>
      </c>
      <c r="HX29" s="45">
        <f>HX28/HX20</f>
        <v>1291.9896640826873</v>
      </c>
      <c r="HY29" s="45">
        <f>HY28/HY20</f>
        <v>1289.8470609913397</v>
      </c>
      <c r="HZ29" s="45"/>
      <c r="IA29" s="77"/>
      <c r="IB29" s="45">
        <f>IB28/IB20</f>
        <v>1304.0238450074514</v>
      </c>
      <c r="IC29" s="45">
        <f>IC28/IC20</f>
        <v>1339.3699302018488</v>
      </c>
      <c r="ID29" s="45">
        <f>ID28/ID20</f>
        <v>1353.4379229493509</v>
      </c>
      <c r="IE29" s="45">
        <f>IE28/IE20</f>
        <v>1354.4448683708508</v>
      </c>
      <c r="IF29" s="45">
        <f>IF28/IF20</f>
        <v>1360.153256704981</v>
      </c>
      <c r="IG29" s="45"/>
      <c r="IH29" s="77"/>
      <c r="II29" s="45">
        <f>II28/II20</f>
        <v>1366.7250572677049</v>
      </c>
      <c r="IJ29" s="45">
        <f>IJ28/IJ20</f>
        <v>1322.1854948473654</v>
      </c>
      <c r="IK29" s="45">
        <f>IK28/IK20</f>
        <v>1318.5193802958911</v>
      </c>
      <c r="IL29" s="45">
        <f>IL28/IL20</f>
        <v>1314.5176879953606</v>
      </c>
      <c r="IM29" s="45">
        <f>IM28/IM20</f>
        <v>1315.7894736842104</v>
      </c>
      <c r="IN29" s="45"/>
      <c r="IO29" s="45"/>
      <c r="IP29" s="45">
        <f>IP28/IP20</f>
        <v>1313.5020282016612</v>
      </c>
      <c r="IQ29" s="45">
        <f>IQ28/IQ20</f>
        <v>1313.5020282016612</v>
      </c>
      <c r="IR29" s="45">
        <f>IR28/IR20</f>
        <v>1294.7448591012949</v>
      </c>
      <c r="IS29" s="45">
        <f>IS28/IS20</f>
        <v>1296.8572510412723</v>
      </c>
      <c r="IT29" s="45">
        <f>IT28/IT20</f>
        <v>1313.5186960690316</v>
      </c>
      <c r="IU29" s="45"/>
      <c r="IV29" s="45"/>
      <c r="IW29" s="45">
        <f>IW28/IW20</f>
        <v>1312.7635109237256</v>
      </c>
      <c r="IX29" s="45">
        <f>IX28/IX20</f>
        <v>1320.321469575201</v>
      </c>
      <c r="IY29" s="45">
        <f>IY28/IY20</f>
        <v>1322.0467947498573</v>
      </c>
      <c r="IZ29" s="45">
        <f>IZ28/IZ20</f>
        <v>1340.8139977177634</v>
      </c>
      <c r="JA29" s="45">
        <f>JA28/JA20</f>
        <v>1322.205551387847</v>
      </c>
      <c r="JB29" s="45"/>
      <c r="JC29" s="45"/>
      <c r="JD29" s="45">
        <f>JD28/JD20</f>
        <v>1322.7016885553471</v>
      </c>
      <c r="JE29" s="45">
        <f>JE28/JE20</f>
        <v>1329.1855203619909</v>
      </c>
      <c r="JF29" s="45">
        <f>JF28/JF20</f>
        <v>1335.986355884025</v>
      </c>
      <c r="JG29" s="45">
        <f>JG28/JG20</f>
        <v>1314.2965204236004</v>
      </c>
      <c r="JH29" s="45">
        <f>JH28/JH20</f>
        <v>1300.7186704596495</v>
      </c>
      <c r="JI29" s="45"/>
      <c r="JJ29" s="45"/>
      <c r="JK29" s="45">
        <f>JK28/JK20</f>
        <v>1299.6727442730248</v>
      </c>
      <c r="JL29" s="45">
        <f>JL28/JL20</f>
        <v>1282.216851465786</v>
      </c>
      <c r="JM29" s="45">
        <f>JM28/JM20</f>
        <v>1282.997969355732</v>
      </c>
      <c r="JN29" s="45">
        <f>JN28/JN20</f>
        <v>1277.7849276534721</v>
      </c>
      <c r="JO29" s="45">
        <f>JO28/JO20</f>
        <v>1289.233508941159</v>
      </c>
      <c r="JP29" s="45"/>
      <c r="JQ29" s="45"/>
      <c r="JR29" s="45">
        <f>JR28/JR20</f>
        <v>1275.392321768544</v>
      </c>
      <c r="JS29" s="45">
        <f>JS28/JS20</f>
        <v>1281.8634632288311</v>
      </c>
      <c r="JT29" s="45">
        <f>JT28/JT20</f>
        <v>1325.0081678585689</v>
      </c>
      <c r="JU29" s="45">
        <f>JU28/JU20</f>
        <v>1323.9748263416579</v>
      </c>
      <c r="JV29" s="45">
        <f>JV28/JV20</f>
        <v>1325.3208910513608</v>
      </c>
      <c r="JW29" s="45"/>
      <c r="JX29" s="45"/>
      <c r="JY29" s="45">
        <f>JY28/JY20</f>
        <v>1323.6627379873073</v>
      </c>
      <c r="JZ29" s="45">
        <f>JZ28/JZ20</f>
        <v>1323.6627379873073</v>
      </c>
      <c r="KA29" s="45">
        <f>KA28/KA20</f>
        <v>1316.026681088877</v>
      </c>
      <c r="KB29" s="45">
        <f>KB28/KB20</f>
        <v>1355.0381957075299</v>
      </c>
      <c r="KC29" s="45">
        <f>KC28/KC20</f>
        <v>1366.7217024399195</v>
      </c>
      <c r="KD29" s="45"/>
      <c r="KE29" s="45"/>
      <c r="KF29" s="45">
        <f>KF28/KF20</f>
        <v>1322.7033882949809</v>
      </c>
      <c r="KG29" s="45">
        <f>KG28/KG20</f>
        <v>1313.8948884089273</v>
      </c>
      <c r="KH29" s="45">
        <f>KH28/KH20</f>
        <v>1349.6490912362785</v>
      </c>
      <c r="KI29" s="45">
        <f>KI28/KI20</f>
        <v>1347.0400567174761</v>
      </c>
      <c r="KJ29" s="45">
        <f>KJ28/KJ20</f>
        <v>1330.9982486865149</v>
      </c>
      <c r="KK29" s="45"/>
      <c r="KL29" s="45"/>
      <c r="KM29" s="45">
        <f>KM28/KM20</f>
        <v>1357.8702876541004</v>
      </c>
      <c r="KN29" s="45">
        <f>KN28/KN20</f>
        <v>1362.2512995160423</v>
      </c>
      <c r="KO29" s="45">
        <f>KO28/KO20</f>
        <v>1365.4329859863458</v>
      </c>
      <c r="KP29" s="45">
        <f>KP28/KP20</f>
        <v>1366.6606725409099</v>
      </c>
      <c r="KQ29" s="45">
        <f>KQ28/KQ20</f>
        <v>1347.0400567174761</v>
      </c>
      <c r="KR29" s="45"/>
      <c r="KS29" s="45"/>
      <c r="KT29" s="45">
        <f>KT28/KT20</f>
        <v>1358.5038814396612</v>
      </c>
      <c r="KU29" s="45">
        <f>KU28/KU20</f>
        <v>1358.5038814396612</v>
      </c>
      <c r="KV29" s="45">
        <f>KV28/KV20</f>
        <v>1358.7675801584639</v>
      </c>
      <c r="KW29" s="45">
        <f>KW28/KW20</f>
        <v>1376.4747944225956</v>
      </c>
      <c r="KX29" s="45">
        <f>KX28/KX20</f>
        <v>1388.6384129846708</v>
      </c>
      <c r="KY29" s="45"/>
      <c r="KZ29" s="45"/>
      <c r="LA29" s="45">
        <f>LA28/LA20</f>
        <v>1384.3941028407048</v>
      </c>
      <c r="LB29" s="45">
        <f>LB28/LB20</f>
        <v>1346.6787989080983</v>
      </c>
      <c r="LC29" s="45">
        <f>LC28/LC20</f>
        <v>1355.6341253411983</v>
      </c>
      <c r="LD29" s="45">
        <f>LD28/LD20</f>
        <v>1363.5526073337019</v>
      </c>
      <c r="LE29" s="45">
        <f>LE28/LE20</f>
        <v>1365.5656025096882</v>
      </c>
      <c r="LF29" s="45"/>
      <c r="LG29" s="45"/>
      <c r="LH29" s="45">
        <f>LH28/LH20</f>
        <v>1365.5656025096882</v>
      </c>
      <c r="LI29" s="45">
        <f>LI28/LI20</f>
        <v>1351.1046193171444</v>
      </c>
      <c r="LJ29" s="45">
        <f>LJ28/LJ20</f>
        <v>1345.6992180396437</v>
      </c>
      <c r="LK29" s="45">
        <f>LK28/LK20</f>
        <v>1370.3570140641903</v>
      </c>
      <c r="LL29" s="45">
        <f>LL28/LL20</f>
        <v>1367.3983447283197</v>
      </c>
      <c r="LM29" s="45"/>
      <c r="LN29" s="45"/>
      <c r="LO29" s="45">
        <f>LO28/LO20</f>
        <v>1361.0315186246419</v>
      </c>
      <c r="LP29" s="45">
        <f>LP28/LP20</f>
        <v>1346.324180690877</v>
      </c>
      <c r="LQ29" s="45">
        <f>LQ28/LQ20</f>
        <v>1356.6583363084612</v>
      </c>
      <c r="LR29" s="45">
        <f>LR28/LR20</f>
        <v>1372.6897541719002</v>
      </c>
      <c r="LS29" s="45">
        <f>LS28/LS20</f>
        <v>1369.4951664876476</v>
      </c>
      <c r="LT29" s="45"/>
      <c r="LU29" s="45"/>
      <c r="LV29" s="45">
        <f>LV28/LV20</f>
        <v>1363.1503920171062</v>
      </c>
      <c r="LW29" s="45">
        <f>LW28/LW20</f>
        <v>1361.4522156967432</v>
      </c>
      <c r="LX29" s="45">
        <f>LX28/LX20</f>
        <v>1299.8575498575499</v>
      </c>
      <c r="LY29" s="45">
        <f>LY28/LY20</f>
        <v>1295.704650337238</v>
      </c>
      <c r="LZ29" s="45">
        <f>LZ28/LZ20</f>
        <v>1320.4537398085783</v>
      </c>
      <c r="MA29" s="45"/>
      <c r="MB29" s="45"/>
      <c r="MC29" s="45">
        <f>MC28/MC20</f>
        <v>1310.0052751890275</v>
      </c>
      <c r="MD29" s="45">
        <f>MD28/MD20</f>
        <v>1320.6878213082787</v>
      </c>
      <c r="ME29" s="45">
        <f>ME28/ME20</f>
        <v>1326.878249955173</v>
      </c>
      <c r="MF29" s="45">
        <f>MF28/MF20</f>
        <v>1331.893448524118</v>
      </c>
      <c r="MG29" s="45">
        <f>MG28/MG20</f>
        <v>1323.0824244591454</v>
      </c>
      <c r="MH29" s="45"/>
      <c r="MI29" s="45"/>
      <c r="MJ29" s="45">
        <f>MJ28/MJ20</f>
        <v>1277.5017743080198</v>
      </c>
      <c r="MK29" s="45">
        <f>MK28/MK20</f>
        <v>1266.3832801983706</v>
      </c>
      <c r="ML29" s="45">
        <f>ML28/ML20</f>
        <v>1251.7507002801121</v>
      </c>
      <c r="MM29" s="45">
        <f>MM28/MM20</f>
        <v>1255.2668539325844</v>
      </c>
      <c r="MN29" s="45">
        <f>MN28/MN20</f>
        <v>1255.2668539325844</v>
      </c>
      <c r="MO29" s="45"/>
      <c r="MP29" s="45"/>
      <c r="MQ29" s="45">
        <f>MQ28/MQ20</f>
        <v>1270.815074496056</v>
      </c>
      <c r="MR29" s="45">
        <f>MR28/MR20</f>
        <v>1263.7266864214746</v>
      </c>
      <c r="MS29" s="45">
        <f>MS28/MS20</f>
        <v>1276.4469312816925</v>
      </c>
      <c r="MT29" s="45">
        <f>MT28/MT20</f>
        <v>1282.7271129854157</v>
      </c>
      <c r="MU29" s="45">
        <f>MU28/MU20</f>
        <v>1290.8930150309461</v>
      </c>
      <c r="MV29" s="45"/>
      <c r="MW29" s="45"/>
      <c r="MX29" s="45">
        <f>MX28/MX20</f>
        <v>1288.8418079096045</v>
      </c>
      <c r="MY29" s="45">
        <f>MY28/MY20</f>
        <v>1293.408929836995</v>
      </c>
      <c r="MZ29" s="45">
        <f>MZ28/MZ20</f>
        <v>1289.2970681737902</v>
      </c>
      <c r="NA29" s="45">
        <f>NA28/NA20</f>
        <v>1308.4782219035669</v>
      </c>
      <c r="NB29" s="45">
        <f>NB28/NB20</f>
        <v>1308.2437275985662</v>
      </c>
    </row>
    <row r="30" spans="1:367" x14ac:dyDescent="0.25">
      <c r="A30" s="20" t="s">
        <v>33</v>
      </c>
      <c r="B30" s="102"/>
      <c r="C30" s="102"/>
      <c r="D30" s="102"/>
      <c r="E30" s="102">
        <f>E29/E2</f>
        <v>18.578769129776557</v>
      </c>
      <c r="F30" s="102">
        <f>F29/F2</f>
        <v>17.162525897901325</v>
      </c>
      <c r="G30" s="102">
        <f>G29/G2</f>
        <v>17.661605508509311</v>
      </c>
      <c r="H30" s="102">
        <f>H29/H2</f>
        <v>17.552775517140905</v>
      </c>
      <c r="I30" s="102">
        <f>I29/I2</f>
        <v>25.452969699453995</v>
      </c>
      <c r="J30" s="102"/>
      <c r="K30" s="102"/>
      <c r="L30" s="102">
        <f>L29/L2</f>
        <v>25.00757091950975</v>
      </c>
      <c r="M30" s="102">
        <f>M29/M2</f>
        <v>24.749096090219329</v>
      </c>
      <c r="N30" s="102">
        <f>N29/N2</f>
        <v>25.716292535958033</v>
      </c>
      <c r="O30" s="102">
        <f>O29/O2</f>
        <v>25.55220417521814</v>
      </c>
      <c r="P30" s="102">
        <f>P29/P2</f>
        <v>26.341063121175637</v>
      </c>
      <c r="Q30" s="102"/>
      <c r="R30" s="102"/>
      <c r="S30" s="102">
        <f>S29/S2</f>
        <v>19.943002897718319</v>
      </c>
      <c r="T30" s="102">
        <f>T29/T2</f>
        <v>19.599295114730388</v>
      </c>
      <c r="U30" s="27">
        <f>U29/U2</f>
        <v>25.723603278955768</v>
      </c>
      <c r="V30" s="27">
        <f>V29/V2</f>
        <v>18.777604755562532</v>
      </c>
      <c r="W30" s="27">
        <f>W29/W2</f>
        <v>18.614014135582053</v>
      </c>
      <c r="X30" s="27"/>
      <c r="Y30" s="27"/>
      <c r="Z30" s="27">
        <f>Z29/Z2</f>
        <v>18.195389342926671</v>
      </c>
      <c r="AA30" s="27">
        <f>AA29/AA2</f>
        <v>18.595851062401895</v>
      </c>
      <c r="AB30" s="27">
        <f>AB29/AB2</f>
        <v>18.555104902494961</v>
      </c>
      <c r="AC30" s="27">
        <f>AC29/AC2</f>
        <v>18.724256863501736</v>
      </c>
      <c r="AD30" s="27">
        <f>AD29/AD2</f>
        <v>18.581376661281254</v>
      </c>
      <c r="AE30" s="27"/>
      <c r="AF30" s="27"/>
      <c r="AG30" s="27">
        <f>AG29/AG2</f>
        <v>18.199593807815699</v>
      </c>
      <c r="AH30" s="27">
        <f>AH29/AH2</f>
        <v>18.090863896641828</v>
      </c>
      <c r="AI30" s="27">
        <f>AI29/AI2</f>
        <v>17.291436140869102</v>
      </c>
      <c r="AJ30" s="27">
        <f>AJ29/AJ2</f>
        <v>17.9703703776566</v>
      </c>
      <c r="AK30" s="27">
        <f>AK29/AK2</f>
        <v>17.827550129241292</v>
      </c>
      <c r="AL30" s="27"/>
      <c r="AM30" s="27"/>
      <c r="AN30" s="27">
        <f>AN29/AN2</f>
        <v>17.538064800454112</v>
      </c>
      <c r="AO30" s="27">
        <f>AO29/AO2</f>
        <v>17.210809196177397</v>
      </c>
      <c r="AP30" s="27">
        <f>AP29/AP2</f>
        <v>17.165206137999458</v>
      </c>
      <c r="AQ30" s="27">
        <f>AQ29/AQ2</f>
        <v>17.385945498135431</v>
      </c>
      <c r="AR30" s="27">
        <f>AR29/AR2</f>
        <v>16.720493945685146</v>
      </c>
      <c r="AS30" s="27"/>
      <c r="AT30" s="27"/>
      <c r="AU30" s="102">
        <v>17.538064800454112</v>
      </c>
      <c r="AV30" s="102">
        <v>17.210809196177397</v>
      </c>
      <c r="AW30" s="27">
        <f>AW29/AW2</f>
        <v>16.46993973779076</v>
      </c>
      <c r="AX30" s="27">
        <f>AX29/AX2</f>
        <v>16.439572005260491</v>
      </c>
      <c r="AY30" s="27">
        <f>AY29/AY2</f>
        <v>16.803402586434562</v>
      </c>
      <c r="AZ30" s="27"/>
      <c r="BA30" s="27"/>
      <c r="BB30" s="27">
        <f>BB29/BB2</f>
        <v>16.012810961687542</v>
      </c>
      <c r="BC30" s="27">
        <f>BC29/BC2</f>
        <v>16.376403248465135</v>
      </c>
      <c r="BD30" s="27">
        <f>BD29/BD2</f>
        <v>15.968458835801997</v>
      </c>
      <c r="BE30" s="27">
        <f>BE29/BE2</f>
        <v>16.069118620784668</v>
      </c>
      <c r="BF30" s="27">
        <f>BF29/BF2</f>
        <v>21.474518597295226</v>
      </c>
      <c r="BG30" s="27"/>
      <c r="BH30" s="27"/>
      <c r="BI30" s="27">
        <f>BI29/BI2</f>
        <v>16.311612500455986</v>
      </c>
      <c r="BJ30" s="27">
        <f>BJ29/BJ2</f>
        <v>16.835344188931618</v>
      </c>
      <c r="BK30" s="27">
        <f>BK29/BK2</f>
        <v>16.332264770412333</v>
      </c>
      <c r="BL30" s="27">
        <f>BL29/BL2</f>
        <v>16.052336180759152</v>
      </c>
      <c r="BM30" s="27">
        <f>BM29/BM2</f>
        <v>15.211843478892623</v>
      </c>
      <c r="BN30" s="27"/>
      <c r="BO30" s="27"/>
      <c r="BP30" s="27">
        <f>BP29/BP2</f>
        <v>15.845099938623241</v>
      </c>
      <c r="BQ30" s="27">
        <f>BQ29/BQ2</f>
        <v>17.627233012805476</v>
      </c>
      <c r="BR30" s="27">
        <f>BR29/BR2</f>
        <v>17.177814765059924</v>
      </c>
      <c r="BS30" s="27">
        <f>BS29/BS2</f>
        <v>17.217401619593687</v>
      </c>
      <c r="BT30" s="27">
        <f>BT29/BT2</f>
        <v>17.194470794044204</v>
      </c>
      <c r="BU30" s="27"/>
      <c r="BV30" s="27"/>
      <c r="BW30" s="27">
        <f>BW29/BW2</f>
        <v>17.307938712330692</v>
      </c>
      <c r="BX30" s="27">
        <f>BX29/BX2</f>
        <v>18.064806314513774</v>
      </c>
      <c r="BY30" s="27">
        <f>BY29/BY2</f>
        <v>17.935270827788127</v>
      </c>
      <c r="BZ30" s="27">
        <f>BZ29/BZ2</f>
        <v>19.657326644600325</v>
      </c>
      <c r="CA30" s="27">
        <f>CA29/CA2</f>
        <v>19.694385895848658</v>
      </c>
      <c r="CB30" s="27"/>
      <c r="CC30" s="27"/>
      <c r="CD30" s="27">
        <f>CD29/CD2</f>
        <v>19.592258236711309</v>
      </c>
      <c r="CE30" s="27">
        <f>CE29/CE2</f>
        <v>20.955508312526263</v>
      </c>
      <c r="CF30" s="27">
        <f>CF29/CF2</f>
        <v>19.501626533862552</v>
      </c>
      <c r="CG30" s="27">
        <f>CG29/CG2</f>
        <v>19.828074899340422</v>
      </c>
      <c r="CH30" s="27">
        <f>CH29/CH2</f>
        <v>19.005869229628047</v>
      </c>
      <c r="CI30" s="27"/>
      <c r="CJ30" s="27"/>
      <c r="CK30" s="27">
        <f>CK29/CK2</f>
        <v>18.86470805296657</v>
      </c>
      <c r="CL30" s="27">
        <f>CL29/CL2</f>
        <v>19.195628544364663</v>
      </c>
      <c r="CM30" s="27">
        <f>CM29/CM2</f>
        <v>19.864041546845925</v>
      </c>
      <c r="CN30" s="27">
        <f>CN29/CN2</f>
        <v>19.00083820840554</v>
      </c>
      <c r="CO30" s="27">
        <v>19.00083820840554</v>
      </c>
      <c r="CP30" s="27"/>
      <c r="CQ30" s="27"/>
      <c r="CR30" s="27">
        <f>CR29/CR2</f>
        <v>20.194403846265974</v>
      </c>
      <c r="CS30" s="27">
        <f>CS29/CS2</f>
        <v>20.114725327476226</v>
      </c>
      <c r="CT30" s="27">
        <f>CT29/CT2</f>
        <v>20.124045751762921</v>
      </c>
      <c r="CU30" s="27">
        <f>CU29/CU2</f>
        <v>19.845815027931565</v>
      </c>
      <c r="CV30" s="27">
        <f>CV29/CV2</f>
        <v>18.294924312490817</v>
      </c>
      <c r="CW30" s="27"/>
      <c r="CX30" s="27"/>
      <c r="CY30" s="27">
        <f>CY29/CY2</f>
        <v>18.154485397984303</v>
      </c>
      <c r="CZ30" s="27">
        <f>CZ29/CZ2</f>
        <v>18.166753289049392</v>
      </c>
      <c r="DA30" s="27">
        <f>DA29/DA2</f>
        <v>17.412413055996158</v>
      </c>
      <c r="DB30" s="27">
        <f>DB29/DB2</f>
        <v>17.534369090286646</v>
      </c>
      <c r="DC30" s="27">
        <f>DC29/DC2</f>
        <v>17.550921072337879</v>
      </c>
      <c r="DD30" s="27"/>
      <c r="DE30" s="27"/>
      <c r="DF30" s="27">
        <f>DF29/DF2</f>
        <v>17.659491294272147</v>
      </c>
      <c r="DG30" s="27">
        <f>DG29/DG2</f>
        <v>18.284659569559171</v>
      </c>
      <c r="DH30" s="27">
        <f>DH29/DH2</f>
        <v>18.284659569559171</v>
      </c>
      <c r="DI30" s="27">
        <f>DI29/DI2</f>
        <v>18.918401595377674</v>
      </c>
      <c r="DJ30" s="27">
        <f>DJ29/DJ2</f>
        <v>18.776719893697258</v>
      </c>
      <c r="DK30" s="27"/>
      <c r="DL30" s="27"/>
      <c r="DM30" s="27">
        <f>DM29/DM2</f>
        <v>18.984528725825434</v>
      </c>
      <c r="DN30" s="27">
        <f>DN29/DN2</f>
        <v>18.819632640770852</v>
      </c>
      <c r="DO30" s="27">
        <f>DO29/DO2</f>
        <v>18.719477616459926</v>
      </c>
      <c r="DP30" s="27">
        <f>DP29/DP2</f>
        <v>18.622162619130496</v>
      </c>
      <c r="DQ30" s="27">
        <f>DQ29/DQ2</f>
        <v>18.852008077087415</v>
      </c>
      <c r="DR30" s="27"/>
      <c r="DS30" s="27"/>
      <c r="DT30" s="27">
        <f>DT29/DT2</f>
        <v>19.706349122936086</v>
      </c>
      <c r="DU30" s="27">
        <f>DU29/DU2</f>
        <v>19.179746188025444</v>
      </c>
      <c r="DV30" s="27">
        <f>DV29/DV2</f>
        <v>19.385137888639708</v>
      </c>
      <c r="DW30" s="27">
        <f>DW29/DW2</f>
        <v>19.992890861224598</v>
      </c>
      <c r="DX30" s="27">
        <f>DX29/DX2</f>
        <v>21.459234691318585</v>
      </c>
      <c r="DY30" s="27"/>
      <c r="DZ30" s="27"/>
      <c r="EA30" s="27">
        <f>EA29/EA2</f>
        <v>19.060056668912019</v>
      </c>
      <c r="EB30" s="27">
        <f>EB29/EB2</f>
        <v>19.209247164548085</v>
      </c>
      <c r="EC30" s="27">
        <f>EC29/EC2</f>
        <v>19.014015809740798</v>
      </c>
      <c r="ED30" s="27">
        <f>ED29/ED2</f>
        <v>19.486513426419563</v>
      </c>
      <c r="EE30" s="27">
        <f>EE29/EE2</f>
        <v>19.335254502635244</v>
      </c>
      <c r="EF30" s="27"/>
      <c r="EG30" s="27"/>
      <c r="EH30" s="27">
        <f>EH29/EH2</f>
        <v>19.104725280873577</v>
      </c>
      <c r="EI30" s="27">
        <f>EI29/EI2</f>
        <v>19.375704825862517</v>
      </c>
      <c r="EJ30" s="27">
        <f>EJ29/EJ2</f>
        <v>19.880821857270924</v>
      </c>
      <c r="EK30" s="27">
        <f>EK29/EK2</f>
        <v>20.327163371357617</v>
      </c>
      <c r="EL30" s="27">
        <f>EL29/EL2</f>
        <v>19.5875331086085</v>
      </c>
      <c r="EM30" s="27"/>
      <c r="EN30" s="27"/>
      <c r="EO30" s="27">
        <f>EO29/EO2</f>
        <v>18.946684294002718</v>
      </c>
      <c r="EP30" s="27">
        <f>EP29/EP2</f>
        <v>18.914157411293285</v>
      </c>
      <c r="EQ30" s="27">
        <f>EQ29/EQ2</f>
        <v>18.846644363165332</v>
      </c>
      <c r="ER30" s="27">
        <f>ER29/ER2</f>
        <v>18.600396735520956</v>
      </c>
      <c r="ES30" s="27">
        <f>ES29/ES2</f>
        <v>18.92012812265585</v>
      </c>
      <c r="ET30" s="27"/>
      <c r="EU30" s="27"/>
      <c r="EV30" s="27">
        <f>EV29/EV2</f>
        <v>18.91289565777716</v>
      </c>
      <c r="EW30" s="27">
        <f>EW29/EW2</f>
        <v>18.748238044724197</v>
      </c>
      <c r="EX30" s="27">
        <f>EX29/EX2</f>
        <v>18.646518335807013</v>
      </c>
      <c r="EY30" s="27">
        <v>18.646518335807013</v>
      </c>
      <c r="EZ30" s="27">
        <f>EZ29/EZ2</f>
        <v>18.671329520025466</v>
      </c>
      <c r="FA30" s="27"/>
      <c r="FB30" s="27"/>
      <c r="FC30" s="27">
        <f>FC29/FC2</f>
        <v>18.839017300340561</v>
      </c>
      <c r="FD30" s="27">
        <f>FD29/FD2</f>
        <v>18.586013281565091</v>
      </c>
      <c r="FE30" s="27">
        <f>FE29/FE2</f>
        <v>18.633830058264149</v>
      </c>
      <c r="FF30" s="27">
        <f>FF29/FF2</f>
        <v>18.520094138727924</v>
      </c>
      <c r="FG30" s="27">
        <f>FG29/FG2</f>
        <v>18.278222610580695</v>
      </c>
      <c r="FH30" s="27"/>
      <c r="FI30" s="27"/>
      <c r="FJ30" s="27">
        <f>FJ29/FJ2</f>
        <v>18.40458949835206</v>
      </c>
      <c r="FK30" s="27">
        <f>FK29/FK2</f>
        <v>15.941033903045518</v>
      </c>
      <c r="FL30" s="27">
        <f>FL29/FL2</f>
        <v>16.066932699367872</v>
      </c>
      <c r="FM30" s="27">
        <f>FM29/FM2</f>
        <v>15.219136542288272</v>
      </c>
      <c r="FN30" s="27">
        <f>FN29/FN2</f>
        <v>15.682931786736678</v>
      </c>
      <c r="FO30" s="27"/>
      <c r="FP30" s="27"/>
      <c r="FQ30" s="27">
        <f>FQ29/FQ2</f>
        <v>16.698858354717149</v>
      </c>
      <c r="FR30" s="27">
        <f>FR29/FR2</f>
        <v>16.785597062488538</v>
      </c>
      <c r="FS30" s="27">
        <f>FS29/FS2</f>
        <v>16.923396835201224</v>
      </c>
      <c r="FT30" s="27">
        <f>FT29/FT2</f>
        <v>16.139653191132229</v>
      </c>
      <c r="FU30" s="27">
        <f>FU29/FU2</f>
        <v>16.008298702047139</v>
      </c>
      <c r="FV30" s="27"/>
      <c r="FW30" s="27"/>
      <c r="FX30" s="27">
        <f>FX29/FX2</f>
        <v>16.257142033447661</v>
      </c>
      <c r="FY30" s="27">
        <f>FY29/FY2</f>
        <v>16.213499359566772</v>
      </c>
      <c r="FZ30" s="27">
        <f>FZ29/FZ2</f>
        <v>16.312362160539742</v>
      </c>
      <c r="GA30" s="27">
        <f>GA29/GA2</f>
        <v>16.302584520883073</v>
      </c>
      <c r="GB30" s="27">
        <f>GB29/GB2</f>
        <v>15.924442748273746</v>
      </c>
      <c r="GC30" s="27"/>
      <c r="GD30" s="27"/>
      <c r="GE30" s="27">
        <f>GE29/GE2</f>
        <v>15.780102971639144</v>
      </c>
      <c r="GF30" s="27">
        <f>GF29/GF2</f>
        <v>15.849387377007455</v>
      </c>
      <c r="GG30" s="27">
        <f>GG29/GG2</f>
        <v>15.784213142355048</v>
      </c>
      <c r="GH30" s="27">
        <f>GH29/GH2</f>
        <v>15.652144282184452</v>
      </c>
      <c r="GI30" s="27">
        <f>GI29/GI2</f>
        <v>15.543831266277582</v>
      </c>
      <c r="GJ30" s="27"/>
      <c r="GK30" s="27"/>
      <c r="GL30" s="27">
        <f>GL29/GL2</f>
        <v>15.666367808411174</v>
      </c>
      <c r="GM30" s="27">
        <f>GM29/GM2</f>
        <v>15.530745029031509</v>
      </c>
      <c r="GN30" s="27">
        <f>GN29/GN2</f>
        <v>16.85182610600641</v>
      </c>
      <c r="GO30" s="27">
        <f>GO29/GO2</f>
        <v>17.35075210038195</v>
      </c>
      <c r="GP30" s="27">
        <f>GP29/GP2</f>
        <v>17.339461792709347</v>
      </c>
      <c r="GQ30" s="27"/>
      <c r="GR30" s="27"/>
      <c r="GS30" s="27">
        <f>GS29/GS2</f>
        <v>18.507190912946829</v>
      </c>
      <c r="GT30" s="27">
        <f>GT29/GT2</f>
        <v>18.141332524852938</v>
      </c>
      <c r="GU30" s="27">
        <f>GU29/GU2</f>
        <v>17.40140449899603</v>
      </c>
      <c r="GV30" s="27">
        <f>GV29/GV2</f>
        <v>17.080126105048301</v>
      </c>
      <c r="GW30" s="27">
        <f>GW29/GW2</f>
        <v>17.097497500633001</v>
      </c>
      <c r="GX30" s="27"/>
      <c r="GY30" s="27"/>
      <c r="GZ30" s="27">
        <f>GZ29/GZ2</f>
        <v>16.953232373167822</v>
      </c>
      <c r="HA30" s="27">
        <f>HA29/HA2</f>
        <v>16.893486412231006</v>
      </c>
      <c r="HB30" s="27">
        <f>HB29/HB2</f>
        <v>17.010314847163752</v>
      </c>
      <c r="HC30" s="27">
        <f>HC29/HC2</f>
        <v>17.124114021691586</v>
      </c>
      <c r="HD30" s="27">
        <f>HD29/HD2</f>
        <v>16.946887299733049</v>
      </c>
      <c r="HE30" s="27"/>
      <c r="HF30" s="27"/>
      <c r="HG30" s="27">
        <f>HG29/HG2</f>
        <v>16.894103535513519</v>
      </c>
      <c r="HH30" s="27">
        <f>HH29/HH2</f>
        <v>17.374691487343615</v>
      </c>
      <c r="HI30" s="27">
        <f>HI29/HI2</f>
        <v>18.006267490633466</v>
      </c>
      <c r="HJ30" s="27">
        <f>HJ29/HJ2</f>
        <v>17.990595497978866</v>
      </c>
      <c r="HK30" s="27">
        <f>HK29/HK2</f>
        <v>17.811904667447692</v>
      </c>
      <c r="HL30" s="27"/>
      <c r="HM30" s="27"/>
      <c r="HN30" s="27">
        <f>HN29/HN2</f>
        <v>18.115739151801328</v>
      </c>
      <c r="HO30" s="27">
        <f>HO29/HO2</f>
        <v>18.033446918738822</v>
      </c>
      <c r="HP30" s="27">
        <f>HP29/HP2</f>
        <v>18.166676104367045</v>
      </c>
      <c r="HQ30" s="27">
        <f>HQ29/HQ2</f>
        <v>18.081591372911124</v>
      </c>
      <c r="HR30" s="27">
        <f>HR29/HR2</f>
        <v>18.269508871754706</v>
      </c>
      <c r="HS30" s="27"/>
      <c r="HT30" s="27"/>
      <c r="HU30" s="27">
        <f>HU29/HU2</f>
        <v>18.640939538441565</v>
      </c>
      <c r="HV30" s="27">
        <f>HV29/HV2</f>
        <v>18.738424028545676</v>
      </c>
      <c r="HW30" s="27">
        <f>HW29/HW2</f>
        <v>19.073658210991479</v>
      </c>
      <c r="HX30" s="27">
        <f>HX29/HX2</f>
        <v>19.443034824419673</v>
      </c>
      <c r="HY30" s="27">
        <f>HY29/HY2</f>
        <v>19.789000628894438</v>
      </c>
      <c r="HZ30" s="27"/>
      <c r="IA30" s="27"/>
      <c r="IB30" s="27">
        <f>IB29/IB2</f>
        <v>18.967619563744748</v>
      </c>
      <c r="IC30" s="27">
        <f>IC29/IC2</f>
        <v>18.851089798759308</v>
      </c>
      <c r="ID30" s="27">
        <f>ID29/ID2</f>
        <v>18.732704815907972</v>
      </c>
      <c r="IE30" s="27">
        <f>IE29/IE2</f>
        <v>19.057898809214169</v>
      </c>
      <c r="IF30" s="27">
        <f>IF29/IF2</f>
        <v>18.709123200893824</v>
      </c>
      <c r="IG30" s="27"/>
      <c r="IH30" s="27"/>
      <c r="II30" s="27">
        <f>II29/II2</f>
        <v>18.921847670880588</v>
      </c>
      <c r="IJ30" s="27">
        <f>IJ29/IJ2</f>
        <v>18.458543834250531</v>
      </c>
      <c r="IK30" s="27">
        <f>IK29/IK2</f>
        <v>18.417647440925982</v>
      </c>
      <c r="IL30" s="27">
        <f>IL29/IL2</f>
        <v>17.999694481656313</v>
      </c>
      <c r="IM30" s="27">
        <f>IM29/IM2</f>
        <v>18.121325901173535</v>
      </c>
      <c r="IN30" s="27"/>
      <c r="IO30" s="27"/>
      <c r="IP30" s="27">
        <f>IP29/IP2</f>
        <v>18.321969984679331</v>
      </c>
      <c r="IQ30" s="27">
        <f>IQ29/IQ2</f>
        <v>18.321969984679331</v>
      </c>
      <c r="IR30" s="27">
        <f>IR29/IR2</f>
        <v>17.833951227290566</v>
      </c>
      <c r="IS30" s="27">
        <f>IS29/IS2</f>
        <v>18.150556347673511</v>
      </c>
      <c r="IT30" s="27">
        <f>IT29/IT2</f>
        <v>18.013147230787599</v>
      </c>
      <c r="IU30" s="27"/>
      <c r="IV30" s="27"/>
      <c r="IW30" s="27">
        <f>IW29/IW2</f>
        <v>17.858298339324246</v>
      </c>
      <c r="IX30" s="27">
        <f>IX29/IX2</f>
        <v>17.939150401836972</v>
      </c>
      <c r="IY30" s="27">
        <f>IY29/IY2</f>
        <v>17.51983560495438</v>
      </c>
      <c r="IZ30" s="27">
        <f>IZ29/IZ2</f>
        <v>17.719228197670983</v>
      </c>
      <c r="JA30" s="27">
        <f>JA29/JA2</f>
        <v>17.88697986184858</v>
      </c>
      <c r="JB30" s="27"/>
      <c r="JC30" s="27"/>
      <c r="JD30" s="27">
        <f>JD29/JD2</f>
        <v>17.893691674179479</v>
      </c>
      <c r="JE30" s="27">
        <f>JE29/JE2</f>
        <v>17.875006997875079</v>
      </c>
      <c r="JF30" s="27">
        <f>JF29/JF2</f>
        <v>17.534930514293542</v>
      </c>
      <c r="JG30" s="27">
        <f>JG29/JG2</f>
        <v>17.01354718994952</v>
      </c>
      <c r="JH30" s="27">
        <f>JH29/JH2</f>
        <v>16.656661166085918</v>
      </c>
      <c r="JI30" s="27"/>
      <c r="JJ30" s="27"/>
      <c r="JK30" s="27">
        <f>JK29/JK2</f>
        <v>16.341918072086319</v>
      </c>
      <c r="JL30" s="27">
        <f>JL29/JL2</f>
        <v>16.212123548688659</v>
      </c>
      <c r="JM30" s="27">
        <f>JM29/JM2</f>
        <v>16.42973452882228</v>
      </c>
      <c r="JN30" s="27">
        <f>JN29/JN2</f>
        <v>16.317008398077792</v>
      </c>
      <c r="JO30" s="27">
        <f>JO29/JO2</f>
        <v>16.261774835282026</v>
      </c>
      <c r="JP30" s="27"/>
      <c r="JQ30" s="27"/>
      <c r="JR30" s="27">
        <f>JR29/JR2</f>
        <v>15.69520455043741</v>
      </c>
      <c r="JS30" s="27">
        <f>JS29/JS2</f>
        <v>15.526446986783322</v>
      </c>
      <c r="JT30" s="27">
        <f>JT29/JT2</f>
        <v>16.341985296726307</v>
      </c>
      <c r="JU30" s="27">
        <f>JU29/JU2</f>
        <v>16.15588561734787</v>
      </c>
      <c r="JV30" s="27">
        <f>JV29/JV2</f>
        <v>16.085943573872566</v>
      </c>
      <c r="JW30" s="27"/>
      <c r="JX30" s="27"/>
      <c r="JY30" s="27">
        <f>JY29/JY2</f>
        <v>15.86745070711229</v>
      </c>
      <c r="JZ30" s="27">
        <f>JZ29/JZ2</f>
        <v>15.86745070711229</v>
      </c>
      <c r="KA30" s="27">
        <f>KA29/KA2</f>
        <v>15.821431607223815</v>
      </c>
      <c r="KB30" s="27">
        <f>KB29/KB2</f>
        <v>16.131407091756309</v>
      </c>
      <c r="KC30" s="27">
        <f>KC29/KC2</f>
        <v>16.105605732263957</v>
      </c>
      <c r="KD30" s="27"/>
      <c r="KE30" s="27"/>
      <c r="KF30" s="27">
        <f>KF29/KF2</f>
        <v>15.684849855270732</v>
      </c>
      <c r="KG30" s="27">
        <f>KG29/KG2</f>
        <v>15.580397111454136</v>
      </c>
      <c r="KH30" s="27">
        <f>KH29/KH2</f>
        <v>15.726510035379617</v>
      </c>
      <c r="KI30" s="27">
        <f>KI29/KI2</f>
        <v>15.920577434315993</v>
      </c>
      <c r="KJ30" s="27">
        <f>KJ29/KJ2</f>
        <v>15.56177070836566</v>
      </c>
      <c r="KK30" s="27"/>
      <c r="KL30" s="27"/>
      <c r="KM30" s="27">
        <f>KM29/KM2</f>
        <v>15.791025557089201</v>
      </c>
      <c r="KN30" s="27">
        <f>KN29/KN2</f>
        <v>15.76679744810234</v>
      </c>
      <c r="KO30" s="27">
        <f>KO29/KO2</f>
        <v>16.143686285012365</v>
      </c>
      <c r="KP30" s="27">
        <f>KP29/KP2</f>
        <v>16.208025053853298</v>
      </c>
      <c r="KQ30" s="27">
        <f>KQ29/KQ2</f>
        <v>15.975332740956786</v>
      </c>
      <c r="KR30" s="27"/>
      <c r="KS30" s="27"/>
      <c r="KT30" s="27">
        <f>KT29/KT2</f>
        <v>16.035220508022441</v>
      </c>
      <c r="KU30" s="27">
        <f>KU29/KU2</f>
        <v>16.035220508022441</v>
      </c>
      <c r="KV30" s="27">
        <f>KV29/KV2</f>
        <v>16.572357362586462</v>
      </c>
      <c r="KW30" s="27">
        <f>KW29/KW2</f>
        <v>17.090573558760809</v>
      </c>
      <c r="KX30" s="27">
        <f>KX29/KX2</f>
        <v>16.7831570338974</v>
      </c>
      <c r="KY30" s="27"/>
      <c r="KZ30" s="27"/>
      <c r="LA30" s="27">
        <f>LA29/LA2</f>
        <v>16.593480796364673</v>
      </c>
      <c r="LB30" s="27">
        <f>LB29/LB2</f>
        <v>15.884392532532416</v>
      </c>
      <c r="LC30" s="27">
        <f>LC29/LC2</f>
        <v>16.404091545755062</v>
      </c>
      <c r="LD30" s="27">
        <f>LD29/LD2</f>
        <v>16.454116173931482</v>
      </c>
      <c r="LE30" s="27">
        <f>LE29/LE2</f>
        <v>16.618785475352176</v>
      </c>
      <c r="LF30" s="27"/>
      <c r="LG30" s="27"/>
      <c r="LH30" s="27">
        <f>LH29/LH2</f>
        <v>16.643090828881029</v>
      </c>
      <c r="LI30" s="27">
        <f>LI29/LI2</f>
        <v>16.390933147120517</v>
      </c>
      <c r="LJ30" s="27">
        <f>LJ29/LJ2</f>
        <v>16.762571226203832</v>
      </c>
      <c r="LK30" s="27">
        <f>LK29/LK2</f>
        <v>16.86800854337999</v>
      </c>
      <c r="LL30" s="27">
        <f>LL29/LL2</f>
        <v>17.33297432790366</v>
      </c>
      <c r="LM30" s="27"/>
      <c r="LN30" s="27"/>
      <c r="LO30" s="27">
        <f>LO29/LO2</f>
        <v>17.076932479606548</v>
      </c>
      <c r="LP30" s="27">
        <f>LP29/LP2</f>
        <v>16.356751071447903</v>
      </c>
      <c r="LQ30" s="27">
        <f>LQ29/LQ2</f>
        <v>16.49432627730652</v>
      </c>
      <c r="LR30" s="27">
        <f>LR29/LR2</f>
        <v>16.68923713278906</v>
      </c>
      <c r="LS30" s="27">
        <f>LS29/LS2</f>
        <v>18.832441783383494</v>
      </c>
      <c r="LT30" s="27"/>
      <c r="LU30" s="27"/>
      <c r="LV30" s="27">
        <f>LV29/LV2</f>
        <v>18.561416013304825</v>
      </c>
      <c r="LW30" s="27">
        <f>LW29/LW2</f>
        <v>18.538292697395743</v>
      </c>
      <c r="LX30" s="27">
        <f>LX29/LX2</f>
        <v>17.699585373877312</v>
      </c>
      <c r="LY30" s="27">
        <f>LY29/LY2</f>
        <v>18.597741500462725</v>
      </c>
      <c r="LZ30" s="27">
        <f>LZ29/LZ2</f>
        <v>18.896018028170843</v>
      </c>
      <c r="MA30" s="27"/>
      <c r="MB30" s="27"/>
      <c r="MC30" s="27">
        <f>MC29/MC2</f>
        <v>17.92563321276721</v>
      </c>
      <c r="MD30" s="27">
        <f>MD29/MD2</f>
        <v>17.506466348200938</v>
      </c>
      <c r="ME30" s="27">
        <f>ME29/ME2</f>
        <v>17.500372592392154</v>
      </c>
      <c r="MF30" s="27">
        <f>MF29/MF2</f>
        <v>17.896982646118222</v>
      </c>
      <c r="MG30" s="27">
        <f>MG29/MG2</f>
        <v>17.605887218351899</v>
      </c>
      <c r="MH30" s="27"/>
      <c r="MI30" s="27"/>
      <c r="MJ30" s="27">
        <f>MJ29/MJ2</f>
        <v>17.173030976045432</v>
      </c>
      <c r="MK30" s="27">
        <f>MK29/MK2</f>
        <v>17.182948170941255</v>
      </c>
      <c r="ML30" s="27">
        <f>ML29/ML2</f>
        <v>16.943025179752468</v>
      </c>
      <c r="MM30" s="27">
        <f>MM29/MM2</f>
        <v>16.732429404593233</v>
      </c>
      <c r="MN30" s="27">
        <f>MN29/MN2</f>
        <v>17.073814661759855</v>
      </c>
      <c r="MO30" s="27"/>
      <c r="MP30" s="27"/>
      <c r="MQ30" s="27">
        <f>MQ29/MQ2</f>
        <v>17.768667148994073</v>
      </c>
      <c r="MR30" s="27">
        <f>MR29/MR2</f>
        <v>17.082004412293518</v>
      </c>
      <c r="MS30" s="27">
        <f>MS29/MS2</f>
        <v>16.953737963629862</v>
      </c>
      <c r="MT30" s="27">
        <f>MT29/MT2</f>
        <v>16.691309212562341</v>
      </c>
      <c r="MU30" s="27">
        <f>MU29/MU2</f>
        <v>16.797566883942046</v>
      </c>
      <c r="MV30" s="27"/>
      <c r="MW30" s="27"/>
      <c r="MX30" s="27">
        <f>MX29/MX2</f>
        <v>16.397478472132374</v>
      </c>
      <c r="MY30" s="27">
        <f>MY29/MY2</f>
        <v>16.384709017443566</v>
      </c>
      <c r="MZ30" s="27">
        <f>MZ29/MZ2</f>
        <v>16.272839431702515</v>
      </c>
      <c r="NA30" s="27">
        <f>NA29/NA2</f>
        <v>16.514934013676218</v>
      </c>
      <c r="NB30" s="27">
        <f>NB29/NB2</f>
        <v>16.511974348082369</v>
      </c>
    </row>
    <row r="31" spans="1:367" x14ac:dyDescent="0.25">
      <c r="A31" s="42" t="s">
        <v>103</v>
      </c>
      <c r="B31" s="103"/>
      <c r="C31" s="103"/>
      <c r="D31" s="103"/>
      <c r="E31" s="103"/>
      <c r="F31" s="103">
        <f>(F29/E29)-1</f>
        <v>-3.0845192054969384E-2</v>
      </c>
      <c r="G31" s="103">
        <f>(G29/F29)-1</f>
        <v>4.2519085522096933E-2</v>
      </c>
      <c r="H31" s="103">
        <f>(H29/G29)-1</f>
        <v>-4.6977353546696632E-3</v>
      </c>
      <c r="I31" s="103">
        <f>(I29/H29)-1</f>
        <v>0.49301415797317438</v>
      </c>
      <c r="J31" s="103"/>
      <c r="K31" s="103"/>
      <c r="L31" s="103">
        <f>(L29/I29)-1</f>
        <v>-2.3289665211062571E-2</v>
      </c>
      <c r="M31" s="103">
        <f>(M29/L29)-1</f>
        <v>6.0222218154528662E-3</v>
      </c>
      <c r="N31" s="103">
        <f>(N29/M29)-1</f>
        <v>2.95303784109755E-2</v>
      </c>
      <c r="O31" s="103">
        <f>(O29/N29)-1</f>
        <v>0</v>
      </c>
      <c r="P31" s="103">
        <f>(P29/O29)-1</f>
        <v>6.754192911891721E-3</v>
      </c>
      <c r="Q31" s="103"/>
      <c r="R31" s="103"/>
      <c r="S31" s="103">
        <f>(S29/P29)-1</f>
        <v>-0.24289301437928301</v>
      </c>
      <c r="T31" s="103">
        <f>(T29/S29)-1</f>
        <v>-2.9656774778518136E-3</v>
      </c>
      <c r="U31" s="46">
        <f>(U29/T29)-1</f>
        <v>0.3167021594803201</v>
      </c>
      <c r="V31" s="46">
        <f>(V29/U29)-1</f>
        <v>-0.26976398786251388</v>
      </c>
      <c r="W31" s="46">
        <f>(W29/V29)-1</f>
        <v>-2.0904318998066329E-2</v>
      </c>
      <c r="X31" s="46"/>
      <c r="Y31" s="46"/>
      <c r="Z31" s="46">
        <f>(Z29/W29)-1</f>
        <v>-1.4198304192312494E-2</v>
      </c>
      <c r="AA31" s="46">
        <f>(AA29/Z29)-1</f>
        <v>2.2557647320931462E-2</v>
      </c>
      <c r="AB31" s="46">
        <f>(AB29/AA29)-1</f>
        <v>-3.9758122676925023E-3</v>
      </c>
      <c r="AC31" s="46">
        <f>(AC29/AB29)-1</f>
        <v>-3.7215129239668299E-3</v>
      </c>
      <c r="AD31" s="46">
        <f>(AD29/AC29)-1</f>
        <v>-8.7113740959894326E-3</v>
      </c>
      <c r="AE31" s="46"/>
      <c r="AF31" s="46"/>
      <c r="AG31" s="46">
        <f>(AG29/AD29)-1</f>
        <v>2.7653145316361982E-3</v>
      </c>
      <c r="AH31" s="46">
        <f>(AH29/AG29)-1</f>
        <v>1.3606326106326172E-2</v>
      </c>
      <c r="AI31" s="46">
        <f>(AI29/AH29)-1</f>
        <v>-2.7555222763010034E-2</v>
      </c>
      <c r="AJ31" s="46">
        <f>(AJ29/AI29)-1</f>
        <v>4.6019585170344657E-2</v>
      </c>
      <c r="AK31" s="46">
        <f>(AK29/AJ29)-1</f>
        <v>4.8254486739307545E-4</v>
      </c>
      <c r="AL31" s="46"/>
      <c r="AM31" s="46"/>
      <c r="AN31" s="46">
        <f>(AN29/AK29)-1</f>
        <v>3.9875528723423148E-3</v>
      </c>
      <c r="AO31" s="46">
        <f>(AO29/AN29)-1</f>
        <v>-1.0071385092136564E-2</v>
      </c>
      <c r="AP31" s="46">
        <f>(AP29/AO29)-1</f>
        <v>3.5541733770201311E-3</v>
      </c>
      <c r="AQ31" s="46">
        <f>(AQ29/AP29)-1</f>
        <v>7.4221882401208639E-3</v>
      </c>
      <c r="AR31" s="46">
        <f>(AR29/AQ29)-1</f>
        <v>-3.5122277558908843E-3</v>
      </c>
      <c r="AS31" s="46"/>
      <c r="AT31" s="46"/>
      <c r="AU31" s="103">
        <v>3.9875528723423148E-3</v>
      </c>
      <c r="AV31" s="103">
        <v>-1.0071385092136564E-2</v>
      </c>
      <c r="AW31" s="46">
        <f>(AW29/AV29)-1</f>
        <v>1.4408423385980917E-3</v>
      </c>
      <c r="AX31" s="46">
        <f>(AX29/AW29)-1</f>
        <v>-1.8438277864849528E-3</v>
      </c>
      <c r="AY31" s="46">
        <f>(AY29/AX29)-1</f>
        <v>5.8233341369782199E-3</v>
      </c>
      <c r="AZ31" s="46"/>
      <c r="BA31" s="46"/>
      <c r="BB31" s="46">
        <f>(BB29/AY29)-1</f>
        <v>-1.1755033010479976E-2</v>
      </c>
      <c r="BC31" s="46">
        <f>(BC29/BB29)-1</f>
        <v>2.4744225461974967E-2</v>
      </c>
      <c r="BD31" s="46">
        <f>(BD29/BC29)-1</f>
        <v>0</v>
      </c>
      <c r="BE31" s="46">
        <f>(BE29/BD29)-1</f>
        <v>-7.656098320420468E-3</v>
      </c>
      <c r="BF31" s="46">
        <f>(BF29/BE29)-1</f>
        <v>0.30222174623099129</v>
      </c>
      <c r="BG31" s="46"/>
      <c r="BH31" s="46"/>
      <c r="BI31" s="46">
        <f>(BI29/BF29)-1</f>
        <v>-0.2490275803670805</v>
      </c>
      <c r="BJ31" s="46">
        <f>(BJ29/BI29)-1</f>
        <v>1.6064775972176593E-2</v>
      </c>
      <c r="BK31" s="46">
        <f>(BK29/BJ29)-1</f>
        <v>-8.6851880918746849E-3</v>
      </c>
      <c r="BL31" s="46">
        <f>(BL29/BK29)-1</f>
        <v>2.3819301848049479E-2</v>
      </c>
      <c r="BM31" s="46">
        <f>(BM29/BL29)-1</f>
        <v>-1.5158176095099174E-2</v>
      </c>
      <c r="BN31" s="46"/>
      <c r="BO31" s="46"/>
      <c r="BP31" s="46">
        <f>(BP29/BM29)-1</f>
        <v>2.4809324497151675E-2</v>
      </c>
      <c r="BQ31" s="46">
        <f>(BQ29/BP29)-1</f>
        <v>0.10073449879406504</v>
      </c>
      <c r="BR31" s="46">
        <f>(BR29/BQ29)-1</f>
        <v>-2.0011204100104485E-2</v>
      </c>
      <c r="BS31" s="46">
        <f>(BS29/BR29)-1</f>
        <v>2.7841895252921134E-2</v>
      </c>
      <c r="BT31" s="46">
        <f>(BT29/BS29)-1</f>
        <v>-7.2122644023235871E-3</v>
      </c>
      <c r="BU31" s="46"/>
      <c r="BV31" s="46"/>
      <c r="BW31" s="46">
        <f>(BW29/BT29)-1</f>
        <v>1.6548042704627175E-3</v>
      </c>
      <c r="BX31" s="46">
        <f>(BX29/BW29)-1</f>
        <v>3.6304600542497845E-2</v>
      </c>
      <c r="BY31" s="46">
        <f>(BY29/BX29)-1</f>
        <v>-1.2832296380090424E-2</v>
      </c>
      <c r="BZ31" s="46">
        <f>(BZ29/BY29)-1</f>
        <v>1.9938705606634466E-2</v>
      </c>
      <c r="CA31" s="46">
        <f>(CA29/BZ29)-1</f>
        <v>2.1675981181522364E-2</v>
      </c>
      <c r="CB31" s="46"/>
      <c r="CC31" s="46"/>
      <c r="CD31" s="46">
        <f>(CD29/CA29)-1</f>
        <v>-3.7981551817688475E-3</v>
      </c>
      <c r="CE31" s="46">
        <f>(CE29/CD29)-1</f>
        <v>6.1874431301183197E-3</v>
      </c>
      <c r="CF31" s="46">
        <f>(CF29/CE29)-1</f>
        <v>-1.3961684438821731E-2</v>
      </c>
      <c r="CG31" s="46">
        <f>(CG29/CF29)-1</f>
        <v>-2.2092612230470099E-2</v>
      </c>
      <c r="CH31" s="46">
        <f>(CH29/CG29)-1</f>
        <v>-9.2828962636337664E-4</v>
      </c>
      <c r="CI31" s="46"/>
      <c r="CJ31" s="46"/>
      <c r="CK31" s="46">
        <f>(CK29/CH29)-1</f>
        <v>-1.124704025256662E-3</v>
      </c>
      <c r="CL31" s="46">
        <f>(CL29/CK29)-1</f>
        <v>4.8577376821650198E-3</v>
      </c>
      <c r="CM31" s="46">
        <f>(CM29/CL29)-1</f>
        <v>1.1760575741618373E-2</v>
      </c>
      <c r="CN31" s="46">
        <f>(CN29/CM29)-1</f>
        <v>-1.1133703630231917E-2</v>
      </c>
      <c r="CO31" s="46">
        <v>-1.1133703630231917E-2</v>
      </c>
      <c r="CP31" s="46"/>
      <c r="CQ31" s="46"/>
      <c r="CR31" s="46">
        <f>(CR29/CO29)-1</f>
        <v>1.8409555796863319E-2</v>
      </c>
      <c r="CS31" s="46">
        <f>(CS29/CR29)-1</f>
        <v>5.5101315321719468E-3</v>
      </c>
      <c r="CT31" s="46">
        <f>(CT29/CS29)-1</f>
        <v>7.1607590404583199E-3</v>
      </c>
      <c r="CU31" s="46">
        <f>(CU29/CT29)-1</f>
        <v>-1.3201228514249874E-2</v>
      </c>
      <c r="CV31" s="46">
        <f>(CV29/CU29)-1</f>
        <v>-8.179356079781297E-2</v>
      </c>
      <c r="CW31" s="46"/>
      <c r="CX31" s="46"/>
      <c r="CY31" s="46">
        <f>(CY29/CV29)-1</f>
        <v>-2.474372569812755E-3</v>
      </c>
      <c r="CZ31" s="46">
        <f>(CZ29/CY29)-1</f>
        <v>6.8429992720213662E-3</v>
      </c>
      <c r="DA31" s="46">
        <f>(DA29/CZ29)-1</f>
        <v>2.283506060073881E-3</v>
      </c>
      <c r="DB31" s="46">
        <f>(DB29/DA29)-1</f>
        <v>1.2448870709585558E-2</v>
      </c>
      <c r="DC31" s="46">
        <f>(DC29/DB29)-1</f>
        <v>-1.5980113636363535E-3</v>
      </c>
      <c r="DD31" s="46"/>
      <c r="DE31" s="46"/>
      <c r="DF31" s="46">
        <f>(DF29/DC29)-1</f>
        <v>1.0405453893075123E-2</v>
      </c>
      <c r="DG31" s="46">
        <f>(DG29/DF29)-1</f>
        <v>8.6862106406080386E-3</v>
      </c>
      <c r="DH31" s="46">
        <f>(DH29/DG29)-1</f>
        <v>0</v>
      </c>
      <c r="DI31" s="46">
        <f>(DI29/DH29)-1</f>
        <v>3.5926955140928696E-2</v>
      </c>
      <c r="DJ31" s="46">
        <f>(DJ29/DI29)-1</f>
        <v>3.2858707557503752E-3</v>
      </c>
      <c r="DK31" s="46"/>
      <c r="DL31" s="46"/>
      <c r="DM31" s="46">
        <f>(DM29/DJ29)-1</f>
        <v>4.0322580645160144E-3</v>
      </c>
      <c r="DN31" s="46">
        <f>(DN29/DM29)-1</f>
        <v>2.9411764705882248E-3</v>
      </c>
      <c r="DO31" s="46">
        <f>(DO29/DN29)-1</f>
        <v>7.4074074074073071E-3</v>
      </c>
      <c r="DP31" s="46">
        <f>(DP29/DO29)-1</f>
        <v>6.3361908311592163E-3</v>
      </c>
      <c r="DQ31" s="46">
        <f>(DQ29/DP29)-1</f>
        <v>-6.8480473810844655E-3</v>
      </c>
      <c r="DR31" s="46"/>
      <c r="DS31" s="46"/>
      <c r="DT31" s="46">
        <f>(DT29/DQ29)-1</f>
        <v>5.7844587539157333E-2</v>
      </c>
      <c r="DU31" s="46">
        <f>(DU29/DT29)-1</f>
        <v>-7.706422018348591E-3</v>
      </c>
      <c r="DV31" s="46">
        <f>(DV29/DU29)-1</f>
        <v>1.1882658744894137E-2</v>
      </c>
      <c r="DW31" s="46">
        <f>(DW29/DV29)-1</f>
        <v>1.8339950841369079E-2</v>
      </c>
      <c r="DX31" s="46">
        <f>(DX29/DW29)-1</f>
        <v>7.6338345144608022E-2</v>
      </c>
      <c r="DY31" s="46"/>
      <c r="DZ31" s="46"/>
      <c r="EA31" s="46">
        <f>(EA29/DX29)-1</f>
        <v>-0.11128133112047323</v>
      </c>
      <c r="EB31" s="46">
        <f>(EB29/EA29)-1</f>
        <v>1.1220251459362451E-2</v>
      </c>
      <c r="EC31" s="46">
        <f>(EC29/EB29)-1</f>
        <v>9.5510983763125168E-4</v>
      </c>
      <c r="ED31" s="46">
        <f>(ED29/EC29)-1</f>
        <v>-8.7104715016095291E-3</v>
      </c>
      <c r="EE31" s="46">
        <f>(EE29/ED29)-1</f>
        <v>1.680323246992943E-2</v>
      </c>
      <c r="EF31" s="46"/>
      <c r="EG31" s="46"/>
      <c r="EH31" s="46">
        <f>(EH29/EE29)-1</f>
        <v>-1.1374407582939172E-3</v>
      </c>
      <c r="EI31" s="46">
        <f>(EI29/EH29)-1</f>
        <v>3.2331685051352199E-3</v>
      </c>
      <c r="EJ31" s="46">
        <f>(EJ29/EI29)-1</f>
        <v>-4.5437334343051416E-3</v>
      </c>
      <c r="EK31" s="46">
        <f>(EK29/EJ29)-1</f>
        <v>-1.3235016071090344E-3</v>
      </c>
      <c r="EL31" s="46">
        <f>(EL29/EK29)-1</f>
        <v>-1.6702592013795425E-2</v>
      </c>
      <c r="EM31" s="46"/>
      <c r="EN31" s="46"/>
      <c r="EO31" s="46">
        <f>(EO29/EL29)-1</f>
        <v>-3.3085194375517268E-3</v>
      </c>
      <c r="EP31" s="46">
        <f>(EP29/EO29)-1</f>
        <v>1.0538200978547074E-3</v>
      </c>
      <c r="EQ31" s="46">
        <f>(EQ29/EP29)-1</f>
        <v>-3.7622272385240407E-4</v>
      </c>
      <c r="ER31" s="46">
        <f>(ER29/EQ29)-1</f>
        <v>-8.3368310166326287E-3</v>
      </c>
      <c r="ES31" s="46">
        <f>(ES29/ER29)-1</f>
        <v>1.0133843212237093E-2</v>
      </c>
      <c r="ET31" s="46"/>
      <c r="EU31" s="46"/>
      <c r="EV31" s="46">
        <f>(EV29/ES29)-1</f>
        <v>-3.8226299694188448E-4</v>
      </c>
      <c r="EW31" s="46">
        <f>(EW29/EV29)-1</f>
        <v>1.3364323067983852E-2</v>
      </c>
      <c r="EX31" s="46">
        <f>(EX29/EW29)-1</f>
        <v>9.5815408682049519E-3</v>
      </c>
      <c r="EY31" s="46">
        <v>9.5815408682049519E-3</v>
      </c>
      <c r="EZ31" s="46">
        <f>(EZ29/EY29)-1</f>
        <v>9.474930911962165E-3</v>
      </c>
      <c r="FA31" s="46"/>
      <c r="FB31" s="46"/>
      <c r="FC31" s="46">
        <f>(FC29/EZ29)-1</f>
        <v>3.3670033670032407E-3</v>
      </c>
      <c r="FD31" s="46">
        <f>(FD29/FC29)-1</f>
        <v>-3.3557046979865168E-3</v>
      </c>
      <c r="FE31" s="46">
        <f>(FE29/FD29)-1</f>
        <v>2.5727290718384754E-3</v>
      </c>
      <c r="FF31" s="46">
        <f>(FF29/FE29)-1</f>
        <v>-1.9751135690302402E-3</v>
      </c>
      <c r="FG31" s="46">
        <f>(FG29/FF29)-1</f>
        <v>-1.074638530676042E-2</v>
      </c>
      <c r="FH31" s="46"/>
      <c r="FI31" s="46"/>
      <c r="FJ31" s="46">
        <f>(FJ29/FG29)-1</f>
        <v>9.2683888779334644E-3</v>
      </c>
      <c r="FK31" s="46">
        <f>(FK29/FJ29)-1</f>
        <v>-0.12042229905526192</v>
      </c>
      <c r="FL31" s="46">
        <f>(FL29/FK29)-1</f>
        <v>1.3346613545816677E-2</v>
      </c>
      <c r="FM31" s="46">
        <f>(FM29/FL29)-1</f>
        <v>-6.9447202912942818E-2</v>
      </c>
      <c r="FN31" s="46">
        <f>(FN29/FM29)-1</f>
        <v>3.6537751654030837E-2</v>
      </c>
      <c r="FO31" s="46"/>
      <c r="FP31" s="46"/>
      <c r="FQ31" s="46">
        <f>(FQ29/FN29)-1</f>
        <v>8.4913022940584559E-2</v>
      </c>
      <c r="FR31" s="46">
        <f>(FR29/FQ29)-1</f>
        <v>3.9864460833165527E-3</v>
      </c>
      <c r="FS31" s="46">
        <f>(FS29/FR29)-1</f>
        <v>1.3330640274692218E-2</v>
      </c>
      <c r="FT31" s="46">
        <f>(FT29/FS29)-1</f>
        <v>-4.1618273325590427E-2</v>
      </c>
      <c r="FU31" s="46">
        <f>(FU29/FT29)-1</f>
        <v>0</v>
      </c>
      <c r="FV31" s="46"/>
      <c r="FW31" s="46"/>
      <c r="FX31" s="46">
        <f>(FX29/FU29)-1</f>
        <v>-4.4516390125455274E-3</v>
      </c>
      <c r="FY31" s="46">
        <f>(FY29/FX29)-1</f>
        <v>-1.6161616161617376E-3</v>
      </c>
      <c r="FZ31" s="46">
        <f>(FZ29/FY29)-1</f>
        <v>6.0975609756097615E-3</v>
      </c>
      <c r="GA31" s="46">
        <f>(GA29/FZ29)-1</f>
        <v>-5.9940059940066792E-4</v>
      </c>
      <c r="GB31" s="46">
        <f>(GB29/GA29)-1</f>
        <v>-4.7723205408628511E-3</v>
      </c>
      <c r="GC31" s="46"/>
      <c r="GD31" s="46"/>
      <c r="GE31" s="46">
        <f>(GE29/GB29)-1</f>
        <v>-9.0640394088671306E-3</v>
      </c>
      <c r="GF31" s="46">
        <f>(GF29/GE29)-1</f>
        <v>-1.723470178156461E-2</v>
      </c>
      <c r="GG31" s="46">
        <f>(GG29/GF29)-1</f>
        <v>-1.8810564316929512E-2</v>
      </c>
      <c r="GH31" s="46">
        <f>(GH29/GG29)-1</f>
        <v>9.5093191327499937E-4</v>
      </c>
      <c r="GI31" s="46">
        <f>(GI29/GH29)-1</f>
        <v>1.2239518933690574E-2</v>
      </c>
      <c r="GJ31" s="46"/>
      <c r="GK31" s="46"/>
      <c r="GL31" s="46">
        <f>(GL29/GI29)-1</f>
        <v>2.6804518475971317E-3</v>
      </c>
      <c r="GM31" s="46">
        <f>(GM29/GL29)-1</f>
        <v>8.8854548966583735E-3</v>
      </c>
      <c r="GN31" s="46">
        <f>(GN29/GM29)-1</f>
        <v>6.0521093399910519E-2</v>
      </c>
      <c r="GO31" s="46">
        <f>(GO29/GN29)-1</f>
        <v>1.1840556971955296E-2</v>
      </c>
      <c r="GP31" s="46">
        <f>(GP29/GO29)-1</f>
        <v>9.8154691794261062E-4</v>
      </c>
      <c r="GQ31" s="46"/>
      <c r="GR31" s="46"/>
      <c r="GS31" s="46">
        <f>(GS29/GP29)-1</f>
        <v>-4.7394206716893095E-3</v>
      </c>
      <c r="GT31" s="46">
        <f>(GT29/GS29)-1</f>
        <v>-9.3404498665650149E-3</v>
      </c>
      <c r="GU31" s="46">
        <f>(GU29/GT29)-1</f>
        <v>-9.5219958103220925E-4</v>
      </c>
      <c r="GV31" s="46">
        <f>(GV29/GU29)-1</f>
        <v>2.7361356493549316E-3</v>
      </c>
      <c r="GW31" s="46">
        <f>(GW29/GV29)-1</f>
        <v>5.2224371373308376E-3</v>
      </c>
      <c r="GX31" s="46"/>
      <c r="GY31" s="46"/>
      <c r="GZ31" s="46">
        <f>(GZ29/GW29)-1</f>
        <v>-3.085229463941519E-3</v>
      </c>
      <c r="HA31" s="46">
        <f>(HA29/GZ29)-1</f>
        <v>-3.7916736855483357E-3</v>
      </c>
      <c r="HB31" s="46">
        <f>(HB29/HA29)-1</f>
        <v>1.0430602006689105E-2</v>
      </c>
      <c r="HC31" s="46">
        <f>(HC29/HB29)-1</f>
        <v>2.4334696976087145E-2</v>
      </c>
      <c r="HD31" s="46">
        <f>(HD29/HC29)-1</f>
        <v>-1.0349541105252991E-2</v>
      </c>
      <c r="HE31" s="46"/>
      <c r="HF31" s="46"/>
      <c r="HG31" s="46">
        <f>(HG29/HD29)-1</f>
        <v>-3.1146583609109602E-3</v>
      </c>
      <c r="HH31" s="46">
        <f>(HH29/HG29)-1</f>
        <v>-2.0777735417460974E-2</v>
      </c>
      <c r="HI31" s="46">
        <f>(HI29/HH29)-1</f>
        <v>7.2964669738864174E-3</v>
      </c>
      <c r="HJ31" s="46">
        <f>(HJ29/HI29)-1</f>
        <v>1.2048192771084487E-2</v>
      </c>
      <c r="HK31" s="46">
        <f>(HK29/HJ29)-1</f>
        <v>-1.812631177256252E-2</v>
      </c>
      <c r="HL31" s="46"/>
      <c r="HM31" s="46"/>
      <c r="HN31" s="46">
        <f>(HN29/HK29)-1</f>
        <v>-6.8220579874930243E-3</v>
      </c>
      <c r="HO31" s="46">
        <f>(HO29/HN29)-1</f>
        <v>1.838292908011363E-2</v>
      </c>
      <c r="HP31" s="46">
        <f>(HP29/HO29)-1</f>
        <v>1.8940834107957993E-2</v>
      </c>
      <c r="HQ31" s="46">
        <f>(HQ29/HP29)-1</f>
        <v>-6.4947468958931331E-3</v>
      </c>
      <c r="HR31" s="46">
        <f>(HR29/HQ29)-1</f>
        <v>1.9105846389000369E-4</v>
      </c>
      <c r="HS31" s="46"/>
      <c r="HT31" s="46"/>
      <c r="HU31" s="46">
        <f>(HU29/HR29)-1</f>
        <v>4.7199638663053545E-3</v>
      </c>
      <c r="HV31" s="46">
        <f>(HV29/HU29)-1</f>
        <v>-1.7120030435608946E-3</v>
      </c>
      <c r="HW31" s="46">
        <f>(HW29/HV29)-1</f>
        <v>6.0937049282179245E-3</v>
      </c>
      <c r="HX31" s="46">
        <f>(HX29/HW29)-1</f>
        <v>-7.2276523237089219E-3</v>
      </c>
      <c r="HY31" s="46">
        <f>(HY29/HX29)-1</f>
        <v>-1.6583747927030323E-3</v>
      </c>
      <c r="HZ31" s="46"/>
      <c r="IA31" s="46"/>
      <c r="IB31" s="46">
        <f>(IB29/HY29)-1</f>
        <v>1.0991058122205466E-2</v>
      </c>
      <c r="IC31" s="46">
        <f>(IC29/IB29)-1</f>
        <v>2.710539790336064E-2</v>
      </c>
      <c r="ID31" s="46">
        <f>(ID29/IC29)-1</f>
        <v>1.0503440782325235E-2</v>
      </c>
      <c r="IE31" s="46">
        <f>(IE29/ID29)-1</f>
        <v>7.4399084318965691E-4</v>
      </c>
      <c r="IF31" s="46">
        <f>(IF29/IE29)-1</f>
        <v>4.2145593869733489E-3</v>
      </c>
      <c r="IG31" s="46"/>
      <c r="IH31" s="46"/>
      <c r="II31" s="46">
        <f>(II29/IF29)-1</f>
        <v>4.8316618221715402E-3</v>
      </c>
      <c r="IJ31" s="46">
        <f>(IJ29/II29)-1</f>
        <v>-3.2588531382735431E-2</v>
      </c>
      <c r="IK31" s="46">
        <f>(IK29/IJ29)-1</f>
        <v>-2.7727686967988774E-3</v>
      </c>
      <c r="IL31" s="46">
        <f>(IL29/IK29)-1</f>
        <v>-3.034989367871499E-3</v>
      </c>
      <c r="IM31" s="46">
        <f>(IM29/IL29)-1</f>
        <v>9.6749226006176414E-4</v>
      </c>
      <c r="IN31" s="46"/>
      <c r="IO31" s="46"/>
      <c r="IP31" s="46">
        <f>(IP29/IM29)-1</f>
        <v>-1.7384585667373775E-3</v>
      </c>
      <c r="IQ31" s="46">
        <f>(IQ29/IP29)-1</f>
        <v>0</v>
      </c>
      <c r="IR31" s="46">
        <f>(IR29/IQ29)-1</f>
        <v>-1.4280274181264208E-2</v>
      </c>
      <c r="IS31" s="46">
        <f>(IS29/IR29)-1</f>
        <v>1.6315121277590272E-3</v>
      </c>
      <c r="IT31" s="46">
        <f>(IT29/IS29)-1</f>
        <v>1.2847555129434252E-2</v>
      </c>
      <c r="IU31" s="46"/>
      <c r="IV31" s="46"/>
      <c r="IW31" s="46">
        <f>(IW29/IT29)-1</f>
        <v>-5.7493292449217748E-4</v>
      </c>
      <c r="IX31" s="46">
        <f>(IX29/IW29)-1</f>
        <v>5.7572887946568674E-3</v>
      </c>
      <c r="IY31" s="46">
        <f>(IY29/IX29)-1</f>
        <v>1.3067462844571498E-3</v>
      </c>
      <c r="IZ31" s="46">
        <f>(IZ29/IY29)-1</f>
        <v>1.419556633126362E-2</v>
      </c>
      <c r="JA31" s="46">
        <f>(JA29/IZ29)-1</f>
        <v>-1.3878469617404354E-2</v>
      </c>
      <c r="JB31" s="46"/>
      <c r="JC31" s="46"/>
      <c r="JD31" s="46">
        <f>(JD29/JA29)-1</f>
        <v>3.7523452157595116E-4</v>
      </c>
      <c r="JE31" s="46">
        <f>(JE29/JD29)-1</f>
        <v>4.9019607843137081E-3</v>
      </c>
      <c r="JF31" s="46">
        <f>(JF29/JE29)-1</f>
        <v>5.1165434906197405E-3</v>
      </c>
      <c r="JG31" s="46">
        <f>(JG29/JF29)-1</f>
        <v>-1.6235072585058186E-2</v>
      </c>
      <c r="JH31" s="46">
        <f>(JH29/JG29)-1</f>
        <v>-1.0330887857463722E-2</v>
      </c>
      <c r="JI31" s="46"/>
      <c r="JJ31" s="46"/>
      <c r="JK31" s="46">
        <f>(JK29/JH29)-1</f>
        <v>-8.0411407199609819E-4</v>
      </c>
      <c r="JL31" s="46">
        <f>(JL29/JK29)-1</f>
        <v>-1.3430990904562568E-2</v>
      </c>
      <c r="JM31" s="46">
        <f>(JM29/JL29)-1</f>
        <v>6.091932804135336E-4</v>
      </c>
      <c r="JN31" s="46">
        <f>(JN29/JM29)-1</f>
        <v>-4.0631722159916173E-3</v>
      </c>
      <c r="JO31" s="46">
        <f>(JO29/JN29)-1</f>
        <v>8.9597091340802848E-3</v>
      </c>
      <c r="JP31" s="46"/>
      <c r="JQ31" s="46"/>
      <c r="JR31" s="46">
        <f>(JR29/JO29)-1</f>
        <v>-1.0735981555414886E-2</v>
      </c>
      <c r="JS31" s="46">
        <f>(JS29/JR29)-1</f>
        <v>5.0738438281592302E-3</v>
      </c>
      <c r="JT31" s="46">
        <f>(JT29/JS29)-1</f>
        <v>3.3657800434581775E-2</v>
      </c>
      <c r="JU31" s="46">
        <f>(JU29/JT29)-1</f>
        <v>-7.7987558263958867E-4</v>
      </c>
      <c r="JV31" s="46">
        <f>(JV29/JU29)-1</f>
        <v>1.0166845191628138E-3</v>
      </c>
      <c r="JW31" s="46"/>
      <c r="JX31" s="46"/>
      <c r="JY31" s="46">
        <f>(JY29/JV29)-1</f>
        <v>-1.2511332728921687E-3</v>
      </c>
      <c r="JZ31" s="46">
        <f>(JZ29/JY29)-1</f>
        <v>0</v>
      </c>
      <c r="KA31" s="46">
        <f>(KA29/JZ29)-1</f>
        <v>-5.7688840814853481E-3</v>
      </c>
      <c r="KB31" s="46">
        <f>(KB29/KA29)-1</f>
        <v>2.9643407067077687E-2</v>
      </c>
      <c r="KC31" s="46">
        <f>(KC29/KB29)-1</f>
        <v>8.6222711429098098E-3</v>
      </c>
      <c r="KD31" s="46"/>
      <c r="KE31" s="46"/>
      <c r="KF31" s="46">
        <f>(KF29/KC29)-1</f>
        <v>-3.2207225557591923E-2</v>
      </c>
      <c r="KG31" s="46">
        <f>(KG29/KF29)-1</f>
        <v>-6.6594672426205648E-3</v>
      </c>
      <c r="KH31" s="46">
        <f>(KH29/KG29)-1</f>
        <v>2.7212376836816876E-2</v>
      </c>
      <c r="KI31" s="46">
        <f>(KI29/KH29)-1</f>
        <v>-1.9331206427980474E-3</v>
      </c>
      <c r="KJ31" s="46">
        <f>(KJ29/KI29)-1</f>
        <v>-1.190893169877405E-2</v>
      </c>
      <c r="KK31" s="46"/>
      <c r="KL31" s="46"/>
      <c r="KM31" s="46">
        <f>(KM29/KJ29)-1</f>
        <v>2.0189387171699158E-2</v>
      </c>
      <c r="KN31" s="46">
        <f>(KN29/KM29)-1</f>
        <v>3.2263846567486265E-3</v>
      </c>
      <c r="KO31" s="46">
        <f>(KO29/KN29)-1</f>
        <v>2.3356090549766506E-3</v>
      </c>
      <c r="KP31" s="46">
        <f>(KP29/KO29)-1</f>
        <v>8.9911886351368153E-4</v>
      </c>
      <c r="KQ31" s="46">
        <f>(KQ29/KP29)-1</f>
        <v>-1.4356611130804664E-2</v>
      </c>
      <c r="KR31" s="46"/>
      <c r="KS31" s="46"/>
      <c r="KT31" s="46">
        <f>(KT29/KQ29)-1</f>
        <v>8.5103814582325743E-3</v>
      </c>
      <c r="KU31" s="46">
        <f>(KU29/KT29)-1</f>
        <v>0</v>
      </c>
      <c r="KV31" s="46">
        <f>(KV29/KU29)-1</f>
        <v>1.9410965430832761E-4</v>
      </c>
      <c r="KW31" s="46">
        <f>(KW29/KV29)-1</f>
        <v>1.3031819806936129E-2</v>
      </c>
      <c r="KX31" s="46">
        <f>(KX29/KW29)-1</f>
        <v>8.8367899008114925E-3</v>
      </c>
      <c r="KY31" s="46"/>
      <c r="KZ31" s="46"/>
      <c r="LA31" s="46">
        <f>(LA29/KX29)-1</f>
        <v>-3.0564545127651499E-3</v>
      </c>
      <c r="LB31" s="46">
        <f>(LB29/LA29)-1</f>
        <v>-2.7243184477033444E-2</v>
      </c>
      <c r="LC31" s="46">
        <f>(LC29/LB29)-1</f>
        <v>6.649934966200588E-3</v>
      </c>
      <c r="LD31" s="46">
        <f>(LD29/LC29)-1</f>
        <v>5.8411645476323937E-3</v>
      </c>
      <c r="LE31" s="46">
        <f>(LE29/LD29)-1</f>
        <v>1.4762871378484199E-3</v>
      </c>
      <c r="LF31" s="46"/>
      <c r="LG31" s="46"/>
      <c r="LH31" s="46">
        <f>(LH29/LE29)-1</f>
        <v>0</v>
      </c>
      <c r="LI31" s="46">
        <f>(LI29/LH29)-1</f>
        <v>-1.0589738908161506E-2</v>
      </c>
      <c r="LJ31" s="46">
        <f>(LJ29/LI29)-1</f>
        <v>-4.0007274049825847E-3</v>
      </c>
      <c r="LK31" s="46">
        <f>(LK29/LJ29)-1</f>
        <v>1.832340815391631E-2</v>
      </c>
      <c r="LL31" s="46">
        <f>(LL29/LK29)-1</f>
        <v>-2.1590500179918815E-3</v>
      </c>
      <c r="LM31" s="46"/>
      <c r="LN31" s="46"/>
      <c r="LO31" s="46">
        <f>(LO29/LL29)-1</f>
        <v>-4.6561604584527405E-3</v>
      </c>
      <c r="LP31" s="46">
        <f>(LP29/LO29)-1</f>
        <v>-1.0806023029229284E-2</v>
      </c>
      <c r="LQ31" s="46">
        <f>(LQ29/LP29)-1</f>
        <v>7.6758300606925012E-3</v>
      </c>
      <c r="LR31" s="46">
        <f>(LR29/LQ29)-1</f>
        <v>1.1816842483024281E-2</v>
      </c>
      <c r="LS31" s="46">
        <f>(LS29/LR29)-1</f>
        <v>-2.3272466881489873E-3</v>
      </c>
      <c r="LT31" s="46"/>
      <c r="LU31" s="46"/>
      <c r="LV31" s="46">
        <f>(LV29/LS29)-1</f>
        <v>-4.6329294369207297E-3</v>
      </c>
      <c r="LW31" s="46">
        <f>(LW29/LV29)-1</f>
        <v>-1.2457732692650048E-3</v>
      </c>
      <c r="LX31" s="46">
        <f>(LX29/LW29)-1</f>
        <v>-4.5241885928160475E-2</v>
      </c>
      <c r="LY31" s="46">
        <f>(LY29/LX29)-1</f>
        <v>-3.1948881789138905E-3</v>
      </c>
      <c r="LZ31" s="46">
        <f>(LZ29/LY29)-1</f>
        <v>1.910087261390836E-2</v>
      </c>
      <c r="MA31" s="46"/>
      <c r="MB31" s="46"/>
      <c r="MC31" s="46">
        <f>(MC29/LZ29)-1</f>
        <v>-7.9127835414101177E-3</v>
      </c>
      <c r="MD31" s="46">
        <f>(MD29/MC29)-1</f>
        <v>8.1545825208297895E-3</v>
      </c>
      <c r="ME31" s="46">
        <f>(ME29/MD29)-1</f>
        <v>4.6872762412255575E-3</v>
      </c>
      <c r="MF31" s="46">
        <f>(MF29/ME29)-1</f>
        <v>3.7796976241899483E-3</v>
      </c>
      <c r="MG31" s="46">
        <f>(MG29/MF29)-1</f>
        <v>-6.6154121222956608E-3</v>
      </c>
      <c r="MH31" s="46"/>
      <c r="MI31" s="46"/>
      <c r="MJ31" s="46">
        <f>(MJ29/MG29)-1</f>
        <v>-3.4450348148006182E-2</v>
      </c>
      <c r="MK31" s="46">
        <f>(MK29/MJ29)-1</f>
        <v>-8.7033101113864753E-3</v>
      </c>
      <c r="ML31" s="46">
        <f>(ML29/MK29)-1</f>
        <v>-1.1554621848739455E-2</v>
      </c>
      <c r="MM31" s="46">
        <f>(MM29/ML29)-1</f>
        <v>2.8089887640450062E-3</v>
      </c>
      <c r="MN31" s="46">
        <f>(MN29/MM29)-1</f>
        <v>0</v>
      </c>
      <c r="MO31" s="46"/>
      <c r="MP31" s="46"/>
      <c r="MQ31" s="46">
        <f>(MQ29/MN29)-1</f>
        <v>1.2386386619515299E-2</v>
      </c>
      <c r="MR31" s="46">
        <f>(MR29/MQ29)-1</f>
        <v>-5.5778281331706481E-3</v>
      </c>
      <c r="MS31" s="46">
        <f>(MS29/MR29)-1</f>
        <v>1.0065661346630339E-2</v>
      </c>
      <c r="MT31" s="46">
        <f>(MT29/MS29)-1</f>
        <v>4.9200492004921603E-3</v>
      </c>
      <c r="MU31" s="46">
        <f>(MU29/MT29)-1</f>
        <v>6.3660477453579833E-3</v>
      </c>
      <c r="MV31" s="46"/>
      <c r="MW31" s="46"/>
      <c r="MX31" s="46">
        <f>(MX29/MU29)-1</f>
        <v>-1.5889830508475367E-3</v>
      </c>
      <c r="MY31" s="46">
        <f>(MY29/MX29)-1</f>
        <v>3.5435861091424048E-3</v>
      </c>
      <c r="MZ31" s="46">
        <f>(MZ29/MY29)-1</f>
        <v>-3.1790886612503844E-3</v>
      </c>
      <c r="NA31" s="46">
        <f>(NA29/MZ29)-1</f>
        <v>1.487721813945142E-2</v>
      </c>
      <c r="NB31" s="46">
        <f>(NB29/NA29)-1</f>
        <v>-1.7921146953403522E-4</v>
      </c>
    </row>
    <row r="32" spans="1:367" x14ac:dyDescent="0.25">
      <c r="A32" s="26" t="s">
        <v>91</v>
      </c>
      <c r="B32" s="59"/>
      <c r="C32" s="59"/>
      <c r="D32" s="59"/>
      <c r="E32" s="59">
        <v>5300</v>
      </c>
      <c r="F32" s="59">
        <v>5400</v>
      </c>
      <c r="G32" s="59">
        <v>5400</v>
      </c>
      <c r="H32" s="59">
        <v>5400</v>
      </c>
      <c r="I32" s="59">
        <v>5400</v>
      </c>
      <c r="J32" s="59"/>
      <c r="K32" s="59"/>
      <c r="L32" s="59">
        <v>5400</v>
      </c>
      <c r="M32" s="59">
        <v>5800</v>
      </c>
      <c r="N32" s="59">
        <v>5800</v>
      </c>
      <c r="O32" s="59">
        <v>5800</v>
      </c>
      <c r="P32" s="59">
        <v>5800</v>
      </c>
      <c r="Q32" s="59"/>
      <c r="R32" s="59"/>
      <c r="S32" s="59">
        <v>5800</v>
      </c>
      <c r="T32" s="59">
        <v>5800</v>
      </c>
      <c r="U32" s="59">
        <v>5800</v>
      </c>
      <c r="V32" s="24">
        <v>5600</v>
      </c>
      <c r="W32" s="24">
        <v>5600</v>
      </c>
      <c r="X32" s="24"/>
      <c r="Y32" s="24"/>
      <c r="Z32" s="24">
        <v>5600</v>
      </c>
      <c r="AA32" s="24">
        <v>5600</v>
      </c>
      <c r="AB32" s="24">
        <v>5600</v>
      </c>
      <c r="AC32" s="24">
        <v>5600</v>
      </c>
      <c r="AD32" s="24">
        <v>5600</v>
      </c>
      <c r="AE32" s="24"/>
      <c r="AF32" s="24"/>
      <c r="AG32" s="24">
        <v>5600</v>
      </c>
      <c r="AH32" s="24">
        <v>5600</v>
      </c>
      <c r="AI32" s="24">
        <v>5400</v>
      </c>
      <c r="AJ32" s="24">
        <v>5300</v>
      </c>
      <c r="AK32" s="24">
        <v>5350</v>
      </c>
      <c r="AL32" s="24"/>
      <c r="AM32" s="24"/>
      <c r="AN32" s="24">
        <v>5300</v>
      </c>
      <c r="AO32" s="24">
        <v>5300</v>
      </c>
      <c r="AP32" s="24">
        <v>5300</v>
      </c>
      <c r="AQ32" s="24">
        <v>5300</v>
      </c>
      <c r="AR32" s="24">
        <v>5300</v>
      </c>
      <c r="AS32" s="24"/>
      <c r="AT32" s="24"/>
      <c r="AU32" s="59">
        <v>5300</v>
      </c>
      <c r="AV32" s="59">
        <v>5300</v>
      </c>
      <c r="AW32" s="59">
        <v>5300</v>
      </c>
      <c r="AX32" s="59">
        <v>5300</v>
      </c>
      <c r="AY32" s="59">
        <v>5300</v>
      </c>
      <c r="AZ32" s="24"/>
      <c r="BA32" s="24"/>
      <c r="BB32" s="24">
        <v>5300</v>
      </c>
      <c r="BC32" s="24">
        <v>5600</v>
      </c>
      <c r="BD32" s="24">
        <v>5600</v>
      </c>
      <c r="BE32" s="24">
        <v>5600</v>
      </c>
      <c r="BF32" s="24">
        <v>5600</v>
      </c>
      <c r="BG32" s="24"/>
      <c r="BH32" s="24"/>
      <c r="BI32" s="24">
        <v>5600</v>
      </c>
      <c r="BJ32" s="24">
        <v>5800</v>
      </c>
      <c r="BK32" s="24">
        <v>5800</v>
      </c>
      <c r="BL32" s="24">
        <v>5800</v>
      </c>
      <c r="BM32" s="24">
        <v>5800</v>
      </c>
      <c r="BN32" s="24"/>
      <c r="BO32" s="24"/>
      <c r="BP32" s="24">
        <v>6300</v>
      </c>
      <c r="BQ32" s="24">
        <v>6500</v>
      </c>
      <c r="BR32" s="24">
        <v>6500</v>
      </c>
      <c r="BS32" s="24">
        <v>6500</v>
      </c>
      <c r="BT32" s="24">
        <v>6500</v>
      </c>
      <c r="BU32" s="24"/>
      <c r="BV32" s="24"/>
      <c r="BW32" s="24">
        <v>6500</v>
      </c>
      <c r="BX32" s="24">
        <v>6500</v>
      </c>
      <c r="BY32" s="24">
        <v>6500</v>
      </c>
      <c r="BZ32" s="24">
        <v>6500</v>
      </c>
      <c r="CA32" s="24">
        <v>6200</v>
      </c>
      <c r="CB32" s="24"/>
      <c r="CC32" s="24"/>
      <c r="CD32" s="24">
        <v>6300</v>
      </c>
      <c r="CE32" s="24">
        <v>6300</v>
      </c>
      <c r="CF32" s="24">
        <v>6300</v>
      </c>
      <c r="CG32" s="24">
        <v>6000</v>
      </c>
      <c r="CH32" s="24">
        <v>6000</v>
      </c>
      <c r="CI32" s="24"/>
      <c r="CJ32" s="24"/>
      <c r="CK32" s="24">
        <v>6000</v>
      </c>
      <c r="CL32" s="24">
        <v>6600</v>
      </c>
      <c r="CM32" s="24">
        <v>6600</v>
      </c>
      <c r="CN32" s="24">
        <v>6600</v>
      </c>
      <c r="CO32" s="24">
        <v>6600</v>
      </c>
      <c r="CP32" s="24"/>
      <c r="CQ32" s="24"/>
      <c r="CR32" s="24">
        <v>6600</v>
      </c>
      <c r="CS32" s="24">
        <v>6600</v>
      </c>
      <c r="CT32" s="24">
        <v>6600</v>
      </c>
      <c r="CU32" s="24">
        <v>6600</v>
      </c>
      <c r="CV32" s="24">
        <v>6600</v>
      </c>
      <c r="CW32" s="24"/>
      <c r="CX32" s="24"/>
      <c r="CY32" s="24">
        <v>6300</v>
      </c>
      <c r="CZ32" s="24">
        <v>6000</v>
      </c>
      <c r="DA32" s="24">
        <v>5800</v>
      </c>
      <c r="DB32" s="24">
        <v>5800</v>
      </c>
      <c r="DC32" s="24">
        <v>5800</v>
      </c>
      <c r="DD32" s="24"/>
      <c r="DE32" s="24"/>
      <c r="DF32" s="24">
        <v>5800</v>
      </c>
      <c r="DG32" s="24">
        <v>5800</v>
      </c>
      <c r="DH32" s="24">
        <v>5800</v>
      </c>
      <c r="DI32" s="24">
        <v>5800</v>
      </c>
      <c r="DJ32" s="24">
        <v>5800</v>
      </c>
      <c r="DK32" s="24"/>
      <c r="DL32" s="24"/>
      <c r="DM32" s="24">
        <v>5800</v>
      </c>
      <c r="DN32" s="24">
        <v>6000</v>
      </c>
      <c r="DO32" s="24">
        <v>6000</v>
      </c>
      <c r="DP32" s="24">
        <v>6000</v>
      </c>
      <c r="DQ32" s="24">
        <v>6000</v>
      </c>
      <c r="DR32" s="24"/>
      <c r="DS32" s="24"/>
      <c r="DT32" s="24">
        <v>6000</v>
      </c>
      <c r="DU32" s="24">
        <v>6000</v>
      </c>
      <c r="DV32" s="24">
        <v>6000</v>
      </c>
      <c r="DW32" s="24">
        <v>6000</v>
      </c>
      <c r="DX32" s="24">
        <v>6000</v>
      </c>
      <c r="DY32" s="24"/>
      <c r="DZ32" s="24"/>
      <c r="EA32" s="24">
        <v>6000</v>
      </c>
      <c r="EB32" s="24">
        <v>6000</v>
      </c>
      <c r="EC32" s="24">
        <v>6200</v>
      </c>
      <c r="ED32" s="24">
        <v>6200</v>
      </c>
      <c r="EE32" s="24">
        <v>6100</v>
      </c>
      <c r="EF32" s="24"/>
      <c r="EG32" s="24"/>
      <c r="EH32" s="24">
        <v>6200</v>
      </c>
      <c r="EI32" s="24">
        <v>6200</v>
      </c>
      <c r="EJ32" s="24">
        <v>6200</v>
      </c>
      <c r="EK32" s="24">
        <v>6200</v>
      </c>
      <c r="EL32" s="24">
        <v>6200</v>
      </c>
      <c r="EM32" s="24"/>
      <c r="EN32" s="24"/>
      <c r="EO32" s="24">
        <v>6200</v>
      </c>
      <c r="EP32" s="24">
        <v>6200</v>
      </c>
      <c r="EQ32" s="24">
        <v>6200</v>
      </c>
      <c r="ER32" s="24">
        <v>6800</v>
      </c>
      <c r="ES32" s="24">
        <v>6800</v>
      </c>
      <c r="ET32" s="24"/>
      <c r="EU32" s="24"/>
      <c r="EV32" s="24">
        <v>6800</v>
      </c>
      <c r="EW32" s="24">
        <v>6850</v>
      </c>
      <c r="EX32" s="24">
        <v>6850</v>
      </c>
      <c r="EY32" s="24">
        <v>6850</v>
      </c>
      <c r="EZ32" s="24">
        <v>6800</v>
      </c>
      <c r="FA32" s="24"/>
      <c r="FB32" s="24"/>
      <c r="FC32" s="24">
        <v>6800</v>
      </c>
      <c r="FD32" s="24">
        <v>6800</v>
      </c>
      <c r="FE32" s="24">
        <v>6800</v>
      </c>
      <c r="FF32" s="24">
        <v>6600</v>
      </c>
      <c r="FG32" s="24">
        <v>6600</v>
      </c>
      <c r="FH32" s="24"/>
      <c r="FI32" s="24"/>
      <c r="FJ32" s="24">
        <v>6600</v>
      </c>
      <c r="FK32" s="24">
        <v>6100</v>
      </c>
      <c r="FL32" s="24">
        <v>6100</v>
      </c>
      <c r="FM32" s="24">
        <v>5600</v>
      </c>
      <c r="FN32" s="24">
        <v>5300</v>
      </c>
      <c r="FO32" s="24"/>
      <c r="FP32" s="24"/>
      <c r="FQ32" s="24">
        <v>5300</v>
      </c>
      <c r="FR32" s="24">
        <v>5300</v>
      </c>
      <c r="FS32" s="24">
        <v>5300</v>
      </c>
      <c r="FT32" s="24">
        <v>5050</v>
      </c>
      <c r="FU32" s="24">
        <v>5000</v>
      </c>
      <c r="FV32" s="24"/>
      <c r="FW32" s="24"/>
      <c r="FX32" s="24">
        <v>5200</v>
      </c>
      <c r="FY32" s="24">
        <v>5200</v>
      </c>
      <c r="FZ32" s="24">
        <v>5600</v>
      </c>
      <c r="GA32" s="24">
        <v>5600</v>
      </c>
      <c r="GB32" s="24">
        <v>5600</v>
      </c>
      <c r="GC32" s="24"/>
      <c r="GD32" s="24"/>
      <c r="GE32" s="24">
        <v>5600</v>
      </c>
      <c r="GF32" s="24">
        <v>5600</v>
      </c>
      <c r="GG32" s="24">
        <v>5600</v>
      </c>
      <c r="GH32" s="24">
        <v>5600</v>
      </c>
      <c r="GI32" s="24">
        <v>5600</v>
      </c>
      <c r="GJ32" s="24"/>
      <c r="GK32" s="24"/>
      <c r="GL32" s="24">
        <v>5600</v>
      </c>
      <c r="GM32" s="24">
        <v>5700</v>
      </c>
      <c r="GN32" s="24">
        <v>5700</v>
      </c>
      <c r="GO32" s="24">
        <v>5700</v>
      </c>
      <c r="GP32" s="24">
        <v>5700</v>
      </c>
      <c r="GQ32" s="24"/>
      <c r="GR32" s="24"/>
      <c r="GS32" s="24">
        <v>5700</v>
      </c>
      <c r="GT32" s="24">
        <v>6200</v>
      </c>
      <c r="GU32" s="24">
        <v>6200</v>
      </c>
      <c r="GV32" s="24">
        <v>6200</v>
      </c>
      <c r="GW32" s="24">
        <v>6200</v>
      </c>
      <c r="GX32" s="24"/>
      <c r="GY32" s="24"/>
      <c r="GZ32" s="24">
        <v>6200</v>
      </c>
      <c r="HA32" s="24">
        <v>6200</v>
      </c>
      <c r="HB32" s="24">
        <v>6200</v>
      </c>
      <c r="HC32" s="24">
        <v>6200</v>
      </c>
      <c r="HD32" s="24">
        <v>6200</v>
      </c>
      <c r="HE32" s="24"/>
      <c r="HF32" s="24"/>
      <c r="HG32" s="24">
        <v>6200</v>
      </c>
      <c r="HH32" s="24">
        <v>6200</v>
      </c>
      <c r="HI32" s="24">
        <v>6200</v>
      </c>
      <c r="HJ32" s="24">
        <v>6200</v>
      </c>
      <c r="HK32" s="24">
        <v>6200</v>
      </c>
      <c r="HL32" s="24"/>
      <c r="HM32" s="24"/>
      <c r="HN32" s="24">
        <v>6200</v>
      </c>
      <c r="HO32" s="24">
        <v>6200</v>
      </c>
      <c r="HP32" s="24">
        <v>6200</v>
      </c>
      <c r="HQ32" s="24">
        <v>6200</v>
      </c>
      <c r="HR32" s="24">
        <v>6200</v>
      </c>
      <c r="HS32" s="24"/>
      <c r="HT32" s="24"/>
      <c r="HU32" s="24">
        <v>6200</v>
      </c>
      <c r="HV32" s="24">
        <v>6200</v>
      </c>
      <c r="HW32" s="24">
        <v>6200</v>
      </c>
      <c r="HX32" s="24">
        <v>6200</v>
      </c>
      <c r="HY32" s="24">
        <v>6200</v>
      </c>
      <c r="HZ32" s="24"/>
      <c r="IA32" s="24"/>
      <c r="IB32" s="24">
        <v>6200</v>
      </c>
      <c r="IC32" s="24">
        <v>6600</v>
      </c>
      <c r="ID32" s="24">
        <v>6600</v>
      </c>
      <c r="IE32" s="24">
        <v>6600</v>
      </c>
      <c r="IF32" s="24">
        <v>6600</v>
      </c>
      <c r="IG32" s="24"/>
      <c r="IH32" s="24"/>
      <c r="II32" s="24">
        <v>6600</v>
      </c>
      <c r="IJ32" s="24">
        <v>6400</v>
      </c>
      <c r="IK32" s="24">
        <v>6400</v>
      </c>
      <c r="IL32" s="24">
        <v>6400</v>
      </c>
      <c r="IM32" s="24">
        <v>6400</v>
      </c>
      <c r="IN32" s="24"/>
      <c r="IO32" s="24"/>
      <c r="IP32" s="74">
        <v>6400</v>
      </c>
      <c r="IQ32" s="74">
        <v>6400</v>
      </c>
      <c r="IR32" s="24">
        <v>6400</v>
      </c>
      <c r="IS32" s="24">
        <v>6400</v>
      </c>
      <c r="IT32" s="24">
        <v>6400</v>
      </c>
      <c r="IU32" s="24"/>
      <c r="IV32" s="24"/>
      <c r="IW32" s="24">
        <v>6400</v>
      </c>
      <c r="IX32" s="24">
        <v>6400</v>
      </c>
      <c r="IY32" s="24">
        <v>6400</v>
      </c>
      <c r="IZ32" s="24">
        <v>6400</v>
      </c>
      <c r="JA32" s="24">
        <v>6500</v>
      </c>
      <c r="JB32" s="24"/>
      <c r="JC32" s="24"/>
      <c r="JD32" s="24">
        <v>6500</v>
      </c>
      <c r="JE32" s="24">
        <v>6500</v>
      </c>
      <c r="JF32" s="24">
        <v>6500</v>
      </c>
      <c r="JG32" s="24">
        <v>6500</v>
      </c>
      <c r="JH32" s="24">
        <v>6500</v>
      </c>
      <c r="JI32" s="24"/>
      <c r="JJ32" s="24"/>
      <c r="JK32" s="24">
        <v>6700</v>
      </c>
      <c r="JL32" s="24">
        <v>6700</v>
      </c>
      <c r="JM32" s="24">
        <v>6700</v>
      </c>
      <c r="JN32" s="24">
        <v>6900</v>
      </c>
      <c r="JO32" s="24">
        <v>7100</v>
      </c>
      <c r="JP32" s="24"/>
      <c r="JQ32" s="24"/>
      <c r="JR32" s="24">
        <v>7100</v>
      </c>
      <c r="JS32" s="24">
        <v>7600</v>
      </c>
      <c r="JT32" s="24">
        <v>7300</v>
      </c>
      <c r="JU32" s="24">
        <v>7300</v>
      </c>
      <c r="JV32" s="24">
        <v>7300</v>
      </c>
      <c r="JW32" s="24"/>
      <c r="JX32" s="24"/>
      <c r="JY32" s="24">
        <v>7300</v>
      </c>
      <c r="JZ32" s="24">
        <v>7300</v>
      </c>
      <c r="KA32" s="24">
        <v>7300</v>
      </c>
      <c r="KB32" s="24">
        <v>7300</v>
      </c>
      <c r="KC32" s="24">
        <v>7300</v>
      </c>
      <c r="KD32" s="24"/>
      <c r="KE32" s="24"/>
      <c r="KF32" s="24">
        <v>7300</v>
      </c>
      <c r="KG32" s="24">
        <v>7300</v>
      </c>
      <c r="KH32" s="24">
        <v>7600</v>
      </c>
      <c r="KI32" s="24">
        <v>7600</v>
      </c>
      <c r="KJ32" s="24">
        <v>7600</v>
      </c>
      <c r="KK32" s="24"/>
      <c r="KL32" s="24"/>
      <c r="KM32" s="24">
        <v>7600</v>
      </c>
      <c r="KN32" s="24">
        <v>7600</v>
      </c>
      <c r="KO32" s="24">
        <v>7600</v>
      </c>
      <c r="KP32" s="24">
        <v>7600</v>
      </c>
      <c r="KQ32" s="24">
        <v>7600</v>
      </c>
      <c r="KR32" s="24"/>
      <c r="KS32" s="24"/>
      <c r="KT32" s="24">
        <v>7600</v>
      </c>
      <c r="KU32" s="24">
        <v>7600</v>
      </c>
      <c r="KV32" s="24">
        <v>7600</v>
      </c>
      <c r="KW32" s="24">
        <v>7500</v>
      </c>
      <c r="KX32" s="24">
        <v>7400</v>
      </c>
      <c r="KY32" s="24"/>
      <c r="KZ32" s="24"/>
      <c r="LA32" s="24">
        <v>7400</v>
      </c>
      <c r="LB32" s="24">
        <v>7400</v>
      </c>
      <c r="LC32" s="24">
        <v>7400</v>
      </c>
      <c r="LD32" s="24">
        <v>7300</v>
      </c>
      <c r="LE32" s="24">
        <v>7300</v>
      </c>
      <c r="LF32" s="24"/>
      <c r="LG32" s="24"/>
      <c r="LH32" s="24">
        <v>7300</v>
      </c>
      <c r="LI32" s="24">
        <v>7300</v>
      </c>
      <c r="LJ32" s="24">
        <v>7300</v>
      </c>
      <c r="LK32" s="24">
        <v>7300</v>
      </c>
      <c r="LL32" s="24">
        <v>7300</v>
      </c>
      <c r="LM32" s="24"/>
      <c r="LN32" s="24"/>
      <c r="LO32" s="24">
        <v>7300</v>
      </c>
      <c r="LP32" s="24">
        <v>7400</v>
      </c>
      <c r="LQ32" s="24">
        <v>7400</v>
      </c>
      <c r="LR32" s="24">
        <v>7400</v>
      </c>
      <c r="LS32" s="24">
        <v>7400</v>
      </c>
      <c r="LT32" s="24"/>
      <c r="LU32" s="24"/>
      <c r="LV32" s="24">
        <v>7400</v>
      </c>
      <c r="LW32" s="24">
        <v>7400</v>
      </c>
      <c r="LX32" s="24">
        <v>7400</v>
      </c>
      <c r="LY32" s="24">
        <v>7400</v>
      </c>
      <c r="LZ32" s="24">
        <v>7400</v>
      </c>
      <c r="MA32" s="24"/>
      <c r="MB32" s="24"/>
      <c r="MC32" s="24">
        <v>7600</v>
      </c>
      <c r="MD32" s="24">
        <v>7600</v>
      </c>
      <c r="ME32" s="24">
        <v>7600</v>
      </c>
      <c r="MF32" s="24">
        <v>7600</v>
      </c>
      <c r="MG32" s="24">
        <v>7600</v>
      </c>
      <c r="MH32" s="24"/>
      <c r="MI32" s="24"/>
      <c r="MJ32" s="24">
        <v>7400</v>
      </c>
      <c r="MK32" s="24">
        <v>7400</v>
      </c>
      <c r="ML32" s="24">
        <v>7400</v>
      </c>
      <c r="MM32" s="24">
        <v>7500</v>
      </c>
      <c r="MN32" s="24">
        <v>7500</v>
      </c>
      <c r="MO32" s="24"/>
      <c r="MP32" s="24"/>
      <c r="MQ32" s="24">
        <v>7500</v>
      </c>
      <c r="MR32" s="24">
        <v>7300</v>
      </c>
      <c r="MS32" s="24">
        <v>7300</v>
      </c>
      <c r="MT32" s="24">
        <v>7300</v>
      </c>
      <c r="MU32" s="24">
        <v>7300</v>
      </c>
      <c r="MV32" s="24"/>
      <c r="MW32" s="24"/>
      <c r="MX32" s="24">
        <v>7300</v>
      </c>
      <c r="MY32" s="24">
        <v>7300</v>
      </c>
      <c r="MZ32" s="24">
        <v>7300</v>
      </c>
      <c r="NA32" s="24">
        <v>7300</v>
      </c>
      <c r="NB32" s="24">
        <v>7300</v>
      </c>
    </row>
    <row r="33" spans="1:366" x14ac:dyDescent="0.25">
      <c r="A33" s="42" t="s">
        <v>132</v>
      </c>
      <c r="B33" s="63"/>
      <c r="C33" s="63"/>
      <c r="D33" s="63"/>
      <c r="E33" s="63">
        <v>5400</v>
      </c>
      <c r="F33" s="63">
        <v>5700</v>
      </c>
      <c r="G33" s="63">
        <v>5600</v>
      </c>
      <c r="H33" s="63">
        <v>5600</v>
      </c>
      <c r="I33" s="63">
        <v>5600</v>
      </c>
      <c r="J33" s="63"/>
      <c r="K33" s="63"/>
      <c r="L33" s="63">
        <v>5600</v>
      </c>
      <c r="M33" s="63">
        <v>6250</v>
      </c>
      <c r="N33" s="63">
        <v>6250</v>
      </c>
      <c r="O33" s="63">
        <v>5800</v>
      </c>
      <c r="P33" s="63">
        <v>5700</v>
      </c>
      <c r="Q33" s="63"/>
      <c r="R33" s="63"/>
      <c r="S33" s="63">
        <v>5700</v>
      </c>
      <c r="T33" s="63">
        <v>5500</v>
      </c>
      <c r="U33" s="63">
        <v>5500</v>
      </c>
      <c r="V33" s="43">
        <v>5400</v>
      </c>
      <c r="W33" s="43">
        <v>5400</v>
      </c>
      <c r="X33" s="43"/>
      <c r="Y33" s="43"/>
      <c r="Z33" s="43">
        <v>5400</v>
      </c>
      <c r="AA33" s="43">
        <v>5400</v>
      </c>
      <c r="AB33" s="43">
        <v>5450</v>
      </c>
      <c r="AC33" s="43">
        <v>5450</v>
      </c>
      <c r="AD33" s="43">
        <v>5450</v>
      </c>
      <c r="AE33" s="43"/>
      <c r="AF33" s="43"/>
      <c r="AG33" s="43">
        <v>5450</v>
      </c>
      <c r="AH33" s="43">
        <v>5450</v>
      </c>
      <c r="AI33" s="43">
        <v>5450</v>
      </c>
      <c r="AJ33" s="43">
        <v>5450</v>
      </c>
      <c r="AK33" s="43">
        <v>5450</v>
      </c>
      <c r="AL33" s="43"/>
      <c r="AM33" s="43"/>
      <c r="AN33" s="43">
        <v>5400</v>
      </c>
      <c r="AO33" s="43">
        <v>5300</v>
      </c>
      <c r="AP33" s="43">
        <v>5200</v>
      </c>
      <c r="AQ33" s="43">
        <v>5200</v>
      </c>
      <c r="AR33" s="43">
        <v>5200</v>
      </c>
      <c r="AS33" s="43"/>
      <c r="AT33" s="43"/>
      <c r="AU33" s="63">
        <v>5400</v>
      </c>
      <c r="AV33" s="63">
        <v>5300</v>
      </c>
      <c r="AW33" s="63">
        <v>5300</v>
      </c>
      <c r="AX33" s="63">
        <v>5300</v>
      </c>
      <c r="AY33" s="63">
        <v>5250</v>
      </c>
      <c r="AZ33" s="43"/>
      <c r="BA33" s="43"/>
      <c r="BB33" s="43">
        <v>5300</v>
      </c>
      <c r="BC33" s="43">
        <v>5600</v>
      </c>
      <c r="BD33" s="43">
        <v>5600</v>
      </c>
      <c r="BE33" s="43">
        <v>5500</v>
      </c>
      <c r="BF33" s="43">
        <v>5500</v>
      </c>
      <c r="BG33" s="43"/>
      <c r="BH33" s="43"/>
      <c r="BI33" s="43">
        <v>5500</v>
      </c>
      <c r="BJ33" s="43">
        <v>5700</v>
      </c>
      <c r="BK33" s="43">
        <v>5800</v>
      </c>
      <c r="BL33" s="43">
        <v>6200</v>
      </c>
      <c r="BM33" s="43">
        <v>6200</v>
      </c>
      <c r="BN33" s="43"/>
      <c r="BO33" s="43"/>
      <c r="BP33" s="43">
        <v>6500</v>
      </c>
      <c r="BQ33" s="43">
        <v>6500</v>
      </c>
      <c r="BR33" s="43">
        <v>6500</v>
      </c>
      <c r="BS33" s="43">
        <v>6500</v>
      </c>
      <c r="BT33" s="43">
        <v>6500</v>
      </c>
      <c r="BU33" s="43"/>
      <c r="BV33" s="43"/>
      <c r="BW33" s="43">
        <v>6500</v>
      </c>
      <c r="BX33" s="43">
        <v>6500</v>
      </c>
      <c r="BY33" s="43">
        <v>6500</v>
      </c>
      <c r="BZ33" s="43">
        <v>6500</v>
      </c>
      <c r="CA33" s="43">
        <v>6400</v>
      </c>
      <c r="CB33" s="43"/>
      <c r="CC33" s="43"/>
      <c r="CD33" s="43">
        <v>6400</v>
      </c>
      <c r="CE33" s="43">
        <v>6400</v>
      </c>
      <c r="CF33" s="43">
        <v>6400</v>
      </c>
      <c r="CG33" s="43">
        <v>6400</v>
      </c>
      <c r="CH33" s="43">
        <v>6400</v>
      </c>
      <c r="CI33" s="43"/>
      <c r="CJ33" s="43"/>
      <c r="CK33" s="43">
        <v>6400</v>
      </c>
      <c r="CL33" s="43">
        <v>6400</v>
      </c>
      <c r="CM33" s="43">
        <v>6400</v>
      </c>
      <c r="CN33" s="43">
        <v>6400</v>
      </c>
      <c r="CO33" s="43">
        <v>6400</v>
      </c>
      <c r="CP33" s="43"/>
      <c r="CQ33" s="43"/>
      <c r="CR33" s="43">
        <v>6400</v>
      </c>
      <c r="CS33" s="43">
        <v>6400</v>
      </c>
      <c r="CT33" s="43">
        <v>6800</v>
      </c>
      <c r="CU33" s="43">
        <v>6800</v>
      </c>
      <c r="CV33" s="43">
        <v>6800</v>
      </c>
      <c r="CW33" s="43"/>
      <c r="CX33" s="43"/>
      <c r="CY33" s="43">
        <v>6800</v>
      </c>
      <c r="CZ33" s="43">
        <v>6800</v>
      </c>
      <c r="DA33" s="43">
        <v>6500</v>
      </c>
      <c r="DB33" s="43">
        <v>6500</v>
      </c>
      <c r="DC33" s="43">
        <v>6500</v>
      </c>
      <c r="DD33" s="43"/>
      <c r="DE33" s="43"/>
      <c r="DF33" s="43">
        <v>6500</v>
      </c>
      <c r="DG33" s="43">
        <v>6500</v>
      </c>
      <c r="DH33" s="43">
        <v>6500</v>
      </c>
      <c r="DI33" s="43">
        <v>6500</v>
      </c>
      <c r="DJ33" s="43">
        <v>6500</v>
      </c>
      <c r="DK33" s="43"/>
      <c r="DL33" s="43"/>
      <c r="DM33" s="43">
        <v>6500</v>
      </c>
      <c r="DN33" s="43">
        <v>6600</v>
      </c>
      <c r="DO33" s="43">
        <v>6600</v>
      </c>
      <c r="DP33" s="43">
        <v>6550</v>
      </c>
      <c r="DQ33" s="43">
        <v>6600</v>
      </c>
      <c r="DR33" s="43"/>
      <c r="DS33" s="43"/>
      <c r="DT33" s="43">
        <v>6500</v>
      </c>
      <c r="DU33" s="43">
        <v>6500</v>
      </c>
      <c r="DV33" s="43">
        <v>6900</v>
      </c>
      <c r="DW33" s="43">
        <v>6900</v>
      </c>
      <c r="DX33" s="43">
        <v>6900</v>
      </c>
      <c r="DY33" s="43"/>
      <c r="DZ33" s="43"/>
      <c r="EA33" s="43">
        <v>6900</v>
      </c>
      <c r="EB33" s="43">
        <v>6800</v>
      </c>
      <c r="EC33" s="43">
        <v>6800</v>
      </c>
      <c r="ED33" s="43">
        <v>6800</v>
      </c>
      <c r="EE33" s="43">
        <v>6800</v>
      </c>
      <c r="EF33" s="43"/>
      <c r="EG33" s="43"/>
      <c r="EH33" s="43">
        <v>6800</v>
      </c>
      <c r="EI33" s="43">
        <v>6800</v>
      </c>
      <c r="EJ33" s="43">
        <v>7400</v>
      </c>
      <c r="EK33" s="43">
        <v>7400</v>
      </c>
      <c r="EL33" s="43">
        <v>7200</v>
      </c>
      <c r="EM33" s="43"/>
      <c r="EN33" s="43"/>
      <c r="EO33" s="43">
        <v>7200</v>
      </c>
      <c r="EP33" s="43">
        <v>7200</v>
      </c>
      <c r="EQ33" s="43">
        <v>7300</v>
      </c>
      <c r="ER33" s="43">
        <v>7300</v>
      </c>
      <c r="ES33" s="43">
        <v>7300</v>
      </c>
      <c r="ET33" s="43"/>
      <c r="EU33" s="43"/>
      <c r="EV33" s="43">
        <v>7300</v>
      </c>
      <c r="EW33" s="43">
        <v>7300</v>
      </c>
      <c r="EX33" s="43">
        <v>7300</v>
      </c>
      <c r="EY33" s="43">
        <v>7300</v>
      </c>
      <c r="EZ33" s="43">
        <v>7200</v>
      </c>
      <c r="FA33" s="43"/>
      <c r="FB33" s="43"/>
      <c r="FC33" s="43">
        <v>7200</v>
      </c>
      <c r="FD33" s="43">
        <v>7150</v>
      </c>
      <c r="FE33" s="43">
        <v>7100</v>
      </c>
      <c r="FF33" s="43">
        <v>6900</v>
      </c>
      <c r="FG33" s="43">
        <v>6900</v>
      </c>
      <c r="FH33" s="43"/>
      <c r="FI33" s="43"/>
      <c r="FJ33" s="43">
        <v>6900</v>
      </c>
      <c r="FK33" s="43">
        <v>6800</v>
      </c>
      <c r="FL33" s="43">
        <v>6650</v>
      </c>
      <c r="FM33" s="43">
        <v>6200</v>
      </c>
      <c r="FN33" s="43">
        <v>6300</v>
      </c>
      <c r="FO33" s="43"/>
      <c r="FP33" s="43"/>
      <c r="FQ33" s="43">
        <v>6300</v>
      </c>
      <c r="FR33" s="43">
        <v>6300</v>
      </c>
      <c r="FS33" s="43">
        <v>6150</v>
      </c>
      <c r="FT33" s="43">
        <v>6100</v>
      </c>
      <c r="FU33" s="43">
        <v>6100</v>
      </c>
      <c r="FV33" s="43"/>
      <c r="FW33" s="43"/>
      <c r="FX33" s="43">
        <v>6100</v>
      </c>
      <c r="FY33" s="43">
        <v>6100</v>
      </c>
      <c r="FZ33" s="43">
        <v>6150</v>
      </c>
      <c r="GA33" s="43">
        <v>6150</v>
      </c>
      <c r="GB33" s="43">
        <v>6150</v>
      </c>
      <c r="GC33" s="43"/>
      <c r="GD33" s="43"/>
      <c r="GE33" s="43">
        <v>6150</v>
      </c>
      <c r="GF33" s="43">
        <v>6150</v>
      </c>
      <c r="GG33" s="43">
        <v>6150</v>
      </c>
      <c r="GH33" s="43">
        <v>6150</v>
      </c>
      <c r="GI33" s="43">
        <v>6150</v>
      </c>
      <c r="GJ33" s="43"/>
      <c r="GK33" s="43"/>
      <c r="GL33" s="43">
        <v>6150</v>
      </c>
      <c r="GM33" s="43">
        <v>6300</v>
      </c>
      <c r="GN33" s="43">
        <v>6300</v>
      </c>
      <c r="GO33" s="43">
        <v>6300</v>
      </c>
      <c r="GP33" s="43">
        <v>6300</v>
      </c>
      <c r="GQ33" s="43"/>
      <c r="GR33" s="43"/>
      <c r="GS33" s="43">
        <v>6300</v>
      </c>
      <c r="GT33" s="43">
        <v>6700</v>
      </c>
      <c r="GU33" s="43">
        <v>6700</v>
      </c>
      <c r="GV33" s="43">
        <v>6700</v>
      </c>
      <c r="GW33" s="43">
        <v>6700</v>
      </c>
      <c r="GX33" s="43"/>
      <c r="GY33" s="43"/>
      <c r="GZ33" s="43">
        <v>6700</v>
      </c>
      <c r="HA33" s="43">
        <v>6800</v>
      </c>
      <c r="HB33" s="43">
        <v>6800</v>
      </c>
      <c r="HC33" s="43">
        <v>6800</v>
      </c>
      <c r="HD33" s="43">
        <v>6800</v>
      </c>
      <c r="HE33" s="43"/>
      <c r="HF33" s="43"/>
      <c r="HG33" s="43">
        <v>6800</v>
      </c>
      <c r="HH33" s="43">
        <v>6800</v>
      </c>
      <c r="HI33" s="43">
        <v>6800</v>
      </c>
      <c r="HJ33" s="43">
        <v>6700</v>
      </c>
      <c r="HK33" s="43">
        <v>6700</v>
      </c>
      <c r="HL33" s="43"/>
      <c r="HM33" s="43"/>
      <c r="HN33" s="43">
        <v>6700</v>
      </c>
      <c r="HO33" s="43">
        <v>6800</v>
      </c>
      <c r="HP33" s="43">
        <v>6800</v>
      </c>
      <c r="HQ33" s="43">
        <v>6800</v>
      </c>
      <c r="HR33" s="43">
        <v>6800</v>
      </c>
      <c r="HS33" s="43"/>
      <c r="HT33" s="43"/>
      <c r="HU33" s="43">
        <v>6800</v>
      </c>
      <c r="HV33" s="43">
        <v>6800</v>
      </c>
      <c r="HW33" s="43">
        <v>6800</v>
      </c>
      <c r="HX33" s="43">
        <v>6800</v>
      </c>
      <c r="HY33" s="43">
        <v>6700</v>
      </c>
      <c r="HZ33" s="43"/>
      <c r="IA33" s="43"/>
      <c r="IB33" s="43">
        <v>6700</v>
      </c>
      <c r="IC33" s="43">
        <v>7200</v>
      </c>
      <c r="ID33" s="43">
        <v>7200</v>
      </c>
      <c r="IE33" s="43">
        <v>7200</v>
      </c>
      <c r="IF33" s="43">
        <v>7200</v>
      </c>
      <c r="IG33" s="43"/>
      <c r="IH33" s="43"/>
      <c r="II33" s="43">
        <v>7100</v>
      </c>
      <c r="IJ33" s="43">
        <v>7100</v>
      </c>
      <c r="IK33" s="43">
        <v>7100</v>
      </c>
      <c r="IL33" s="43">
        <v>7100</v>
      </c>
      <c r="IM33" s="43">
        <v>7100</v>
      </c>
      <c r="IN33" s="43"/>
      <c r="IO33" s="43"/>
      <c r="IP33" s="54">
        <v>7100</v>
      </c>
      <c r="IQ33" s="54">
        <v>7100</v>
      </c>
      <c r="IR33" s="43">
        <v>7100</v>
      </c>
      <c r="IS33" s="43">
        <v>7100</v>
      </c>
      <c r="IT33" s="43">
        <v>7200</v>
      </c>
      <c r="IU33" s="43"/>
      <c r="IV33" s="43"/>
      <c r="IW33" s="43">
        <v>7200</v>
      </c>
      <c r="IX33" s="43">
        <v>7200</v>
      </c>
      <c r="IY33" s="43">
        <v>7200</v>
      </c>
      <c r="IZ33" s="43">
        <v>7200</v>
      </c>
      <c r="JA33" s="43">
        <v>7200</v>
      </c>
      <c r="JB33" s="43"/>
      <c r="JC33" s="43"/>
      <c r="JD33" s="43">
        <v>7200</v>
      </c>
      <c r="JE33" s="43">
        <v>7200</v>
      </c>
      <c r="JF33" s="43">
        <v>7200</v>
      </c>
      <c r="JG33" s="43">
        <v>7200</v>
      </c>
      <c r="JH33" s="43">
        <v>7200</v>
      </c>
      <c r="JI33" s="43"/>
      <c r="JJ33" s="43"/>
      <c r="JK33" s="43">
        <v>7200</v>
      </c>
      <c r="JL33" s="43">
        <v>7200</v>
      </c>
      <c r="JM33" s="43">
        <v>7200</v>
      </c>
      <c r="JN33" s="43">
        <v>7500</v>
      </c>
      <c r="JO33" s="43">
        <v>7500</v>
      </c>
      <c r="JP33" s="43"/>
      <c r="JQ33" s="43"/>
      <c r="JR33" s="43">
        <v>7500</v>
      </c>
      <c r="JS33" s="43">
        <v>7300</v>
      </c>
      <c r="JT33" s="43">
        <v>7600</v>
      </c>
      <c r="JU33" s="43">
        <v>7600</v>
      </c>
      <c r="JV33" s="43">
        <v>7600</v>
      </c>
      <c r="JW33" s="43"/>
      <c r="JX33" s="43"/>
      <c r="JY33" s="43">
        <v>7600</v>
      </c>
      <c r="JZ33" s="43">
        <v>7600</v>
      </c>
      <c r="KA33" s="43">
        <v>7600</v>
      </c>
      <c r="KB33" s="43">
        <v>7600</v>
      </c>
      <c r="KC33" s="43">
        <v>7600</v>
      </c>
      <c r="KD33" s="43"/>
      <c r="KE33" s="43"/>
      <c r="KF33" s="43">
        <v>7600</v>
      </c>
      <c r="KG33" s="43">
        <v>7500</v>
      </c>
      <c r="KH33" s="43">
        <v>7700</v>
      </c>
      <c r="KI33" s="43">
        <v>7700</v>
      </c>
      <c r="KJ33" s="43">
        <v>7700</v>
      </c>
      <c r="KK33" s="43"/>
      <c r="KL33" s="43"/>
      <c r="KM33" s="43">
        <v>7700</v>
      </c>
      <c r="KN33" s="43">
        <v>7700</v>
      </c>
      <c r="KO33" s="43">
        <v>7700</v>
      </c>
      <c r="KP33" s="43">
        <v>7700</v>
      </c>
      <c r="KQ33" s="43">
        <v>7700</v>
      </c>
      <c r="KR33" s="43"/>
      <c r="KS33" s="43"/>
      <c r="KT33" s="43">
        <v>7700</v>
      </c>
      <c r="KU33" s="43">
        <v>7700</v>
      </c>
      <c r="KV33" s="43">
        <v>7700</v>
      </c>
      <c r="KW33" s="43">
        <v>7700</v>
      </c>
      <c r="KX33" s="43">
        <v>7700</v>
      </c>
      <c r="KY33" s="43"/>
      <c r="KZ33" s="43"/>
      <c r="LA33" s="43">
        <v>7700</v>
      </c>
      <c r="LB33" s="43">
        <v>7700</v>
      </c>
      <c r="LC33" s="43">
        <v>7700</v>
      </c>
      <c r="LD33" s="43">
        <v>7500</v>
      </c>
      <c r="LE33" s="43">
        <v>7500</v>
      </c>
      <c r="LF33" s="43"/>
      <c r="LG33" s="43"/>
      <c r="LH33" s="43">
        <v>7500</v>
      </c>
      <c r="LI33" s="43">
        <v>7500</v>
      </c>
      <c r="LJ33" s="43">
        <v>7500</v>
      </c>
      <c r="LK33" s="43">
        <v>7500</v>
      </c>
      <c r="LL33" s="43">
        <v>7500</v>
      </c>
      <c r="LM33" s="43"/>
      <c r="LN33" s="43"/>
      <c r="LO33" s="43">
        <v>7500</v>
      </c>
      <c r="LP33" s="43">
        <v>7500</v>
      </c>
      <c r="LQ33" s="43">
        <v>7500</v>
      </c>
      <c r="LR33" s="43">
        <v>7500</v>
      </c>
      <c r="LS33" s="43">
        <v>7400</v>
      </c>
      <c r="LT33" s="43"/>
      <c r="LU33" s="43"/>
      <c r="LV33" s="43">
        <v>7400</v>
      </c>
      <c r="LW33" s="43">
        <v>7200</v>
      </c>
      <c r="LX33" s="43">
        <v>7200</v>
      </c>
      <c r="LY33" s="43">
        <v>7200</v>
      </c>
      <c r="LZ33" s="43">
        <v>7200</v>
      </c>
      <c r="MA33" s="43"/>
      <c r="MB33" s="43"/>
      <c r="MC33" s="43">
        <v>7200</v>
      </c>
      <c r="MD33" s="43">
        <v>7200</v>
      </c>
      <c r="ME33" s="43">
        <v>7200</v>
      </c>
      <c r="MF33" s="43">
        <v>7200</v>
      </c>
      <c r="MG33" s="43">
        <v>7200</v>
      </c>
      <c r="MH33" s="43"/>
      <c r="MI33" s="43"/>
      <c r="MJ33" s="43">
        <v>7100</v>
      </c>
      <c r="MK33" s="43">
        <v>7100</v>
      </c>
      <c r="ML33" s="43">
        <v>7100</v>
      </c>
      <c r="MM33" s="43">
        <v>7100</v>
      </c>
      <c r="MN33" s="43">
        <v>7500</v>
      </c>
      <c r="MO33" s="43"/>
      <c r="MP33" s="43"/>
      <c r="MQ33" s="43">
        <v>7500</v>
      </c>
      <c r="MR33" s="43">
        <v>7500</v>
      </c>
      <c r="MS33" s="43">
        <v>7500</v>
      </c>
      <c r="MT33" s="43">
        <v>7500</v>
      </c>
      <c r="MU33" s="43">
        <v>7500</v>
      </c>
      <c r="MV33" s="43"/>
      <c r="MW33" s="43"/>
      <c r="MX33" s="43">
        <v>7500</v>
      </c>
      <c r="MY33" s="43">
        <v>7500</v>
      </c>
      <c r="MZ33" s="43">
        <v>7500</v>
      </c>
      <c r="NA33" s="43">
        <v>7500</v>
      </c>
      <c r="NB33" s="43">
        <v>7500</v>
      </c>
    </row>
    <row r="34" spans="1:366" x14ac:dyDescent="0.25">
      <c r="A34" s="26" t="s">
        <v>131</v>
      </c>
      <c r="B34" s="59"/>
      <c r="C34" s="59"/>
      <c r="D34" s="59"/>
      <c r="E34" s="59">
        <v>4900</v>
      </c>
      <c r="F34" s="59">
        <v>5050</v>
      </c>
      <c r="G34" s="59">
        <v>5050</v>
      </c>
      <c r="H34" s="59">
        <v>5050</v>
      </c>
      <c r="I34" s="59">
        <v>5050</v>
      </c>
      <c r="J34" s="59"/>
      <c r="K34" s="59"/>
      <c r="L34" s="59">
        <v>5050</v>
      </c>
      <c r="M34" s="59">
        <v>5400</v>
      </c>
      <c r="N34" s="59">
        <v>5700</v>
      </c>
      <c r="O34" s="59">
        <v>5600</v>
      </c>
      <c r="P34" s="59">
        <v>5300</v>
      </c>
      <c r="Q34" s="59"/>
      <c r="R34" s="59"/>
      <c r="S34" s="59">
        <v>5300</v>
      </c>
      <c r="T34" s="59">
        <v>5200</v>
      </c>
      <c r="U34" s="59">
        <v>5200</v>
      </c>
      <c r="V34" s="24">
        <v>5000</v>
      </c>
      <c r="W34" s="24">
        <v>5000</v>
      </c>
      <c r="X34" s="24"/>
      <c r="Y34" s="24"/>
      <c r="Z34" s="24">
        <v>5000</v>
      </c>
      <c r="AA34" s="24">
        <v>5000</v>
      </c>
      <c r="AB34" s="24">
        <v>5150</v>
      </c>
      <c r="AC34" s="24">
        <v>5150</v>
      </c>
      <c r="AD34" s="24">
        <v>5200</v>
      </c>
      <c r="AE34" s="24"/>
      <c r="AF34" s="24"/>
      <c r="AG34" s="24">
        <v>5250</v>
      </c>
      <c r="AH34" s="24">
        <v>5250</v>
      </c>
      <c r="AI34" s="24">
        <v>5150</v>
      </c>
      <c r="AJ34" s="24">
        <v>5100</v>
      </c>
      <c r="AK34" s="24">
        <v>5100</v>
      </c>
      <c r="AL34" s="24"/>
      <c r="AM34" s="24"/>
      <c r="AN34" s="24">
        <v>5050</v>
      </c>
      <c r="AO34" s="24">
        <v>5050</v>
      </c>
      <c r="AP34" s="24">
        <v>5000</v>
      </c>
      <c r="AQ34" s="24">
        <v>4950</v>
      </c>
      <c r="AR34" s="24">
        <v>4950</v>
      </c>
      <c r="AS34" s="24"/>
      <c r="AT34" s="24"/>
      <c r="AU34" s="59">
        <v>5050</v>
      </c>
      <c r="AV34" s="59">
        <v>5050</v>
      </c>
      <c r="AW34" s="59">
        <v>4950</v>
      </c>
      <c r="AX34" s="59">
        <v>4950</v>
      </c>
      <c r="AY34" s="59">
        <v>4900</v>
      </c>
      <c r="AZ34" s="24"/>
      <c r="BA34" s="24"/>
      <c r="BB34" s="24">
        <v>4950</v>
      </c>
      <c r="BC34" s="24">
        <v>5250</v>
      </c>
      <c r="BD34" s="24">
        <v>5250</v>
      </c>
      <c r="BE34" s="24">
        <v>5300</v>
      </c>
      <c r="BF34" s="24">
        <v>5300</v>
      </c>
      <c r="BG34" s="24"/>
      <c r="BH34" s="24"/>
      <c r="BI34" s="24">
        <v>5300</v>
      </c>
      <c r="BJ34" s="24">
        <v>5450</v>
      </c>
      <c r="BK34" s="24">
        <v>5550</v>
      </c>
      <c r="BL34" s="24">
        <v>5850</v>
      </c>
      <c r="BM34" s="24">
        <v>5850</v>
      </c>
      <c r="BN34" s="24"/>
      <c r="BO34" s="24"/>
      <c r="BP34" s="24">
        <v>6050</v>
      </c>
      <c r="BQ34" s="24">
        <v>6000</v>
      </c>
      <c r="BR34" s="24">
        <v>6100</v>
      </c>
      <c r="BS34" s="24">
        <v>6100</v>
      </c>
      <c r="BT34" s="24">
        <v>6400</v>
      </c>
      <c r="BU34" s="24"/>
      <c r="BV34" s="24"/>
      <c r="BW34" s="24">
        <v>6400</v>
      </c>
      <c r="BX34" s="24">
        <v>6400</v>
      </c>
      <c r="BY34" s="24">
        <v>6400</v>
      </c>
      <c r="BZ34" s="24">
        <v>6600</v>
      </c>
      <c r="CA34" s="24">
        <v>6300</v>
      </c>
      <c r="CB34" s="24"/>
      <c r="CC34" s="24"/>
      <c r="CD34" s="24">
        <v>6400</v>
      </c>
      <c r="CE34" s="24">
        <v>6400</v>
      </c>
      <c r="CF34" s="24">
        <v>6400</v>
      </c>
      <c r="CG34" s="24">
        <v>6400</v>
      </c>
      <c r="CH34" s="24">
        <v>6250</v>
      </c>
      <c r="CI34" s="24"/>
      <c r="CJ34" s="24"/>
      <c r="CK34" s="24">
        <v>6300</v>
      </c>
      <c r="CL34" s="24">
        <v>6300</v>
      </c>
      <c r="CM34" s="24">
        <v>6100</v>
      </c>
      <c r="CN34" s="24">
        <v>6100</v>
      </c>
      <c r="CO34" s="24">
        <v>6100</v>
      </c>
      <c r="CP34" s="24"/>
      <c r="CQ34" s="24"/>
      <c r="CR34" s="24">
        <v>6250</v>
      </c>
      <c r="CS34" s="24">
        <v>6250</v>
      </c>
      <c r="CT34" s="24">
        <v>6500</v>
      </c>
      <c r="CU34" s="24">
        <v>6530</v>
      </c>
      <c r="CV34" s="24">
        <v>6350</v>
      </c>
      <c r="CW34" s="24"/>
      <c r="CX34" s="24"/>
      <c r="CY34" s="24">
        <v>6150</v>
      </c>
      <c r="CZ34" s="24">
        <v>6150</v>
      </c>
      <c r="DA34" s="24">
        <v>6150</v>
      </c>
      <c r="DB34" s="24">
        <v>6150</v>
      </c>
      <c r="DC34" s="24">
        <v>6150</v>
      </c>
      <c r="DD34" s="24"/>
      <c r="DE34" s="24"/>
      <c r="DF34" s="24">
        <v>6100</v>
      </c>
      <c r="DG34" s="24">
        <v>6100</v>
      </c>
      <c r="DH34" s="24">
        <v>6100</v>
      </c>
      <c r="DI34" s="24">
        <v>6100</v>
      </c>
      <c r="DJ34" s="24">
        <v>6100</v>
      </c>
      <c r="DK34" s="24"/>
      <c r="DL34" s="24"/>
      <c r="DM34" s="24">
        <v>6100</v>
      </c>
      <c r="DN34" s="24">
        <v>7150</v>
      </c>
      <c r="DO34" s="24">
        <v>6150</v>
      </c>
      <c r="DP34" s="24">
        <v>6100</v>
      </c>
      <c r="DQ34" s="24">
        <v>6150</v>
      </c>
      <c r="DR34" s="24"/>
      <c r="DS34" s="24"/>
      <c r="DT34" s="24">
        <v>6050</v>
      </c>
      <c r="DU34" s="24">
        <v>6050</v>
      </c>
      <c r="DV34" s="24">
        <v>6150</v>
      </c>
      <c r="DW34" s="24">
        <v>6150</v>
      </c>
      <c r="DX34" s="24">
        <v>6150</v>
      </c>
      <c r="DY34" s="24"/>
      <c r="DZ34" s="24"/>
      <c r="EA34" s="24">
        <v>6150</v>
      </c>
      <c r="EB34" s="24">
        <v>6150</v>
      </c>
      <c r="EC34" s="24">
        <v>6150</v>
      </c>
      <c r="ED34" s="24">
        <v>6200</v>
      </c>
      <c r="EE34" s="24">
        <v>6200</v>
      </c>
      <c r="EF34" s="24"/>
      <c r="EG34" s="24"/>
      <c r="EH34" s="24">
        <v>6200</v>
      </c>
      <c r="EI34" s="24">
        <v>6200</v>
      </c>
      <c r="EJ34" s="24">
        <v>6200</v>
      </c>
      <c r="EK34" s="24">
        <v>6500</v>
      </c>
      <c r="EL34" s="24">
        <v>6500</v>
      </c>
      <c r="EM34" s="24"/>
      <c r="EN34" s="24"/>
      <c r="EO34" s="24">
        <v>6400</v>
      </c>
      <c r="EP34" s="24">
        <v>6400</v>
      </c>
      <c r="EQ34" s="24">
        <v>6400</v>
      </c>
      <c r="ER34" s="24">
        <v>6500</v>
      </c>
      <c r="ES34" s="24">
        <v>6400</v>
      </c>
      <c r="ET34" s="24"/>
      <c r="EU34" s="24"/>
      <c r="EV34" s="24">
        <v>6400</v>
      </c>
      <c r="EW34" s="24">
        <v>6400</v>
      </c>
      <c r="EX34" s="24">
        <v>6400</v>
      </c>
      <c r="EY34" s="24">
        <v>6400</v>
      </c>
      <c r="EZ34" s="24">
        <v>6500</v>
      </c>
      <c r="FA34" s="24"/>
      <c r="FB34" s="24"/>
      <c r="FC34" s="24">
        <v>6500</v>
      </c>
      <c r="FD34" s="24">
        <v>6300</v>
      </c>
      <c r="FE34" s="24">
        <v>6300</v>
      </c>
      <c r="FF34" s="24">
        <v>6200</v>
      </c>
      <c r="FG34" s="24">
        <v>6200</v>
      </c>
      <c r="FH34" s="24"/>
      <c r="FI34" s="24"/>
      <c r="FJ34" s="24">
        <v>6200</v>
      </c>
      <c r="FK34" s="24">
        <v>6150</v>
      </c>
      <c r="FL34" s="24">
        <v>6000</v>
      </c>
      <c r="FM34" s="24">
        <v>5400</v>
      </c>
      <c r="FN34" s="24">
        <v>5400</v>
      </c>
      <c r="FO34" s="24"/>
      <c r="FP34" s="24"/>
      <c r="FQ34" s="24">
        <v>5600</v>
      </c>
      <c r="FR34" s="24">
        <v>5600</v>
      </c>
      <c r="FS34" s="24">
        <v>5600</v>
      </c>
      <c r="FT34" s="24">
        <v>5600</v>
      </c>
      <c r="FU34" s="24">
        <v>5600</v>
      </c>
      <c r="FV34" s="24"/>
      <c r="FW34" s="24"/>
      <c r="FX34" s="24">
        <v>5600</v>
      </c>
      <c r="FY34" s="24">
        <v>5600</v>
      </c>
      <c r="FZ34" s="24">
        <v>5800</v>
      </c>
      <c r="GA34" s="24">
        <v>5500</v>
      </c>
      <c r="GB34" s="24">
        <v>5500</v>
      </c>
      <c r="GC34" s="24"/>
      <c r="GD34" s="24"/>
      <c r="GE34" s="24">
        <v>5500</v>
      </c>
      <c r="GF34" s="24">
        <v>5800</v>
      </c>
      <c r="GG34" s="24">
        <v>5800</v>
      </c>
      <c r="GH34" s="24">
        <v>5800</v>
      </c>
      <c r="GI34" s="24">
        <v>5800</v>
      </c>
      <c r="GJ34" s="24"/>
      <c r="GK34" s="24"/>
      <c r="GL34" s="24">
        <v>5700</v>
      </c>
      <c r="GM34" s="24">
        <v>5900</v>
      </c>
      <c r="GN34" s="24">
        <v>5900</v>
      </c>
      <c r="GO34" s="24">
        <v>5900</v>
      </c>
      <c r="GP34" s="24">
        <v>5900</v>
      </c>
      <c r="GQ34" s="24"/>
      <c r="GR34" s="24"/>
      <c r="GS34" s="24">
        <v>5900</v>
      </c>
      <c r="GT34" s="24">
        <v>6300</v>
      </c>
      <c r="GU34" s="24">
        <v>6300</v>
      </c>
      <c r="GV34" s="24">
        <v>6300</v>
      </c>
      <c r="GW34" s="24">
        <v>6300</v>
      </c>
      <c r="GX34" s="24"/>
      <c r="GY34" s="24"/>
      <c r="GZ34" s="24">
        <v>6300</v>
      </c>
      <c r="HA34" s="24">
        <v>6400</v>
      </c>
      <c r="HB34" s="24">
        <v>6400</v>
      </c>
      <c r="HC34" s="24">
        <v>6400</v>
      </c>
      <c r="HD34" s="24">
        <v>6400</v>
      </c>
      <c r="HE34" s="24"/>
      <c r="HF34" s="24"/>
      <c r="HG34" s="24">
        <v>6400</v>
      </c>
      <c r="HH34" s="24">
        <v>6300</v>
      </c>
      <c r="HI34" s="24">
        <v>6400</v>
      </c>
      <c r="HJ34" s="24">
        <v>6300</v>
      </c>
      <c r="HK34" s="24">
        <v>6300</v>
      </c>
      <c r="HL34" s="24"/>
      <c r="HM34" s="24"/>
      <c r="HN34" s="24">
        <v>6300</v>
      </c>
      <c r="HO34" s="24">
        <v>6300</v>
      </c>
      <c r="HP34" s="24">
        <v>6400</v>
      </c>
      <c r="HQ34" s="24">
        <v>6400</v>
      </c>
      <c r="HR34" s="24">
        <v>6400</v>
      </c>
      <c r="HS34" s="24"/>
      <c r="HT34" s="24"/>
      <c r="HU34" s="24">
        <v>6400</v>
      </c>
      <c r="HV34" s="24">
        <v>6400</v>
      </c>
      <c r="HW34" s="24">
        <v>6400</v>
      </c>
      <c r="HX34" s="24">
        <v>6500</v>
      </c>
      <c r="HY34" s="24">
        <v>6600</v>
      </c>
      <c r="HZ34" s="24"/>
      <c r="IA34" s="24"/>
      <c r="IB34" s="24">
        <v>6700</v>
      </c>
      <c r="IC34" s="24">
        <v>6800</v>
      </c>
      <c r="ID34" s="24">
        <v>6800</v>
      </c>
      <c r="IE34" s="24">
        <v>6700</v>
      </c>
      <c r="IF34" s="24">
        <v>6700</v>
      </c>
      <c r="IG34" s="24"/>
      <c r="IH34" s="24"/>
      <c r="II34" s="24">
        <v>6200</v>
      </c>
      <c r="IJ34" s="24">
        <v>6000</v>
      </c>
      <c r="IK34" s="24">
        <v>6000</v>
      </c>
      <c r="IL34" s="24">
        <v>6000</v>
      </c>
      <c r="IM34" s="24">
        <v>6000</v>
      </c>
      <c r="IN34" s="24"/>
      <c r="IO34" s="24"/>
      <c r="IP34" s="74">
        <v>6000</v>
      </c>
      <c r="IQ34" s="74">
        <v>6000</v>
      </c>
      <c r="IR34" s="24">
        <v>6100</v>
      </c>
      <c r="IS34" s="24">
        <v>6100</v>
      </c>
      <c r="IT34" s="24">
        <v>6400</v>
      </c>
      <c r="IU34" s="24"/>
      <c r="IV34" s="24"/>
      <c r="IW34" s="24">
        <v>6400</v>
      </c>
      <c r="IX34" s="24">
        <v>6500</v>
      </c>
      <c r="IY34" s="24">
        <v>6500</v>
      </c>
      <c r="IZ34" s="24">
        <v>6500</v>
      </c>
      <c r="JA34" s="24">
        <v>6500</v>
      </c>
      <c r="JB34" s="24"/>
      <c r="JC34" s="24"/>
      <c r="JD34" s="24">
        <v>6500</v>
      </c>
      <c r="JE34" s="24">
        <v>6600</v>
      </c>
      <c r="JF34" s="24">
        <v>6700</v>
      </c>
      <c r="JG34" s="24">
        <v>6700</v>
      </c>
      <c r="JH34" s="24">
        <v>6700</v>
      </c>
      <c r="JI34" s="24"/>
      <c r="JJ34" s="24"/>
      <c r="JK34" s="24">
        <v>6700</v>
      </c>
      <c r="JL34" s="24">
        <v>6700</v>
      </c>
      <c r="JM34" s="24">
        <v>6700</v>
      </c>
      <c r="JN34" s="24">
        <v>6960</v>
      </c>
      <c r="JO34" s="24">
        <v>6960</v>
      </c>
      <c r="JP34" s="24"/>
      <c r="JQ34" s="24"/>
      <c r="JR34" s="24">
        <v>6960</v>
      </c>
      <c r="JS34" s="24">
        <v>7050</v>
      </c>
      <c r="JT34" s="24">
        <v>7100</v>
      </c>
      <c r="JU34" s="24">
        <v>7200</v>
      </c>
      <c r="JV34" s="24">
        <v>7200</v>
      </c>
      <c r="JW34" s="24"/>
      <c r="JX34" s="24"/>
      <c r="JY34" s="24">
        <v>7200</v>
      </c>
      <c r="JZ34" s="24">
        <v>7200</v>
      </c>
      <c r="KA34" s="24">
        <v>7300</v>
      </c>
      <c r="KB34" s="24">
        <v>7300</v>
      </c>
      <c r="KC34" s="24">
        <v>7300</v>
      </c>
      <c r="KD34" s="24"/>
      <c r="KE34" s="24"/>
      <c r="KF34" s="24">
        <v>7300</v>
      </c>
      <c r="KG34" s="24">
        <v>7300</v>
      </c>
      <c r="KH34" s="24">
        <v>7400</v>
      </c>
      <c r="KI34" s="24">
        <v>7500</v>
      </c>
      <c r="KJ34" s="24">
        <v>7500</v>
      </c>
      <c r="KK34" s="24"/>
      <c r="KL34" s="24"/>
      <c r="KM34" s="24">
        <v>7450</v>
      </c>
      <c r="KN34" s="24">
        <v>7450</v>
      </c>
      <c r="KO34" s="24">
        <v>7450</v>
      </c>
      <c r="KP34" s="24">
        <v>7450</v>
      </c>
      <c r="KQ34" s="24">
        <v>7450</v>
      </c>
      <c r="KR34" s="24"/>
      <c r="KS34" s="24"/>
      <c r="KT34" s="24">
        <v>7450</v>
      </c>
      <c r="KU34" s="24">
        <v>7450</v>
      </c>
      <c r="KV34" s="24">
        <v>7450</v>
      </c>
      <c r="KW34" s="24">
        <v>7700</v>
      </c>
      <c r="KX34" s="24">
        <v>7300</v>
      </c>
      <c r="KY34" s="24"/>
      <c r="KZ34" s="24"/>
      <c r="LA34" s="24">
        <v>7300</v>
      </c>
      <c r="LB34" s="24">
        <v>7300</v>
      </c>
      <c r="LC34" s="24">
        <v>7300</v>
      </c>
      <c r="LD34" s="24">
        <v>7200</v>
      </c>
      <c r="LE34" s="24">
        <v>7200</v>
      </c>
      <c r="LF34" s="24"/>
      <c r="LG34" s="24"/>
      <c r="LH34" s="24">
        <v>7200</v>
      </c>
      <c r="LI34" s="24">
        <v>7400</v>
      </c>
      <c r="LJ34" s="24">
        <v>7400</v>
      </c>
      <c r="LK34" s="24">
        <v>7400</v>
      </c>
      <c r="LL34" s="24">
        <v>7400</v>
      </c>
      <c r="LM34" s="24"/>
      <c r="LN34" s="24"/>
      <c r="LO34" s="24">
        <v>7450</v>
      </c>
      <c r="LP34" s="24">
        <v>7450</v>
      </c>
      <c r="LQ34" s="24">
        <v>7450</v>
      </c>
      <c r="LR34" s="24">
        <v>7450</v>
      </c>
      <c r="LS34" s="24">
        <v>7300</v>
      </c>
      <c r="LT34" s="24"/>
      <c r="LU34" s="24"/>
      <c r="LV34" s="24">
        <v>7300</v>
      </c>
      <c r="LW34" s="24">
        <v>7200</v>
      </c>
      <c r="LX34" s="24">
        <v>7200</v>
      </c>
      <c r="LY34" s="24">
        <v>7200</v>
      </c>
      <c r="LZ34" s="24">
        <v>7200</v>
      </c>
      <c r="MA34" s="24"/>
      <c r="MB34" s="24"/>
      <c r="MC34" s="24">
        <v>7200</v>
      </c>
      <c r="MD34" s="24">
        <v>7200</v>
      </c>
      <c r="ME34" s="24">
        <v>7200</v>
      </c>
      <c r="MF34" s="24">
        <v>7200</v>
      </c>
      <c r="MG34" s="24">
        <v>7200</v>
      </c>
      <c r="MH34" s="24"/>
      <c r="MI34" s="24"/>
      <c r="MJ34" s="24">
        <v>7200</v>
      </c>
      <c r="MK34" s="24">
        <v>7050</v>
      </c>
      <c r="ML34" s="24">
        <v>7050</v>
      </c>
      <c r="MM34" s="24">
        <v>7000</v>
      </c>
      <c r="MN34" s="24">
        <v>7000</v>
      </c>
      <c r="MO34" s="24"/>
      <c r="MP34" s="24"/>
      <c r="MQ34" s="24">
        <v>7050</v>
      </c>
      <c r="MR34" s="24">
        <v>6800</v>
      </c>
      <c r="MS34" s="24">
        <v>6800</v>
      </c>
      <c r="MT34" s="24">
        <v>6800</v>
      </c>
      <c r="MU34" s="24">
        <v>6800</v>
      </c>
      <c r="MV34" s="24"/>
      <c r="MW34" s="24"/>
      <c r="MX34" s="24">
        <v>6900</v>
      </c>
      <c r="MY34" s="24">
        <v>6900</v>
      </c>
      <c r="MZ34" s="24">
        <v>6900</v>
      </c>
      <c r="NA34" s="24">
        <v>6900</v>
      </c>
      <c r="NB34" s="24">
        <v>6900</v>
      </c>
    </row>
    <row r="35" spans="1:366" x14ac:dyDescent="0.25">
      <c r="A35" s="47" t="s">
        <v>180</v>
      </c>
      <c r="B35" s="63"/>
      <c r="C35" s="63"/>
      <c r="D35" s="63"/>
      <c r="E35" s="63">
        <v>252</v>
      </c>
      <c r="F35" s="63">
        <v>260</v>
      </c>
      <c r="G35" s="63">
        <v>260</v>
      </c>
      <c r="H35" s="63">
        <v>260</v>
      </c>
      <c r="I35" s="63">
        <v>264</v>
      </c>
      <c r="J35" s="63"/>
      <c r="K35" s="63"/>
      <c r="L35" s="63">
        <v>264</v>
      </c>
      <c r="M35" s="63">
        <v>267</v>
      </c>
      <c r="N35" s="63">
        <v>268</v>
      </c>
      <c r="O35" s="63">
        <v>268</v>
      </c>
      <c r="P35" s="63">
        <v>268</v>
      </c>
      <c r="Q35" s="63"/>
      <c r="R35" s="63"/>
      <c r="S35" s="63">
        <v>270</v>
      </c>
      <c r="T35" s="63">
        <v>272</v>
      </c>
      <c r="U35" s="43">
        <v>272</v>
      </c>
      <c r="V35" s="43">
        <v>272</v>
      </c>
      <c r="W35" s="43">
        <v>272</v>
      </c>
      <c r="X35" s="43"/>
      <c r="Y35" s="43"/>
      <c r="Z35" s="43">
        <v>272</v>
      </c>
      <c r="AA35" s="43">
        <v>275</v>
      </c>
      <c r="AB35" s="43">
        <v>275</v>
      </c>
      <c r="AC35" s="43">
        <v>275</v>
      </c>
      <c r="AD35" s="43">
        <v>275</v>
      </c>
      <c r="AE35" s="43"/>
      <c r="AF35" s="43"/>
      <c r="AG35" s="43">
        <v>275</v>
      </c>
      <c r="AH35" s="43">
        <v>280</v>
      </c>
      <c r="AI35" s="43">
        <v>280</v>
      </c>
      <c r="AJ35" s="43">
        <v>283</v>
      </c>
      <c r="AK35" s="43">
        <v>283</v>
      </c>
      <c r="AL35" s="43"/>
      <c r="AM35" s="43"/>
      <c r="AN35" s="43">
        <v>285</v>
      </c>
      <c r="AO35" s="43">
        <v>285</v>
      </c>
      <c r="AP35" s="43">
        <v>285</v>
      </c>
      <c r="AQ35" s="43">
        <v>285</v>
      </c>
      <c r="AR35" s="43">
        <v>285</v>
      </c>
      <c r="AS35" s="43"/>
      <c r="AT35" s="43"/>
      <c r="AU35" s="63">
        <v>285</v>
      </c>
      <c r="AV35" s="63">
        <v>285</v>
      </c>
      <c r="AW35" s="43">
        <v>285</v>
      </c>
      <c r="AX35" s="43">
        <v>285</v>
      </c>
      <c r="AY35" s="43">
        <v>285</v>
      </c>
      <c r="AZ35" s="43"/>
      <c r="BA35" s="43"/>
      <c r="BB35" s="43">
        <v>280</v>
      </c>
      <c r="BC35" s="43">
        <v>280</v>
      </c>
      <c r="BD35" s="43">
        <v>280</v>
      </c>
      <c r="BE35" s="43">
        <v>275</v>
      </c>
      <c r="BF35" s="43">
        <v>275</v>
      </c>
      <c r="BG35" s="43"/>
      <c r="BH35" s="43"/>
      <c r="BI35" s="43">
        <v>275</v>
      </c>
      <c r="BJ35" s="43">
        <v>275</v>
      </c>
      <c r="BK35" s="43">
        <v>275</v>
      </c>
      <c r="BL35" s="43">
        <v>275</v>
      </c>
      <c r="BM35" s="43">
        <v>275</v>
      </c>
      <c r="BN35" s="43"/>
      <c r="BO35" s="43"/>
      <c r="BP35" s="43">
        <v>275</v>
      </c>
      <c r="BQ35" s="43">
        <v>278</v>
      </c>
      <c r="BR35" s="43">
        <v>278</v>
      </c>
      <c r="BS35" s="43">
        <v>278</v>
      </c>
      <c r="BT35" s="43">
        <v>278</v>
      </c>
      <c r="BU35" s="43"/>
      <c r="BV35" s="43"/>
      <c r="BW35" s="43">
        <v>280</v>
      </c>
      <c r="BX35" s="43">
        <v>282</v>
      </c>
      <c r="BY35" s="43">
        <v>282</v>
      </c>
      <c r="BZ35" s="43">
        <v>283</v>
      </c>
      <c r="CA35" s="43">
        <v>283</v>
      </c>
      <c r="CB35" s="43"/>
      <c r="CC35" s="43"/>
      <c r="CD35" s="43">
        <v>283</v>
      </c>
      <c r="CE35" s="43">
        <v>283</v>
      </c>
      <c r="CF35" s="43">
        <v>284</v>
      </c>
      <c r="CG35" s="43">
        <v>285</v>
      </c>
      <c r="CH35" s="43">
        <v>285</v>
      </c>
      <c r="CI35" s="43"/>
      <c r="CJ35" s="43"/>
      <c r="CK35" s="43">
        <v>287</v>
      </c>
      <c r="CL35" s="43">
        <v>290</v>
      </c>
      <c r="CM35" s="43">
        <v>290</v>
      </c>
      <c r="CN35" s="43">
        <v>292</v>
      </c>
      <c r="CO35" s="43">
        <v>292</v>
      </c>
      <c r="CP35" s="43"/>
      <c r="CQ35" s="43"/>
      <c r="CR35" s="43">
        <v>292</v>
      </c>
      <c r="CS35" s="43">
        <v>293</v>
      </c>
      <c r="CT35" s="43">
        <v>293</v>
      </c>
      <c r="CU35" s="43">
        <v>294</v>
      </c>
      <c r="CV35" s="43">
        <v>294</v>
      </c>
      <c r="CW35" s="43"/>
      <c r="CX35" s="43"/>
      <c r="CY35" s="43">
        <v>297</v>
      </c>
      <c r="CZ35" s="43">
        <v>297</v>
      </c>
      <c r="DA35" s="43">
        <v>297</v>
      </c>
      <c r="DB35" s="43">
        <v>297</v>
      </c>
      <c r="DC35" s="43">
        <v>297</v>
      </c>
      <c r="DD35" s="43"/>
      <c r="DE35" s="43"/>
      <c r="DF35" s="43">
        <v>297</v>
      </c>
      <c r="DG35" s="43">
        <v>297</v>
      </c>
      <c r="DH35" s="43">
        <v>297</v>
      </c>
      <c r="DI35" s="43">
        <v>296</v>
      </c>
      <c r="DJ35" s="43">
        <v>296</v>
      </c>
      <c r="DK35" s="43"/>
      <c r="DL35" s="43"/>
      <c r="DM35" s="43">
        <v>296</v>
      </c>
      <c r="DN35" s="43">
        <v>296</v>
      </c>
      <c r="DO35" s="43">
        <v>296</v>
      </c>
      <c r="DP35" s="43">
        <v>296</v>
      </c>
      <c r="DQ35" s="43">
        <v>296</v>
      </c>
      <c r="DR35" s="43"/>
      <c r="DS35" s="43"/>
      <c r="DT35" s="43">
        <v>293</v>
      </c>
      <c r="DU35" s="43">
        <v>293</v>
      </c>
      <c r="DV35" s="43">
        <v>293</v>
      </c>
      <c r="DW35" s="43">
        <v>293</v>
      </c>
      <c r="DX35" s="43">
        <v>293</v>
      </c>
      <c r="DY35" s="43"/>
      <c r="DZ35" s="43"/>
      <c r="EA35" s="43">
        <v>293</v>
      </c>
      <c r="EB35" s="43">
        <v>293</v>
      </c>
      <c r="EC35" s="43">
        <v>293</v>
      </c>
      <c r="ED35" s="43">
        <v>293</v>
      </c>
      <c r="EE35" s="43">
        <v>293</v>
      </c>
      <c r="EF35" s="43"/>
      <c r="EG35" s="43"/>
      <c r="EH35" s="43">
        <v>293</v>
      </c>
      <c r="EI35" s="43">
        <v>295</v>
      </c>
      <c r="EJ35" s="43">
        <v>295</v>
      </c>
      <c r="EK35" s="43">
        <v>295</v>
      </c>
      <c r="EL35" s="43">
        <v>296</v>
      </c>
      <c r="EM35" s="43"/>
      <c r="EN35" s="43"/>
      <c r="EO35" s="43">
        <v>297</v>
      </c>
      <c r="EP35" s="43">
        <v>297</v>
      </c>
      <c r="EQ35" s="43">
        <v>297</v>
      </c>
      <c r="ER35" s="43">
        <v>297</v>
      </c>
      <c r="ES35" s="43">
        <v>297</v>
      </c>
      <c r="ET35" s="43"/>
      <c r="EU35" s="43"/>
      <c r="EV35" s="43">
        <v>297</v>
      </c>
      <c r="EW35" s="43">
        <v>297</v>
      </c>
      <c r="EX35" s="43">
        <v>297</v>
      </c>
      <c r="EY35" s="43">
        <v>297</v>
      </c>
      <c r="EZ35" s="43">
        <v>297</v>
      </c>
      <c r="FA35" s="43"/>
      <c r="FB35" s="43"/>
      <c r="FC35" s="43">
        <v>297</v>
      </c>
      <c r="FD35" s="43">
        <v>297</v>
      </c>
      <c r="FE35" s="43">
        <v>297</v>
      </c>
      <c r="FF35" s="43">
        <v>297</v>
      </c>
      <c r="FG35" s="43">
        <v>298</v>
      </c>
      <c r="FH35" s="43"/>
      <c r="FI35" s="43"/>
      <c r="FJ35" s="43">
        <v>298</v>
      </c>
      <c r="FK35" s="43">
        <v>298</v>
      </c>
      <c r="FL35" s="43">
        <v>298</v>
      </c>
      <c r="FM35" s="43">
        <v>298</v>
      </c>
      <c r="FN35" s="43">
        <v>298</v>
      </c>
      <c r="FO35" s="43"/>
      <c r="FP35" s="43"/>
      <c r="FQ35" s="43">
        <v>298</v>
      </c>
      <c r="FR35" s="43">
        <v>298</v>
      </c>
      <c r="FS35" s="43">
        <v>298</v>
      </c>
      <c r="FT35" s="43">
        <v>298</v>
      </c>
      <c r="FU35" s="43">
        <v>298</v>
      </c>
      <c r="FV35" s="43"/>
      <c r="FW35" s="43"/>
      <c r="FX35" s="43">
        <v>298</v>
      </c>
      <c r="FY35" s="43">
        <v>298</v>
      </c>
      <c r="FZ35" s="43">
        <v>298</v>
      </c>
      <c r="GA35" s="43">
        <v>297</v>
      </c>
      <c r="GB35" s="43">
        <v>297</v>
      </c>
      <c r="GC35" s="43"/>
      <c r="GD35" s="43"/>
      <c r="GE35" s="43">
        <v>298</v>
      </c>
      <c r="GF35" s="43">
        <v>298</v>
      </c>
      <c r="GG35" s="43">
        <v>296</v>
      </c>
      <c r="GH35" s="43">
        <v>296</v>
      </c>
      <c r="GI35" s="43">
        <v>295</v>
      </c>
      <c r="GJ35" s="43"/>
      <c r="GK35" s="43"/>
      <c r="GL35" s="43">
        <v>292</v>
      </c>
      <c r="GM35" s="43">
        <v>292</v>
      </c>
      <c r="GN35" s="43">
        <v>292</v>
      </c>
      <c r="GO35" s="43">
        <v>292</v>
      </c>
      <c r="GP35" s="43">
        <v>292</v>
      </c>
      <c r="GQ35" s="43"/>
      <c r="GR35" s="43"/>
      <c r="GS35" s="43">
        <v>292</v>
      </c>
      <c r="GT35" s="43">
        <v>292</v>
      </c>
      <c r="GU35" s="43">
        <v>291</v>
      </c>
      <c r="GV35" s="43">
        <v>292</v>
      </c>
      <c r="GW35" s="43">
        <v>292</v>
      </c>
      <c r="GX35" s="43"/>
      <c r="GY35" s="43"/>
      <c r="GZ35" s="43">
        <v>293</v>
      </c>
      <c r="HA35" s="43">
        <v>295</v>
      </c>
      <c r="HB35" s="43">
        <v>296</v>
      </c>
      <c r="HC35" s="43">
        <v>296</v>
      </c>
      <c r="HD35" s="43">
        <v>296</v>
      </c>
      <c r="HE35" s="43"/>
      <c r="HF35" s="43"/>
      <c r="HG35" s="43">
        <v>296</v>
      </c>
      <c r="HH35" s="43">
        <v>296</v>
      </c>
      <c r="HI35" s="43">
        <v>296</v>
      </c>
      <c r="HJ35" s="43">
        <v>296</v>
      </c>
      <c r="HK35" s="43">
        <v>296</v>
      </c>
      <c r="HL35" s="43"/>
      <c r="HM35" s="43"/>
      <c r="HN35" s="43">
        <v>297</v>
      </c>
      <c r="HO35" s="43">
        <v>297</v>
      </c>
      <c r="HP35" s="43">
        <v>297</v>
      </c>
      <c r="HQ35" s="43">
        <v>297</v>
      </c>
      <c r="HR35" s="43">
        <v>297</v>
      </c>
      <c r="HS35" s="43"/>
      <c r="HT35" s="43"/>
      <c r="HU35" s="43">
        <v>297</v>
      </c>
      <c r="HV35" s="43">
        <v>297</v>
      </c>
      <c r="HW35" s="43">
        <v>297</v>
      </c>
      <c r="HX35" s="43">
        <v>297</v>
      </c>
      <c r="HY35" s="43">
        <v>297</v>
      </c>
      <c r="HZ35" s="43"/>
      <c r="IA35" s="43"/>
      <c r="IB35" s="43">
        <v>297</v>
      </c>
      <c r="IC35" s="43">
        <v>297</v>
      </c>
      <c r="ID35" s="43">
        <v>297</v>
      </c>
      <c r="IE35" s="43">
        <v>297</v>
      </c>
      <c r="IF35" s="43">
        <v>296</v>
      </c>
      <c r="IG35" s="43"/>
      <c r="IH35" s="43"/>
      <c r="II35" s="43">
        <v>294</v>
      </c>
      <c r="IJ35" s="43">
        <v>293</v>
      </c>
      <c r="IK35" s="43">
        <v>293</v>
      </c>
      <c r="IL35" s="43">
        <v>295</v>
      </c>
      <c r="IM35" s="43">
        <v>295</v>
      </c>
      <c r="IN35" s="43"/>
      <c r="IO35" s="43"/>
      <c r="IP35" s="54">
        <v>295</v>
      </c>
      <c r="IQ35" s="54">
        <v>295</v>
      </c>
      <c r="IR35" s="43">
        <v>295</v>
      </c>
      <c r="IS35" s="43">
        <v>291</v>
      </c>
      <c r="IT35" s="43">
        <v>291</v>
      </c>
      <c r="IU35" s="43"/>
      <c r="IV35" s="43"/>
      <c r="IW35" s="43">
        <v>291</v>
      </c>
      <c r="IX35" s="43">
        <v>290</v>
      </c>
      <c r="IY35" s="43">
        <v>290</v>
      </c>
      <c r="IZ35" s="43">
        <v>288</v>
      </c>
      <c r="JA35" s="43">
        <v>288</v>
      </c>
      <c r="JB35" s="43"/>
      <c r="JC35" s="43"/>
      <c r="JD35" s="43">
        <v>288</v>
      </c>
      <c r="JE35" s="43">
        <v>288</v>
      </c>
      <c r="JF35" s="43">
        <v>288</v>
      </c>
      <c r="JG35" s="43">
        <v>288</v>
      </c>
      <c r="JH35" s="43">
        <v>285</v>
      </c>
      <c r="JI35" s="43"/>
      <c r="JJ35" s="43"/>
      <c r="JK35" s="43">
        <v>285</v>
      </c>
      <c r="JL35" s="43">
        <v>285</v>
      </c>
      <c r="JM35" s="43">
        <v>284</v>
      </c>
      <c r="JN35" s="43">
        <v>282</v>
      </c>
      <c r="JO35" s="43">
        <v>280</v>
      </c>
      <c r="JP35" s="43"/>
      <c r="JQ35" s="43"/>
      <c r="JR35" s="43">
        <v>280</v>
      </c>
      <c r="JS35" s="43">
        <v>280</v>
      </c>
      <c r="JT35" s="43">
        <v>278</v>
      </c>
      <c r="JU35" s="43">
        <v>270</v>
      </c>
      <c r="JV35" s="43">
        <v>270</v>
      </c>
      <c r="JW35" s="43"/>
      <c r="JX35" s="43"/>
      <c r="JY35" s="43">
        <v>268</v>
      </c>
      <c r="JZ35" s="43">
        <v>268</v>
      </c>
      <c r="KA35" s="43">
        <v>265</v>
      </c>
      <c r="KB35" s="43">
        <v>265</v>
      </c>
      <c r="KC35" s="94">
        <v>263</v>
      </c>
      <c r="KD35" s="43"/>
      <c r="KE35" s="43"/>
      <c r="KF35" s="94">
        <v>263</v>
      </c>
      <c r="KG35" s="94">
        <v>263</v>
      </c>
      <c r="KH35" s="43">
        <v>260</v>
      </c>
      <c r="KI35" s="43">
        <v>254</v>
      </c>
      <c r="KJ35" s="43">
        <v>252</v>
      </c>
      <c r="KK35" s="43"/>
      <c r="KL35" s="43"/>
      <c r="KM35" s="43">
        <v>252</v>
      </c>
      <c r="KN35" s="43">
        <v>252</v>
      </c>
      <c r="KO35" s="43">
        <v>252</v>
      </c>
      <c r="KP35" s="43">
        <v>252</v>
      </c>
      <c r="KQ35" s="43">
        <v>250</v>
      </c>
      <c r="KR35" s="43"/>
      <c r="KS35" s="43"/>
      <c r="KT35" s="43">
        <v>250</v>
      </c>
      <c r="KU35" s="43">
        <v>250</v>
      </c>
      <c r="KV35" s="43">
        <v>248</v>
      </c>
      <c r="KW35" s="43">
        <v>250</v>
      </c>
      <c r="KX35" s="43">
        <v>252</v>
      </c>
      <c r="KY35" s="43"/>
      <c r="KZ35" s="43"/>
      <c r="LA35" s="43">
        <v>252</v>
      </c>
      <c r="LB35" s="43">
        <v>255</v>
      </c>
      <c r="LC35" s="43">
        <v>260</v>
      </c>
      <c r="LD35" s="43">
        <v>270</v>
      </c>
      <c r="LE35" s="43">
        <v>280</v>
      </c>
      <c r="LF35" s="43"/>
      <c r="LG35" s="43"/>
      <c r="LH35" s="43">
        <v>280</v>
      </c>
      <c r="LI35" s="43">
        <v>285</v>
      </c>
      <c r="LJ35" s="43">
        <v>290</v>
      </c>
      <c r="LK35" s="43">
        <v>290</v>
      </c>
      <c r="LL35" s="43">
        <v>290</v>
      </c>
      <c r="LM35" s="43"/>
      <c r="LN35" s="43"/>
      <c r="LO35" s="43">
        <v>290</v>
      </c>
      <c r="LP35" s="43">
        <v>290</v>
      </c>
      <c r="LQ35" s="43">
        <v>290</v>
      </c>
      <c r="LR35" s="43">
        <v>290</v>
      </c>
      <c r="LS35" s="43">
        <v>292</v>
      </c>
      <c r="LT35" s="43"/>
      <c r="LU35" s="43"/>
      <c r="LV35" s="43">
        <v>292</v>
      </c>
      <c r="LW35" s="43">
        <v>292</v>
      </c>
      <c r="LX35" s="43">
        <v>292</v>
      </c>
      <c r="LY35" s="43">
        <v>292</v>
      </c>
      <c r="LZ35" s="43">
        <v>292</v>
      </c>
      <c r="MA35" s="43"/>
      <c r="MB35" s="43"/>
      <c r="MC35" s="43">
        <v>292</v>
      </c>
      <c r="MD35" s="43">
        <v>290</v>
      </c>
      <c r="ME35" s="43">
        <v>288</v>
      </c>
      <c r="MF35" s="43">
        <v>285</v>
      </c>
      <c r="MG35" s="43">
        <v>285</v>
      </c>
      <c r="MH35" s="43"/>
      <c r="MI35" s="43"/>
      <c r="MJ35" s="43">
        <v>285</v>
      </c>
      <c r="MK35" s="43">
        <v>283</v>
      </c>
      <c r="ML35" s="43">
        <v>285</v>
      </c>
      <c r="MM35" s="43">
        <v>285</v>
      </c>
      <c r="MN35" s="43">
        <v>285</v>
      </c>
      <c r="MO35" s="43"/>
      <c r="MP35" s="43"/>
      <c r="MQ35" s="43">
        <v>285</v>
      </c>
      <c r="MR35" s="43">
        <v>290</v>
      </c>
      <c r="MS35" s="43">
        <v>295</v>
      </c>
      <c r="MT35" s="43">
        <v>295</v>
      </c>
      <c r="MU35" s="43">
        <v>295</v>
      </c>
      <c r="MV35" s="43"/>
      <c r="MW35" s="43"/>
      <c r="MX35" s="43">
        <v>295</v>
      </c>
      <c r="MY35" s="43">
        <v>295</v>
      </c>
      <c r="MZ35" s="43">
        <v>297</v>
      </c>
      <c r="NA35" s="43">
        <v>297</v>
      </c>
      <c r="NB35" s="43">
        <v>297</v>
      </c>
    </row>
    <row r="36" spans="1:366" x14ac:dyDescent="0.25">
      <c r="A36" s="34" t="s">
        <v>182</v>
      </c>
      <c r="B36" s="59"/>
      <c r="C36" s="59"/>
      <c r="D36" s="59"/>
      <c r="E36" s="59">
        <v>273.7</v>
      </c>
      <c r="F36" s="59">
        <v>276.89999999999998</v>
      </c>
      <c r="G36" s="59">
        <v>278.3</v>
      </c>
      <c r="H36" s="59">
        <v>280.10000000000002</v>
      </c>
      <c r="I36" s="59">
        <v>279.5</v>
      </c>
      <c r="J36" s="59"/>
      <c r="K36" s="59"/>
      <c r="L36" s="59">
        <v>284.7</v>
      </c>
      <c r="M36" s="59">
        <v>283.95</v>
      </c>
      <c r="N36" s="59">
        <v>285.95</v>
      </c>
      <c r="O36" s="59">
        <v>290.2</v>
      </c>
      <c r="P36" s="59">
        <v>287.89999999999998</v>
      </c>
      <c r="Q36" s="59"/>
      <c r="R36" s="59"/>
      <c r="S36" s="59">
        <v>289.7</v>
      </c>
      <c r="T36" s="59">
        <v>292.35000000000002</v>
      </c>
      <c r="U36" s="24">
        <v>291.60000000000002</v>
      </c>
      <c r="V36" s="24">
        <v>297.05</v>
      </c>
      <c r="W36" s="24">
        <v>294.95</v>
      </c>
      <c r="X36" s="24"/>
      <c r="Y36" s="24"/>
      <c r="Z36" s="24">
        <v>294.95</v>
      </c>
      <c r="AA36" s="24">
        <v>298</v>
      </c>
      <c r="AB36" s="24">
        <v>297.85000000000002</v>
      </c>
      <c r="AC36" s="24">
        <v>299.7</v>
      </c>
      <c r="AD36" s="24">
        <v>299.85000000000002</v>
      </c>
      <c r="AE36" s="24"/>
      <c r="AF36" s="24"/>
      <c r="AG36" s="24">
        <v>301</v>
      </c>
      <c r="AH36" s="24">
        <v>301.05</v>
      </c>
      <c r="AI36" s="24">
        <v>301.89999999999998</v>
      </c>
      <c r="AJ36" s="24">
        <v>300.10000000000002</v>
      </c>
      <c r="AK36" s="24">
        <v>301.7</v>
      </c>
      <c r="AL36" s="24"/>
      <c r="AM36" s="24"/>
      <c r="AN36" s="24">
        <v>301.5</v>
      </c>
      <c r="AO36" s="24">
        <v>302.2</v>
      </c>
      <c r="AP36" s="24">
        <v>299.95</v>
      </c>
      <c r="AQ36" s="24">
        <v>301.2</v>
      </c>
      <c r="AR36" s="24">
        <v>303</v>
      </c>
      <c r="AS36" s="24"/>
      <c r="AT36" s="24"/>
      <c r="AU36" s="59">
        <v>301.5</v>
      </c>
      <c r="AV36" s="59">
        <v>302.2</v>
      </c>
      <c r="AW36" s="24">
        <v>302.25</v>
      </c>
      <c r="AX36" s="24">
        <v>303.75</v>
      </c>
      <c r="AY36" s="24">
        <v>303.05</v>
      </c>
      <c r="AZ36" s="24"/>
      <c r="BA36" s="24"/>
      <c r="BB36" s="24">
        <v>302.45</v>
      </c>
      <c r="BC36" s="24">
        <v>300.8</v>
      </c>
      <c r="BD36" s="24">
        <v>299.5</v>
      </c>
      <c r="BE36" s="24">
        <v>302.55</v>
      </c>
      <c r="BF36" s="24">
        <v>303.14999999999998</v>
      </c>
      <c r="BG36" s="24"/>
      <c r="BH36" s="24"/>
      <c r="BI36" s="24">
        <v>299.8</v>
      </c>
      <c r="BJ36" s="24">
        <v>301.5</v>
      </c>
      <c r="BK36" s="24">
        <v>298.14999999999998</v>
      </c>
      <c r="BL36" s="24">
        <v>303.95</v>
      </c>
      <c r="BM36" s="24">
        <v>301.10000000000002</v>
      </c>
      <c r="BN36" s="24"/>
      <c r="BO36" s="24"/>
      <c r="BP36" s="24">
        <v>307.5</v>
      </c>
      <c r="BQ36" s="24">
        <v>306.14999999999998</v>
      </c>
      <c r="BR36" s="24">
        <v>308.8</v>
      </c>
      <c r="BS36" s="24">
        <v>308.8</v>
      </c>
      <c r="BT36" s="24">
        <v>310.5</v>
      </c>
      <c r="BU36" s="24"/>
      <c r="BV36" s="24"/>
      <c r="BW36" s="24">
        <v>309.60000000000002</v>
      </c>
      <c r="BX36" s="24">
        <v>309.89999999999998</v>
      </c>
      <c r="BY36" s="24">
        <v>309.5</v>
      </c>
      <c r="BZ36" s="24">
        <v>313.5</v>
      </c>
      <c r="CA36" s="24">
        <v>311.5</v>
      </c>
      <c r="CB36" s="24"/>
      <c r="CC36" s="24"/>
      <c r="CD36" s="24">
        <v>315.2</v>
      </c>
      <c r="CE36" s="24">
        <v>313.8</v>
      </c>
      <c r="CF36" s="24">
        <v>310.8</v>
      </c>
      <c r="CG36" s="24">
        <v>315.8</v>
      </c>
      <c r="CH36" s="24">
        <v>314.45</v>
      </c>
      <c r="CI36" s="24"/>
      <c r="CJ36" s="24"/>
      <c r="CK36" s="24">
        <v>315.60000000000002</v>
      </c>
      <c r="CL36" s="24">
        <v>313.10000000000002</v>
      </c>
      <c r="CM36" s="24">
        <v>315.8</v>
      </c>
      <c r="CN36" s="24">
        <v>316.10000000000002</v>
      </c>
      <c r="CO36" s="24">
        <v>316.10000000000002</v>
      </c>
      <c r="CP36" s="24"/>
      <c r="CQ36" s="24"/>
      <c r="CR36" s="24">
        <v>316.10000000000002</v>
      </c>
      <c r="CS36" s="24">
        <v>318.95</v>
      </c>
      <c r="CT36" s="24">
        <v>316.3</v>
      </c>
      <c r="CU36" s="24">
        <v>316.8</v>
      </c>
      <c r="CV36" s="24">
        <v>319.39999999999998</v>
      </c>
      <c r="CW36" s="24"/>
      <c r="CX36" s="24"/>
      <c r="CY36" s="24">
        <v>316.45</v>
      </c>
      <c r="CZ36" s="24">
        <v>316.7</v>
      </c>
      <c r="DA36" s="24">
        <v>320</v>
      </c>
      <c r="DB36" s="24">
        <v>319.39999999999998</v>
      </c>
      <c r="DC36" s="24">
        <v>312.60000000000002</v>
      </c>
      <c r="DD36" s="24"/>
      <c r="DE36" s="24"/>
      <c r="DF36" s="24">
        <v>315.39999999999998</v>
      </c>
      <c r="DG36" s="24">
        <v>315.85000000000002</v>
      </c>
      <c r="DH36" s="24">
        <v>315.85000000000002</v>
      </c>
      <c r="DI36" s="24">
        <v>316.64999999999998</v>
      </c>
      <c r="DJ36" s="24">
        <v>315.39999999999998</v>
      </c>
      <c r="DK36" s="24"/>
      <c r="DL36" s="24"/>
      <c r="DM36" s="24">
        <v>315.60000000000002</v>
      </c>
      <c r="DN36" s="24">
        <v>313.39999999999998</v>
      </c>
      <c r="DO36" s="24">
        <v>312.10000000000002</v>
      </c>
      <c r="DP36" s="24">
        <v>313.7</v>
      </c>
      <c r="DQ36" s="24">
        <v>313.95</v>
      </c>
      <c r="DR36" s="24"/>
      <c r="DS36" s="24"/>
      <c r="DT36" s="24">
        <v>314.2</v>
      </c>
      <c r="DU36" s="24">
        <v>313.10000000000002</v>
      </c>
      <c r="DV36" s="24">
        <v>307.5</v>
      </c>
      <c r="DW36" s="24">
        <v>309.60000000000002</v>
      </c>
      <c r="DX36" s="24">
        <v>311.45</v>
      </c>
      <c r="DY36" s="24"/>
      <c r="DZ36" s="59"/>
      <c r="EA36" s="24">
        <v>311.39999999999998</v>
      </c>
      <c r="EB36" s="24">
        <v>312.10000000000002</v>
      </c>
      <c r="EC36" s="24">
        <v>307.7</v>
      </c>
      <c r="ED36" s="24">
        <v>311.85000000000002</v>
      </c>
      <c r="EE36" s="24">
        <v>307</v>
      </c>
      <c r="EF36" s="24"/>
      <c r="EG36" s="24"/>
      <c r="EH36" s="24">
        <v>303.2</v>
      </c>
      <c r="EI36" s="24">
        <v>306.55</v>
      </c>
      <c r="EJ36" s="24">
        <v>309.95</v>
      </c>
      <c r="EK36" s="24">
        <v>305.45</v>
      </c>
      <c r="EL36" s="24">
        <v>312.39999999999998</v>
      </c>
      <c r="EM36" s="24"/>
      <c r="EN36" s="24"/>
      <c r="EO36" s="24">
        <v>307.5</v>
      </c>
      <c r="EP36" s="24">
        <v>309</v>
      </c>
      <c r="EQ36" s="24">
        <v>312.75</v>
      </c>
      <c r="ER36" s="24">
        <v>314.60000000000002</v>
      </c>
      <c r="ES36" s="24">
        <v>317.10000000000002</v>
      </c>
      <c r="ET36" s="24"/>
      <c r="EU36" s="24"/>
      <c r="EV36" s="24">
        <v>316.14999999999998</v>
      </c>
      <c r="EW36" s="24">
        <v>313</v>
      </c>
      <c r="EX36" s="24">
        <v>307.89999999999998</v>
      </c>
      <c r="EY36" s="24">
        <v>307.89999999999998</v>
      </c>
      <c r="EZ36" s="24">
        <v>311.45</v>
      </c>
      <c r="FA36" s="24"/>
      <c r="FB36" s="24"/>
      <c r="FC36" s="24">
        <v>308.75</v>
      </c>
      <c r="FD36" s="24">
        <v>316.7</v>
      </c>
      <c r="FE36" s="24">
        <v>315.85000000000002</v>
      </c>
      <c r="FF36" s="24">
        <v>317.35000000000002</v>
      </c>
      <c r="FG36" s="24">
        <v>319.45</v>
      </c>
      <c r="FH36" s="24"/>
      <c r="FI36" s="24"/>
      <c r="FJ36" s="24">
        <v>319.45</v>
      </c>
      <c r="FK36" s="24">
        <v>317.35000000000002</v>
      </c>
      <c r="FL36" s="24">
        <v>319.64999999999998</v>
      </c>
      <c r="FM36" s="24">
        <v>318.89999999999998</v>
      </c>
      <c r="FN36" s="24">
        <v>320.89999999999998</v>
      </c>
      <c r="FO36" s="24"/>
      <c r="FP36" s="24"/>
      <c r="FQ36" s="24">
        <v>318.25</v>
      </c>
      <c r="FR36" s="24">
        <v>319.55</v>
      </c>
      <c r="FS36" s="24">
        <v>319.89999999999998</v>
      </c>
      <c r="FT36" s="24">
        <v>318.89999999999998</v>
      </c>
      <c r="FU36" s="24">
        <v>319.45</v>
      </c>
      <c r="FV36" s="24"/>
      <c r="FW36" s="24"/>
      <c r="FX36" s="24">
        <v>321.89999999999998</v>
      </c>
      <c r="FY36" s="24">
        <v>319.64999999999998</v>
      </c>
      <c r="FZ36" s="24">
        <v>318.5</v>
      </c>
      <c r="GA36" s="24">
        <v>316.2</v>
      </c>
      <c r="GB36" s="24">
        <v>316.05</v>
      </c>
      <c r="GC36" s="24"/>
      <c r="GD36" s="24"/>
      <c r="GE36" s="24">
        <v>318</v>
      </c>
      <c r="GF36" s="24">
        <v>319.64999999999998</v>
      </c>
      <c r="GG36" s="24">
        <v>319.2</v>
      </c>
      <c r="GH36" s="24">
        <v>319.5</v>
      </c>
      <c r="GI36" s="24">
        <v>319.5</v>
      </c>
      <c r="GJ36" s="24"/>
      <c r="GK36" s="24"/>
      <c r="GL36" s="24">
        <v>319.14999999999998</v>
      </c>
      <c r="GM36" s="24">
        <v>318</v>
      </c>
      <c r="GN36" s="24">
        <v>320.7</v>
      </c>
      <c r="GO36" s="24">
        <v>320.55</v>
      </c>
      <c r="GP36" s="24">
        <v>321.85000000000002</v>
      </c>
      <c r="GQ36" s="24"/>
      <c r="GR36" s="24"/>
      <c r="GS36" s="24">
        <v>319.25</v>
      </c>
      <c r="GT36" s="24">
        <v>319.5</v>
      </c>
      <c r="GU36" s="24">
        <v>314.5</v>
      </c>
      <c r="GV36" s="24">
        <v>317.5</v>
      </c>
      <c r="GW36" s="24">
        <v>320.60000000000002</v>
      </c>
      <c r="GX36" s="24"/>
      <c r="GY36" s="24"/>
      <c r="GZ36" s="24">
        <v>321.5</v>
      </c>
      <c r="HA36" s="24">
        <v>317.14999999999998</v>
      </c>
      <c r="HB36" s="24">
        <v>316.85000000000002</v>
      </c>
      <c r="HC36" s="24">
        <v>315.55</v>
      </c>
      <c r="HD36" s="24">
        <v>319.89999999999998</v>
      </c>
      <c r="HE36" s="24"/>
      <c r="HF36" s="24"/>
      <c r="HG36" s="24">
        <v>316.2</v>
      </c>
      <c r="HH36" s="24">
        <v>315.39999999999998</v>
      </c>
      <c r="HI36" s="24">
        <v>316.7</v>
      </c>
      <c r="HJ36" s="24">
        <v>319.2</v>
      </c>
      <c r="HK36" s="24">
        <v>312.95</v>
      </c>
      <c r="HL36" s="24"/>
      <c r="HM36" s="24"/>
      <c r="HN36" s="24">
        <v>318.60000000000002</v>
      </c>
      <c r="HO36" s="24">
        <v>316.45</v>
      </c>
      <c r="HP36" s="24">
        <v>318.64999999999998</v>
      </c>
      <c r="HQ36" s="24">
        <v>314.3</v>
      </c>
      <c r="HR36" s="24">
        <v>317.35000000000002</v>
      </c>
      <c r="HS36" s="24"/>
      <c r="HT36" s="24"/>
      <c r="HU36" s="24">
        <v>313.25</v>
      </c>
      <c r="HV36" s="24">
        <v>319.3</v>
      </c>
      <c r="HW36" s="24">
        <v>312.2</v>
      </c>
      <c r="HX36" s="24">
        <v>314.7</v>
      </c>
      <c r="HY36" s="24">
        <v>313.39999999999998</v>
      </c>
      <c r="HZ36" s="24"/>
      <c r="IA36" s="24"/>
      <c r="IB36" s="24">
        <v>313.75</v>
      </c>
      <c r="IC36" s="24">
        <v>313</v>
      </c>
      <c r="ID36" s="24">
        <v>313</v>
      </c>
      <c r="IE36" s="24">
        <v>312.45</v>
      </c>
      <c r="IF36" s="24">
        <v>310.85000000000002</v>
      </c>
      <c r="IG36" s="24"/>
      <c r="IH36" s="24"/>
      <c r="II36" s="24">
        <v>317.3</v>
      </c>
      <c r="IJ36" s="24">
        <v>313.39999999999998</v>
      </c>
      <c r="IK36" s="24">
        <v>305.5</v>
      </c>
      <c r="IL36" s="24">
        <v>305.10000000000002</v>
      </c>
      <c r="IM36" s="24">
        <v>305.10000000000002</v>
      </c>
      <c r="IN36" s="24"/>
      <c r="IO36" s="24"/>
      <c r="IP36" s="74">
        <v>305.10000000000002</v>
      </c>
      <c r="IQ36" s="74">
        <v>305.10000000000002</v>
      </c>
      <c r="IR36" s="24">
        <v>312.25</v>
      </c>
      <c r="IS36" s="24">
        <v>305.95</v>
      </c>
      <c r="IT36" s="24">
        <v>305.25</v>
      </c>
      <c r="IU36" s="24"/>
      <c r="IV36" s="24"/>
      <c r="IW36" s="24">
        <v>310.60000000000002</v>
      </c>
      <c r="IX36" s="24">
        <v>303.10000000000002</v>
      </c>
      <c r="IY36" s="24">
        <v>295</v>
      </c>
      <c r="IZ36" s="24">
        <v>302.45</v>
      </c>
      <c r="JA36" s="24">
        <v>300.39999999999998</v>
      </c>
      <c r="JB36" s="24"/>
      <c r="JC36" s="24"/>
      <c r="JD36" s="24">
        <v>300.39999999999998</v>
      </c>
      <c r="JE36" s="24">
        <v>300.60000000000002</v>
      </c>
      <c r="JF36" s="24">
        <v>299.3</v>
      </c>
      <c r="JG36" s="24">
        <v>298.8</v>
      </c>
      <c r="JH36" s="24">
        <v>300.25</v>
      </c>
      <c r="JI36" s="24"/>
      <c r="JJ36" s="24"/>
      <c r="JK36" s="24">
        <v>304.45</v>
      </c>
      <c r="JL36" s="24">
        <v>294.7</v>
      </c>
      <c r="JM36" s="24">
        <v>294.8</v>
      </c>
      <c r="JN36" s="24">
        <v>291.60000000000002</v>
      </c>
      <c r="JO36" s="24">
        <v>292.25</v>
      </c>
      <c r="JP36" s="24"/>
      <c r="JQ36" s="24"/>
      <c r="JR36" s="24">
        <v>286.55</v>
      </c>
      <c r="JS36" s="24">
        <v>283</v>
      </c>
      <c r="JT36" s="24">
        <v>280.89999999999998</v>
      </c>
      <c r="JU36" s="24">
        <v>282.7</v>
      </c>
      <c r="JV36" s="24">
        <v>271.25</v>
      </c>
      <c r="JW36" s="24"/>
      <c r="JX36" s="24"/>
      <c r="JY36" s="24">
        <v>271.25</v>
      </c>
      <c r="JZ36" s="24">
        <v>271.25</v>
      </c>
      <c r="KA36" s="24">
        <v>270.5</v>
      </c>
      <c r="KB36" s="24">
        <v>271.55</v>
      </c>
      <c r="KC36" s="95">
        <v>266.8</v>
      </c>
      <c r="KD36" s="24"/>
      <c r="KE36" s="24"/>
      <c r="KF36" s="24">
        <v>267.8</v>
      </c>
      <c r="KG36" s="24">
        <v>272.55</v>
      </c>
      <c r="KH36" s="24">
        <v>262.89999999999998</v>
      </c>
      <c r="KI36" s="24">
        <v>262.8</v>
      </c>
      <c r="KJ36" s="24">
        <v>260.2</v>
      </c>
      <c r="KK36" s="24"/>
      <c r="KL36" s="24"/>
      <c r="KM36" s="24">
        <v>263.35000000000002</v>
      </c>
      <c r="KN36" s="24">
        <v>257.25</v>
      </c>
      <c r="KO36" s="24">
        <v>256.45</v>
      </c>
      <c r="KP36" s="24">
        <v>254.1</v>
      </c>
      <c r="KQ36" s="24">
        <v>257.10000000000002</v>
      </c>
      <c r="KR36" s="24"/>
      <c r="KS36" s="24"/>
      <c r="KT36" s="24">
        <v>263.95</v>
      </c>
      <c r="KU36" s="24">
        <v>263.95</v>
      </c>
      <c r="KV36" s="24">
        <v>267.75</v>
      </c>
      <c r="KW36" s="24">
        <v>267.75</v>
      </c>
      <c r="KX36" s="24">
        <v>264.60000000000002</v>
      </c>
      <c r="KY36" s="24"/>
      <c r="KZ36" s="24"/>
      <c r="LA36" s="24">
        <v>267.85000000000002</v>
      </c>
      <c r="LB36" s="24">
        <v>280.7</v>
      </c>
      <c r="LC36" s="24">
        <v>291.2</v>
      </c>
      <c r="LD36" s="24">
        <v>294.8</v>
      </c>
      <c r="LE36" s="24">
        <v>301</v>
      </c>
      <c r="LF36" s="24"/>
      <c r="LG36" s="24"/>
      <c r="LH36" s="24">
        <v>301</v>
      </c>
      <c r="LI36" s="24">
        <v>303.14999999999998</v>
      </c>
      <c r="LJ36" s="24">
        <v>304.8</v>
      </c>
      <c r="LK36" s="24">
        <v>313</v>
      </c>
      <c r="LL36" s="24">
        <v>314.14999999999998</v>
      </c>
      <c r="LM36" s="24"/>
      <c r="LN36" s="24"/>
      <c r="LO36" s="24">
        <v>315.89999999999998</v>
      </c>
      <c r="LP36" s="24">
        <v>316.89999999999998</v>
      </c>
      <c r="LQ36" s="24">
        <v>316.64999999999998</v>
      </c>
      <c r="LR36" s="24">
        <v>317.89999999999998</v>
      </c>
      <c r="LS36" s="24">
        <v>318.10000000000002</v>
      </c>
      <c r="LT36" s="24"/>
      <c r="LU36" s="24"/>
      <c r="LV36" s="24">
        <v>321.8</v>
      </c>
      <c r="LW36" s="24">
        <v>322.3</v>
      </c>
      <c r="LX36" s="24">
        <v>321.60000000000002</v>
      </c>
      <c r="LY36" s="24">
        <v>324.35000000000002</v>
      </c>
      <c r="LZ36" s="24">
        <v>312.95</v>
      </c>
      <c r="MA36" s="24"/>
      <c r="MB36" s="24"/>
      <c r="MC36" s="24">
        <v>322.10000000000002</v>
      </c>
      <c r="MD36" s="24">
        <v>316.5</v>
      </c>
      <c r="ME36" s="24">
        <v>319.5</v>
      </c>
      <c r="MF36" s="24">
        <v>312.25</v>
      </c>
      <c r="MG36" s="24">
        <v>311.2</v>
      </c>
      <c r="MH36" s="24"/>
      <c r="MI36" s="24"/>
      <c r="MJ36" s="24">
        <v>316.35000000000002</v>
      </c>
      <c r="MK36" s="24">
        <v>310.39999999999998</v>
      </c>
      <c r="ML36" s="24">
        <v>308</v>
      </c>
      <c r="MM36" s="24">
        <v>316.64999999999998</v>
      </c>
      <c r="MN36" s="24">
        <v>318.85000000000002</v>
      </c>
      <c r="MO36" s="24"/>
      <c r="MP36" s="24"/>
      <c r="MQ36" s="24">
        <v>317.7</v>
      </c>
      <c r="MR36" s="24">
        <v>327.75</v>
      </c>
      <c r="MS36" s="24">
        <v>322.39999999999998</v>
      </c>
      <c r="MT36" s="24">
        <v>327.5</v>
      </c>
      <c r="MU36" s="24">
        <v>327.5</v>
      </c>
      <c r="MV36" s="24"/>
      <c r="MW36" s="24"/>
      <c r="MX36" s="24">
        <v>329.1</v>
      </c>
      <c r="MY36" s="24">
        <v>331.4</v>
      </c>
      <c r="MZ36" s="24">
        <v>335.85</v>
      </c>
      <c r="NA36" s="24">
        <v>336.5</v>
      </c>
      <c r="NB36" s="24">
        <v>336.5</v>
      </c>
    </row>
    <row r="37" spans="1:366" x14ac:dyDescent="0.25">
      <c r="A37" s="42" t="s">
        <v>93</v>
      </c>
      <c r="B37" s="63"/>
      <c r="C37" s="63"/>
      <c r="D37" s="63"/>
      <c r="E37" s="63">
        <f>8.5*30</f>
        <v>255</v>
      </c>
      <c r="F37" s="63">
        <f>8.5*30</f>
        <v>255</v>
      </c>
      <c r="G37" s="63">
        <f>8.5*30</f>
        <v>255</v>
      </c>
      <c r="H37" s="63">
        <f>8.5*30</f>
        <v>255</v>
      </c>
      <c r="I37" s="63">
        <f>8.45*30</f>
        <v>253.49999999999997</v>
      </c>
      <c r="J37" s="63"/>
      <c r="K37" s="63"/>
      <c r="L37" s="63">
        <f>8.65*30</f>
        <v>259.5</v>
      </c>
      <c r="M37" s="63">
        <f t="shared" ref="M37:P37" si="390">8.45*30</f>
        <v>253.49999999999997</v>
      </c>
      <c r="N37" s="63">
        <f t="shared" si="390"/>
        <v>253.49999999999997</v>
      </c>
      <c r="O37" s="63">
        <f t="shared" si="390"/>
        <v>253.49999999999997</v>
      </c>
      <c r="P37" s="63">
        <f t="shared" si="390"/>
        <v>253.49999999999997</v>
      </c>
      <c r="Q37" s="63"/>
      <c r="R37" s="63"/>
      <c r="S37" s="63">
        <f>8.9*30</f>
        <v>267</v>
      </c>
      <c r="T37" s="63">
        <f>8.9*30</f>
        <v>267</v>
      </c>
      <c r="U37" s="63">
        <f>8.95*30</f>
        <v>268.5</v>
      </c>
      <c r="V37" s="63">
        <f>8.95*30</f>
        <v>268.5</v>
      </c>
      <c r="W37" s="63">
        <f>8.95*30</f>
        <v>268.5</v>
      </c>
      <c r="X37" s="43"/>
      <c r="Y37" s="43"/>
      <c r="Z37" s="43">
        <f>8.9*30</f>
        <v>267</v>
      </c>
      <c r="AA37" s="43">
        <f>9.15*30</f>
        <v>274.5</v>
      </c>
      <c r="AB37" s="43">
        <f>9.15*30</f>
        <v>274.5</v>
      </c>
      <c r="AC37" s="43">
        <f>9.15*30</f>
        <v>274.5</v>
      </c>
      <c r="AD37" s="43">
        <f>9.15*30</f>
        <v>274.5</v>
      </c>
      <c r="AE37" s="43"/>
      <c r="AF37" s="43"/>
      <c r="AG37" s="43">
        <f>8.9*30</f>
        <v>267</v>
      </c>
      <c r="AH37" s="43">
        <f>9.25*30</f>
        <v>277.5</v>
      </c>
      <c r="AI37" s="43">
        <f>9.25*30</f>
        <v>277.5</v>
      </c>
      <c r="AJ37" s="43">
        <f>9.25*30</f>
        <v>277.5</v>
      </c>
      <c r="AK37" s="43">
        <f>9.25*30</f>
        <v>277.5</v>
      </c>
      <c r="AL37" s="43"/>
      <c r="AM37" s="43"/>
      <c r="AN37" s="43">
        <f>9.25*30</f>
        <v>277.5</v>
      </c>
      <c r="AO37" s="43">
        <f>9.35*30</f>
        <v>280.5</v>
      </c>
      <c r="AP37" s="43">
        <f>9.35*30</f>
        <v>280.5</v>
      </c>
      <c r="AQ37" s="43">
        <f>9.35*30</f>
        <v>280.5</v>
      </c>
      <c r="AR37" s="43">
        <f>9.35*30</f>
        <v>280.5</v>
      </c>
      <c r="AS37" s="43"/>
      <c r="AT37" s="43"/>
      <c r="AU37" s="63">
        <v>277.5</v>
      </c>
      <c r="AV37" s="63">
        <v>280.5</v>
      </c>
      <c r="AW37" s="43">
        <f>9.35*30</f>
        <v>280.5</v>
      </c>
      <c r="AX37" s="43">
        <f>9.35*30</f>
        <v>280.5</v>
      </c>
      <c r="AY37" s="43">
        <f>9.55*30</f>
        <v>286.5</v>
      </c>
      <c r="AZ37" s="43"/>
      <c r="BA37" s="43"/>
      <c r="BB37" s="43">
        <f>9.75*30</f>
        <v>292.5</v>
      </c>
      <c r="BC37" s="43">
        <f>9.75*30</f>
        <v>292.5</v>
      </c>
      <c r="BD37" s="43">
        <f>9.75*30</f>
        <v>292.5</v>
      </c>
      <c r="BE37" s="43">
        <f>9.8*30</f>
        <v>294</v>
      </c>
      <c r="BF37" s="43">
        <f>9.8*30</f>
        <v>294</v>
      </c>
      <c r="BG37" s="43"/>
      <c r="BH37" s="43"/>
      <c r="BI37" s="43">
        <f>9.85*30</f>
        <v>295.5</v>
      </c>
      <c r="BJ37" s="43">
        <f>9.85*30</f>
        <v>295.5</v>
      </c>
      <c r="BK37" s="43">
        <f>9.9*30</f>
        <v>297</v>
      </c>
      <c r="BL37" s="43">
        <f>9.9*30</f>
        <v>297</v>
      </c>
      <c r="BM37" s="43">
        <f>9.9*30</f>
        <v>297</v>
      </c>
      <c r="BN37" s="43"/>
      <c r="BO37" s="43"/>
      <c r="BP37" s="43">
        <f>9.9*30</f>
        <v>297</v>
      </c>
      <c r="BQ37" s="43">
        <f>9.9*30</f>
        <v>297</v>
      </c>
      <c r="BR37" s="43">
        <f>9.9*30</f>
        <v>297</v>
      </c>
      <c r="BS37" s="43">
        <f>9.9*30</f>
        <v>297</v>
      </c>
      <c r="BT37" s="43">
        <f>9.9*30</f>
        <v>297</v>
      </c>
      <c r="BU37" s="43"/>
      <c r="BV37" s="43"/>
      <c r="BW37" s="43">
        <f>9.9*30</f>
        <v>297</v>
      </c>
      <c r="BX37" s="43">
        <f>9.9*30</f>
        <v>297</v>
      </c>
      <c r="BY37" s="43">
        <f>9.9*30</f>
        <v>297</v>
      </c>
      <c r="BZ37" s="43">
        <f>9.9*30</f>
        <v>297</v>
      </c>
      <c r="CA37" s="43">
        <f>9.9*30</f>
        <v>297</v>
      </c>
      <c r="CB37" s="43"/>
      <c r="CC37" s="43"/>
      <c r="CD37" s="43">
        <f>9.9*30</f>
        <v>297</v>
      </c>
      <c r="CE37" s="43">
        <f>9.9*30</f>
        <v>297</v>
      </c>
      <c r="CF37" s="43">
        <f>9.9*30</f>
        <v>297</v>
      </c>
      <c r="CG37" s="43">
        <f>9.9*30</f>
        <v>297</v>
      </c>
      <c r="CH37" s="43">
        <f>9.9*30</f>
        <v>297</v>
      </c>
      <c r="CI37" s="43"/>
      <c r="CJ37" s="43"/>
      <c r="CK37" s="43">
        <f>9.9*30</f>
        <v>297</v>
      </c>
      <c r="CL37" s="43">
        <f>9.9*30</f>
        <v>297</v>
      </c>
      <c r="CM37" s="43">
        <f>9.9*30</f>
        <v>297</v>
      </c>
      <c r="CN37" s="43">
        <f>9.9*30</f>
        <v>297</v>
      </c>
      <c r="CO37" s="43">
        <v>297</v>
      </c>
      <c r="CP37" s="43"/>
      <c r="CQ37" s="43"/>
      <c r="CR37" s="43">
        <v>297</v>
      </c>
      <c r="CS37" s="43">
        <f>9.9*30</f>
        <v>297</v>
      </c>
      <c r="CT37" s="43">
        <f>9.9*30</f>
        <v>297</v>
      </c>
      <c r="CU37" s="43">
        <f>9.9*30</f>
        <v>297</v>
      </c>
      <c r="CV37" s="43">
        <f>9.9*30</f>
        <v>297</v>
      </c>
      <c r="CW37" s="43"/>
      <c r="CX37" s="43"/>
      <c r="CY37" s="43">
        <f>9.9*30</f>
        <v>297</v>
      </c>
      <c r="CZ37" s="43">
        <f>9.9*30</f>
        <v>297</v>
      </c>
      <c r="DA37" s="43">
        <f>9.9*30</f>
        <v>297</v>
      </c>
      <c r="DB37" s="43">
        <f>9.9*30</f>
        <v>297</v>
      </c>
      <c r="DC37" s="43">
        <f>9.9*30</f>
        <v>297</v>
      </c>
      <c r="DD37" s="43"/>
      <c r="DE37" s="43"/>
      <c r="DF37" s="43">
        <f>9.9*30</f>
        <v>297</v>
      </c>
      <c r="DG37" s="43">
        <f>9.9*30</f>
        <v>297</v>
      </c>
      <c r="DH37" s="43">
        <f>9.9*30</f>
        <v>297</v>
      </c>
      <c r="DI37" s="43">
        <f>9.9*30</f>
        <v>297</v>
      </c>
      <c r="DJ37" s="43">
        <f>9.9*30</f>
        <v>297</v>
      </c>
      <c r="DK37" s="43"/>
      <c r="DL37" s="43"/>
      <c r="DM37" s="43">
        <f>9.9*30</f>
        <v>297</v>
      </c>
      <c r="DN37" s="43">
        <f>9.9*30</f>
        <v>297</v>
      </c>
      <c r="DO37" s="43">
        <f>9.95*30</f>
        <v>298.5</v>
      </c>
      <c r="DP37" s="43">
        <f>10*30</f>
        <v>300</v>
      </c>
      <c r="DQ37" s="43">
        <f>10*30</f>
        <v>300</v>
      </c>
      <c r="DR37" s="43"/>
      <c r="DS37" s="43"/>
      <c r="DT37" s="43">
        <f>10*30</f>
        <v>300</v>
      </c>
      <c r="DU37" s="43">
        <f>10.1*30</f>
        <v>303</v>
      </c>
      <c r="DV37" s="43">
        <f>10.1*30</f>
        <v>303</v>
      </c>
      <c r="DW37" s="43">
        <f>10.25*30</f>
        <v>307.5</v>
      </c>
      <c r="DX37" s="43">
        <f>10.25*30</f>
        <v>307.5</v>
      </c>
      <c r="DY37" s="43"/>
      <c r="DZ37" s="43"/>
      <c r="EA37" s="43">
        <f>10.5*30</f>
        <v>315</v>
      </c>
      <c r="EB37" s="43">
        <f>10.5*30</f>
        <v>315</v>
      </c>
      <c r="EC37" s="43">
        <f>10.5*30</f>
        <v>315</v>
      </c>
      <c r="ED37" s="43">
        <f>10.7*30</f>
        <v>321</v>
      </c>
      <c r="EE37" s="43">
        <f>10.7*30</f>
        <v>321</v>
      </c>
      <c r="EF37" s="43"/>
      <c r="EG37" s="43"/>
      <c r="EH37" s="43">
        <f>10.7*30</f>
        <v>321</v>
      </c>
      <c r="EI37" s="43">
        <f>10.9*30</f>
        <v>327</v>
      </c>
      <c r="EJ37" s="43">
        <f>10.9*30</f>
        <v>327</v>
      </c>
      <c r="EK37" s="43">
        <f>10.9*30</f>
        <v>327</v>
      </c>
      <c r="EL37" s="43">
        <f>10.9*30</f>
        <v>327</v>
      </c>
      <c r="EM37" s="43"/>
      <c r="EN37" s="43"/>
      <c r="EO37" s="43">
        <f>10.9*30</f>
        <v>327</v>
      </c>
      <c r="EP37" s="43">
        <f>10.9*30</f>
        <v>327</v>
      </c>
      <c r="EQ37" s="43">
        <f>10.9*30</f>
        <v>327</v>
      </c>
      <c r="ER37" s="43">
        <f>10.9*30</f>
        <v>327</v>
      </c>
      <c r="ES37" s="43">
        <f>10.9*30</f>
        <v>327</v>
      </c>
      <c r="ET37" s="43"/>
      <c r="EU37" s="43"/>
      <c r="EV37" s="43">
        <f>10.9*30</f>
        <v>327</v>
      </c>
      <c r="EW37" s="43">
        <f>10.9*30</f>
        <v>327</v>
      </c>
      <c r="EX37" s="43">
        <f>11*30</f>
        <v>330</v>
      </c>
      <c r="EY37" s="43">
        <f>11*30</f>
        <v>330</v>
      </c>
      <c r="EZ37" s="43">
        <f>11*30</f>
        <v>330</v>
      </c>
      <c r="FA37" s="43"/>
      <c r="FB37" s="43"/>
      <c r="FC37" s="43">
        <f>11*30</f>
        <v>330</v>
      </c>
      <c r="FD37" s="43">
        <f>11*30</f>
        <v>330</v>
      </c>
      <c r="FE37" s="43">
        <f>11*30</f>
        <v>330</v>
      </c>
      <c r="FF37" s="43">
        <f>11*30</f>
        <v>330</v>
      </c>
      <c r="FG37" s="43">
        <f>11*30</f>
        <v>330</v>
      </c>
      <c r="FH37" s="43"/>
      <c r="FI37" s="43"/>
      <c r="FJ37" s="43">
        <f>11*30</f>
        <v>330</v>
      </c>
      <c r="FK37" s="43">
        <f>11*30</f>
        <v>330</v>
      </c>
      <c r="FL37" s="43">
        <f>11*30</f>
        <v>330</v>
      </c>
      <c r="FM37" s="43">
        <f>11.15*30</f>
        <v>334.5</v>
      </c>
      <c r="FN37" s="43">
        <f>11.15*30</f>
        <v>334.5</v>
      </c>
      <c r="FO37" s="43"/>
      <c r="FP37" s="43"/>
      <c r="FQ37" s="43">
        <f>11.15*30</f>
        <v>334.5</v>
      </c>
      <c r="FR37" s="43">
        <f>11.4*30</f>
        <v>342</v>
      </c>
      <c r="FS37" s="43">
        <f>11.4*30</f>
        <v>342</v>
      </c>
      <c r="FT37" s="43">
        <f>11.4*30</f>
        <v>342</v>
      </c>
      <c r="FU37" s="43">
        <f>11.4*30</f>
        <v>342</v>
      </c>
      <c r="FV37" s="43"/>
      <c r="FW37" s="43"/>
      <c r="FX37" s="43">
        <f>11.4*30</f>
        <v>342</v>
      </c>
      <c r="FY37" s="43">
        <f>11.4*30</f>
        <v>342</v>
      </c>
      <c r="FZ37" s="43">
        <f>11.4*30</f>
        <v>342</v>
      </c>
      <c r="GA37" s="43">
        <f>11.4*30</f>
        <v>342</v>
      </c>
      <c r="GB37" s="43">
        <f>11.4*30</f>
        <v>342</v>
      </c>
      <c r="GC37" s="43"/>
      <c r="GD37" s="43"/>
      <c r="GE37" s="43">
        <f>11.4*30</f>
        <v>342</v>
      </c>
      <c r="GF37" s="43">
        <f>11.4*30</f>
        <v>342</v>
      </c>
      <c r="GG37" s="43">
        <f>11.5*30</f>
        <v>345</v>
      </c>
      <c r="GH37" s="43">
        <f>11.5*30</f>
        <v>345</v>
      </c>
      <c r="GI37" s="43">
        <f>11.5*30</f>
        <v>345</v>
      </c>
      <c r="GJ37" s="43"/>
      <c r="GK37" s="43"/>
      <c r="GL37" s="43">
        <f>11.15*30</f>
        <v>334.5</v>
      </c>
      <c r="GM37" s="43">
        <f>11.25*30</f>
        <v>337.5</v>
      </c>
      <c r="GN37" s="43">
        <f>11.3*30</f>
        <v>339</v>
      </c>
      <c r="GO37" s="43">
        <f>11.3*30</f>
        <v>339</v>
      </c>
      <c r="GP37" s="43">
        <f>11.3*30</f>
        <v>339</v>
      </c>
      <c r="GQ37" s="43"/>
      <c r="GR37" s="43"/>
      <c r="GS37" s="43">
        <f>11.3*30</f>
        <v>339</v>
      </c>
      <c r="GT37" s="43">
        <f>11.3*30</f>
        <v>339</v>
      </c>
      <c r="GU37" s="43">
        <f>11.25*30</f>
        <v>337.5</v>
      </c>
      <c r="GV37" s="43">
        <f>11.25*30</f>
        <v>337.5</v>
      </c>
      <c r="GW37" s="43">
        <f>11.25*30</f>
        <v>337.5</v>
      </c>
      <c r="GX37" s="43"/>
      <c r="GY37" s="43"/>
      <c r="GZ37" s="43">
        <f>11.1*30</f>
        <v>333</v>
      </c>
      <c r="HA37" s="43">
        <f>11.1*30</f>
        <v>333</v>
      </c>
      <c r="HB37" s="43">
        <f>10.95*30</f>
        <v>328.5</v>
      </c>
      <c r="HC37" s="43">
        <f>10.8*30</f>
        <v>324</v>
      </c>
      <c r="HD37" s="43">
        <f>10.8*30</f>
        <v>324</v>
      </c>
      <c r="HE37" s="43"/>
      <c r="HF37" s="43"/>
      <c r="HG37" s="43">
        <f>10.8*30</f>
        <v>324</v>
      </c>
      <c r="HH37" s="43">
        <f>10.7*30</f>
        <v>321</v>
      </c>
      <c r="HI37" s="43">
        <f>10.5*30</f>
        <v>315</v>
      </c>
      <c r="HJ37" s="43">
        <f>10.5*30</f>
        <v>315</v>
      </c>
      <c r="HK37" s="43">
        <f>10.5*30</f>
        <v>315</v>
      </c>
      <c r="HL37" s="43"/>
      <c r="HM37" s="43"/>
      <c r="HN37" s="43">
        <f>10.4*30</f>
        <v>312</v>
      </c>
      <c r="HO37" s="43">
        <f>10.4*30</f>
        <v>312</v>
      </c>
      <c r="HP37" s="43">
        <f>10.4*30</f>
        <v>312</v>
      </c>
      <c r="HQ37" s="43">
        <f>10.4*30</f>
        <v>312</v>
      </c>
      <c r="HR37" s="43">
        <f>10.4*30</f>
        <v>312</v>
      </c>
      <c r="HS37" s="43"/>
      <c r="HT37" s="43"/>
      <c r="HU37" s="43">
        <f>10.4*30</f>
        <v>312</v>
      </c>
      <c r="HV37" s="43">
        <f>10.4*30</f>
        <v>312</v>
      </c>
      <c r="HW37" s="43">
        <f>10.4*30</f>
        <v>312</v>
      </c>
      <c r="HX37" s="43">
        <f>10.4*30</f>
        <v>312</v>
      </c>
      <c r="HY37" s="43">
        <f>10.4*30</f>
        <v>312</v>
      </c>
      <c r="HZ37" s="43"/>
      <c r="IA37" s="43"/>
      <c r="IB37" s="43">
        <f>10.4*30</f>
        <v>312</v>
      </c>
      <c r="IC37" s="43">
        <f>10.4*30</f>
        <v>312</v>
      </c>
      <c r="ID37" s="43">
        <f>10.4*30</f>
        <v>312</v>
      </c>
      <c r="IE37" s="43">
        <f>10.5*30</f>
        <v>315</v>
      </c>
      <c r="IF37" s="43">
        <f>10.4*30</f>
        <v>312</v>
      </c>
      <c r="IG37" s="43"/>
      <c r="IH37" s="43"/>
      <c r="II37" s="43">
        <f>10.3*30</f>
        <v>309</v>
      </c>
      <c r="IJ37" s="43">
        <f>10.3*30</f>
        <v>309</v>
      </c>
      <c r="IK37" s="43">
        <f>10.3*30</f>
        <v>309</v>
      </c>
      <c r="IL37" s="43">
        <f>10.1*30</f>
        <v>303</v>
      </c>
      <c r="IM37" s="43">
        <f>10.3*30</f>
        <v>309</v>
      </c>
      <c r="IN37" s="76"/>
      <c r="IO37" s="43"/>
      <c r="IP37" s="43">
        <f>10.3*30</f>
        <v>309</v>
      </c>
      <c r="IQ37" s="43">
        <f>10.3*30</f>
        <v>309</v>
      </c>
      <c r="IR37" s="43">
        <f>10.3*30</f>
        <v>309</v>
      </c>
      <c r="IS37" s="43">
        <f>10.25*30</f>
        <v>307.5</v>
      </c>
      <c r="IT37" s="43">
        <f>10.25*30</f>
        <v>307.5</v>
      </c>
      <c r="IU37" s="43"/>
      <c r="IV37" s="43"/>
      <c r="IW37" s="43">
        <f>10.25*30</f>
        <v>307.5</v>
      </c>
      <c r="IX37" s="43">
        <f>10.25*30</f>
        <v>307.5</v>
      </c>
      <c r="IY37" s="43">
        <f>10.25*30</f>
        <v>307.5</v>
      </c>
      <c r="IZ37" s="43">
        <f>10.25*30</f>
        <v>307.5</v>
      </c>
      <c r="JA37" s="43">
        <f>10.25*30</f>
        <v>307.5</v>
      </c>
      <c r="JB37" s="43"/>
      <c r="JC37" s="43"/>
      <c r="JD37" s="43">
        <f>10.25*30</f>
        <v>307.5</v>
      </c>
      <c r="JE37" s="43">
        <f>10.25*30</f>
        <v>307.5</v>
      </c>
      <c r="JF37" s="43">
        <f>10.2*30</f>
        <v>306</v>
      </c>
      <c r="JG37" s="43">
        <f>10.25*30</f>
        <v>307.5</v>
      </c>
      <c r="JH37" s="43">
        <f>10.25*30</f>
        <v>307.5</v>
      </c>
      <c r="JI37" s="43"/>
      <c r="JJ37" s="43"/>
      <c r="JK37" s="43">
        <f>10.25*30</f>
        <v>307.5</v>
      </c>
      <c r="JL37" s="43">
        <f>10.25*30</f>
        <v>307.5</v>
      </c>
      <c r="JM37" s="43">
        <f>10.25*30</f>
        <v>307.5</v>
      </c>
      <c r="JN37" s="43">
        <f>10.25*30</f>
        <v>307.5</v>
      </c>
      <c r="JO37" s="43">
        <f>10.25*30</f>
        <v>307.5</v>
      </c>
      <c r="JP37" s="43"/>
      <c r="JQ37" s="43"/>
      <c r="JR37" s="43">
        <f>10.25*30</f>
        <v>307.5</v>
      </c>
      <c r="JS37" s="43">
        <f>10.25*30</f>
        <v>307.5</v>
      </c>
      <c r="JT37" s="43">
        <f>10.25*30</f>
        <v>307.5</v>
      </c>
      <c r="JU37" s="43">
        <f>10.1*30</f>
        <v>303</v>
      </c>
      <c r="JV37" s="43">
        <f>10.1*30</f>
        <v>303</v>
      </c>
      <c r="JW37" s="43"/>
      <c r="JX37" s="43"/>
      <c r="JY37" s="43">
        <f>10*30</f>
        <v>300</v>
      </c>
      <c r="JZ37" s="43">
        <f>10*30</f>
        <v>300</v>
      </c>
      <c r="KA37" s="43">
        <f>9.9*30</f>
        <v>297</v>
      </c>
      <c r="KB37" s="43">
        <f>9.8*30</f>
        <v>294</v>
      </c>
      <c r="KC37" s="43">
        <f>9.7*30</f>
        <v>291</v>
      </c>
      <c r="KD37" s="92"/>
      <c r="KE37" s="92"/>
      <c r="KF37" s="43">
        <f>9.7*30</f>
        <v>291</v>
      </c>
      <c r="KG37" s="43">
        <f>9.7*30</f>
        <v>291</v>
      </c>
      <c r="KH37" s="43">
        <f>9.7*30</f>
        <v>291</v>
      </c>
      <c r="KI37" s="43">
        <f>9.7*30</f>
        <v>291</v>
      </c>
      <c r="KJ37" s="43">
        <f>9.7*30</f>
        <v>291</v>
      </c>
      <c r="KK37" s="43"/>
      <c r="KL37" s="43"/>
      <c r="KM37" s="43">
        <f>9.65*30</f>
        <v>289.5</v>
      </c>
      <c r="KN37" s="43">
        <f>9.65*30</f>
        <v>289.5</v>
      </c>
      <c r="KO37" s="43">
        <f>9.65*30</f>
        <v>289.5</v>
      </c>
      <c r="KP37" s="43">
        <f>9.65*30</f>
        <v>289.5</v>
      </c>
      <c r="KQ37" s="43">
        <f>9.65*30</f>
        <v>289.5</v>
      </c>
      <c r="KR37" s="43"/>
      <c r="KS37" s="43"/>
      <c r="KT37" s="43">
        <f>9.65*30</f>
        <v>289.5</v>
      </c>
      <c r="KU37" s="43">
        <f>9.65*30</f>
        <v>289.5</v>
      </c>
      <c r="KV37" s="43">
        <f>9.65*30</f>
        <v>289.5</v>
      </c>
      <c r="KW37" s="43">
        <f>9.65*30</f>
        <v>289.5</v>
      </c>
      <c r="KX37" s="43">
        <f>9.8*30</f>
        <v>294</v>
      </c>
      <c r="KY37" s="43"/>
      <c r="KZ37" s="43"/>
      <c r="LA37" s="43">
        <f>9.8*30</f>
        <v>294</v>
      </c>
      <c r="LB37" s="43">
        <f>9.85*30</f>
        <v>295.5</v>
      </c>
      <c r="LC37" s="43">
        <f>9.85*30</f>
        <v>295.5</v>
      </c>
      <c r="LD37" s="43">
        <f>9.85*30</f>
        <v>295.5</v>
      </c>
      <c r="LE37" s="43">
        <f>9.85*30</f>
        <v>295.5</v>
      </c>
      <c r="LF37" s="43"/>
      <c r="LG37" s="43"/>
      <c r="LH37" s="43">
        <f>9.85*30</f>
        <v>295.5</v>
      </c>
      <c r="LI37" s="43">
        <f>9.95*30</f>
        <v>298.5</v>
      </c>
      <c r="LJ37" s="43">
        <f>10*30</f>
        <v>300</v>
      </c>
      <c r="LK37" s="43">
        <f>10.15*30</f>
        <v>304.5</v>
      </c>
      <c r="LL37" s="43">
        <f>10.2*30</f>
        <v>306</v>
      </c>
      <c r="LM37" s="43"/>
      <c r="LN37" s="43"/>
      <c r="LO37" s="43">
        <f>10.4*30</f>
        <v>312</v>
      </c>
      <c r="LP37" s="43">
        <f>10.4*30</f>
        <v>312</v>
      </c>
      <c r="LQ37" s="43">
        <f>10.45*30</f>
        <v>313.5</v>
      </c>
      <c r="LR37" s="43">
        <f>10.45*30</f>
        <v>313.5</v>
      </c>
      <c r="LS37" s="43">
        <f>10.45*30</f>
        <v>313.5</v>
      </c>
      <c r="LT37" s="43"/>
      <c r="LU37" s="43"/>
      <c r="LV37" s="43">
        <f>10.45*30</f>
        <v>313.5</v>
      </c>
      <c r="LW37" s="43">
        <f>10.5*30</f>
        <v>315</v>
      </c>
      <c r="LX37" s="43">
        <f>10.9*30</f>
        <v>327</v>
      </c>
      <c r="LY37" s="43">
        <f>11*30</f>
        <v>330</v>
      </c>
      <c r="LZ37" s="43">
        <f>11*30</f>
        <v>330</v>
      </c>
      <c r="MA37" s="43"/>
      <c r="MB37" s="43"/>
      <c r="MC37" s="43">
        <f>11*30</f>
        <v>330</v>
      </c>
      <c r="MD37" s="43">
        <f>11*30</f>
        <v>330</v>
      </c>
      <c r="ME37" s="43">
        <f>11*30</f>
        <v>330</v>
      </c>
      <c r="MF37" s="43">
        <f>11*30</f>
        <v>330</v>
      </c>
      <c r="MG37" s="43">
        <f>11*30</f>
        <v>330</v>
      </c>
      <c r="MH37" s="43"/>
      <c r="MI37" s="43"/>
      <c r="MJ37" s="43">
        <f>11*30</f>
        <v>330</v>
      </c>
      <c r="MK37" s="43">
        <f>11*30</f>
        <v>330</v>
      </c>
      <c r="ML37" s="43">
        <f>11*30</f>
        <v>330</v>
      </c>
      <c r="MM37" s="43">
        <f>11*30</f>
        <v>330</v>
      </c>
      <c r="MN37" s="43">
        <f>11*30</f>
        <v>330</v>
      </c>
      <c r="MO37" s="43"/>
      <c r="MP37" s="43"/>
      <c r="MQ37" s="43">
        <f>11*30</f>
        <v>330</v>
      </c>
      <c r="MR37" s="43">
        <f>11*30</f>
        <v>330</v>
      </c>
      <c r="MS37" s="43">
        <f>11*30</f>
        <v>330</v>
      </c>
      <c r="MT37" s="43">
        <f>11*30</f>
        <v>330</v>
      </c>
      <c r="MU37" s="43">
        <f>11*30</f>
        <v>330</v>
      </c>
      <c r="MV37" s="43"/>
      <c r="MW37" s="43"/>
      <c r="MX37" s="43">
        <f>11.05*30</f>
        <v>331.5</v>
      </c>
      <c r="MY37" s="43">
        <f>11.05*30</f>
        <v>331.5</v>
      </c>
      <c r="MZ37" s="43">
        <f>11.05*30</f>
        <v>331.5</v>
      </c>
      <c r="NA37" s="43">
        <f>11.05*30</f>
        <v>331.5</v>
      </c>
      <c r="NB37" s="43">
        <f>11.05*30</f>
        <v>331.5</v>
      </c>
    </row>
    <row r="38" spans="1:366" x14ac:dyDescent="0.25">
      <c r="A38" s="26" t="s">
        <v>94</v>
      </c>
      <c r="B38" s="59"/>
      <c r="C38" s="59"/>
      <c r="D38" s="59"/>
      <c r="E38" s="59">
        <v>4600</v>
      </c>
      <c r="F38" s="59">
        <v>4600</v>
      </c>
      <c r="G38" s="59">
        <v>4800</v>
      </c>
      <c r="H38" s="59">
        <v>4800</v>
      </c>
      <c r="I38" s="59">
        <v>5000</v>
      </c>
      <c r="J38" s="59"/>
      <c r="K38" s="59"/>
      <c r="L38" s="59">
        <v>4800</v>
      </c>
      <c r="M38" s="59">
        <v>4800</v>
      </c>
      <c r="N38" s="59">
        <v>4800</v>
      </c>
      <c r="O38" s="59">
        <v>5150</v>
      </c>
      <c r="P38" s="59">
        <v>5150</v>
      </c>
      <c r="Q38" s="59"/>
      <c r="R38" s="59"/>
      <c r="S38" s="59">
        <v>5150</v>
      </c>
      <c r="T38" s="59">
        <v>5150</v>
      </c>
      <c r="U38" s="24">
        <v>5150</v>
      </c>
      <c r="V38" s="24">
        <v>5150</v>
      </c>
      <c r="W38" s="24">
        <v>5150</v>
      </c>
      <c r="X38" s="24"/>
      <c r="Y38" s="24"/>
      <c r="Z38" s="24">
        <v>5150</v>
      </c>
      <c r="AA38" s="24">
        <v>5150</v>
      </c>
      <c r="AB38" s="24">
        <v>5200</v>
      </c>
      <c r="AC38" s="24">
        <v>5200</v>
      </c>
      <c r="AD38" s="24">
        <v>5300</v>
      </c>
      <c r="AE38" s="24"/>
      <c r="AF38" s="24"/>
      <c r="AG38" s="24">
        <v>5300</v>
      </c>
      <c r="AH38" s="24">
        <v>5300</v>
      </c>
      <c r="AI38" s="24">
        <v>5350</v>
      </c>
      <c r="AJ38" s="24">
        <v>5350</v>
      </c>
      <c r="AK38" s="24">
        <v>5350</v>
      </c>
      <c r="AL38" s="24"/>
      <c r="AM38" s="24"/>
      <c r="AN38" s="24">
        <v>5500</v>
      </c>
      <c r="AO38" s="24">
        <v>5500</v>
      </c>
      <c r="AP38" s="24">
        <v>5500</v>
      </c>
      <c r="AQ38" s="24">
        <v>5500</v>
      </c>
      <c r="AR38" s="24">
        <v>5500</v>
      </c>
      <c r="AS38" s="24"/>
      <c r="AT38" s="24"/>
      <c r="AU38" s="59">
        <v>5500</v>
      </c>
      <c r="AV38" s="59">
        <v>5500</v>
      </c>
      <c r="AW38" s="24">
        <v>5700</v>
      </c>
      <c r="AX38" s="24">
        <v>5700</v>
      </c>
      <c r="AY38" s="24">
        <v>6000</v>
      </c>
      <c r="AZ38" s="24"/>
      <c r="BA38" s="24"/>
      <c r="BB38" s="24">
        <v>6000</v>
      </c>
      <c r="BC38" s="24">
        <v>6000</v>
      </c>
      <c r="BD38" s="24">
        <v>6000</v>
      </c>
      <c r="BE38" s="24">
        <v>6000</v>
      </c>
      <c r="BF38" s="24">
        <v>6000</v>
      </c>
      <c r="BG38" s="59"/>
      <c r="BH38" s="24"/>
      <c r="BI38" s="24">
        <v>6200</v>
      </c>
      <c r="BJ38" s="24">
        <v>6200</v>
      </c>
      <c r="BK38" s="24">
        <v>6300</v>
      </c>
      <c r="BL38" s="24">
        <v>6300</v>
      </c>
      <c r="BM38" s="24">
        <v>6300</v>
      </c>
      <c r="BN38" s="24"/>
      <c r="BO38" s="24"/>
      <c r="BP38" s="24">
        <v>6300</v>
      </c>
      <c r="BQ38" s="24">
        <v>6300</v>
      </c>
      <c r="BR38" s="24">
        <v>6500</v>
      </c>
      <c r="BS38" s="24">
        <v>6500</v>
      </c>
      <c r="BT38" s="24">
        <v>6500</v>
      </c>
      <c r="BU38" s="24"/>
      <c r="BV38" s="24"/>
      <c r="BW38" s="24">
        <v>6600</v>
      </c>
      <c r="BX38" s="24">
        <v>6600</v>
      </c>
      <c r="BY38" s="24">
        <v>6600</v>
      </c>
      <c r="BZ38" s="24">
        <v>6600</v>
      </c>
      <c r="CA38" s="24">
        <v>6600</v>
      </c>
      <c r="CB38" s="24"/>
      <c r="CC38" s="24"/>
      <c r="CD38" s="24">
        <v>6600</v>
      </c>
      <c r="CE38" s="24">
        <v>6600</v>
      </c>
      <c r="CF38" s="24">
        <v>6600</v>
      </c>
      <c r="CG38" s="24">
        <v>6800</v>
      </c>
      <c r="CH38" s="24">
        <v>6800</v>
      </c>
      <c r="CI38" s="24"/>
      <c r="CJ38" s="24"/>
      <c r="CK38" s="104">
        <v>6900</v>
      </c>
      <c r="CL38" s="24">
        <v>6900</v>
      </c>
      <c r="CM38" s="24">
        <v>7000</v>
      </c>
      <c r="CN38" s="24">
        <v>7000</v>
      </c>
      <c r="CO38" s="24">
        <v>7000</v>
      </c>
      <c r="CP38" s="24"/>
      <c r="CQ38" s="24"/>
      <c r="CR38" s="24">
        <v>7000</v>
      </c>
      <c r="CS38" s="24">
        <v>7000</v>
      </c>
      <c r="CT38" s="24">
        <v>7200</v>
      </c>
      <c r="CU38" s="24">
        <v>7200</v>
      </c>
      <c r="CV38" s="24">
        <v>7200</v>
      </c>
      <c r="CW38" s="24"/>
      <c r="CX38" s="24"/>
      <c r="CY38" s="107">
        <v>7200</v>
      </c>
      <c r="CZ38" s="24">
        <v>7200</v>
      </c>
      <c r="DA38" s="24">
        <v>7200</v>
      </c>
      <c r="DB38" s="24">
        <v>7200</v>
      </c>
      <c r="DC38" s="24">
        <v>7200</v>
      </c>
      <c r="DD38" s="24"/>
      <c r="DE38" s="24"/>
      <c r="DF38" s="107">
        <v>7200</v>
      </c>
      <c r="DG38" s="24">
        <v>7200</v>
      </c>
      <c r="DH38" s="24">
        <v>7200</v>
      </c>
      <c r="DI38" s="24">
        <v>7200</v>
      </c>
      <c r="DJ38" s="24">
        <v>7200</v>
      </c>
      <c r="DK38" s="24"/>
      <c r="DL38" s="24"/>
      <c r="DM38" s="24">
        <v>6900</v>
      </c>
      <c r="DN38" s="24">
        <v>6800</v>
      </c>
      <c r="DO38" s="24">
        <v>6800</v>
      </c>
      <c r="DP38" s="24">
        <v>6800</v>
      </c>
      <c r="DQ38" s="24">
        <v>6800</v>
      </c>
      <c r="DR38" s="24"/>
      <c r="DS38" s="24"/>
      <c r="DT38" s="24">
        <v>6600</v>
      </c>
      <c r="DU38" s="24">
        <v>6800</v>
      </c>
      <c r="DV38" s="24">
        <v>6800</v>
      </c>
      <c r="DW38" s="24">
        <v>6800</v>
      </c>
      <c r="DX38" s="24">
        <v>6800</v>
      </c>
      <c r="DY38" s="24"/>
      <c r="DZ38" s="24"/>
      <c r="EA38" s="24">
        <v>6800</v>
      </c>
      <c r="EB38" s="24">
        <v>6800</v>
      </c>
      <c r="EC38" s="24">
        <v>6800</v>
      </c>
      <c r="ED38" s="24">
        <v>6800</v>
      </c>
      <c r="EE38" s="24">
        <v>6800</v>
      </c>
      <c r="EF38" s="24"/>
      <c r="EG38" s="24"/>
      <c r="EH38" s="24">
        <v>6800</v>
      </c>
      <c r="EI38" s="24">
        <v>6800</v>
      </c>
      <c r="EJ38" s="24">
        <v>6800</v>
      </c>
      <c r="EK38" s="24">
        <v>6800</v>
      </c>
      <c r="EL38" s="24">
        <v>6800</v>
      </c>
      <c r="EM38" s="24"/>
      <c r="EN38" s="24"/>
      <c r="EO38" s="24">
        <v>7000</v>
      </c>
      <c r="EP38" s="24">
        <v>7000</v>
      </c>
      <c r="EQ38" s="24">
        <v>7000</v>
      </c>
      <c r="ER38" s="24">
        <v>7000</v>
      </c>
      <c r="ES38" s="24">
        <v>7000</v>
      </c>
      <c r="ET38" s="24"/>
      <c r="EU38" s="24"/>
      <c r="EV38" s="24">
        <v>7000</v>
      </c>
      <c r="EW38" s="24">
        <v>7000</v>
      </c>
      <c r="EX38" s="24">
        <v>7300</v>
      </c>
      <c r="EY38" s="24">
        <v>7300</v>
      </c>
      <c r="EZ38" s="24">
        <v>7350</v>
      </c>
      <c r="FA38" s="24"/>
      <c r="FB38" s="24"/>
      <c r="FC38" s="24">
        <v>7400</v>
      </c>
      <c r="FD38" s="24">
        <v>7400</v>
      </c>
      <c r="FE38" s="24">
        <v>7400</v>
      </c>
      <c r="FF38" s="24">
        <v>7400</v>
      </c>
      <c r="FG38" s="24">
        <v>7400</v>
      </c>
      <c r="FH38" s="24"/>
      <c r="FI38" s="24"/>
      <c r="FJ38" s="24">
        <v>7400</v>
      </c>
      <c r="FK38" s="24">
        <v>7200</v>
      </c>
      <c r="FL38" s="24">
        <v>7200</v>
      </c>
      <c r="FM38" s="24">
        <v>7100</v>
      </c>
      <c r="FN38" s="24">
        <v>7100</v>
      </c>
      <c r="FO38" s="24"/>
      <c r="FP38" s="24"/>
      <c r="FQ38" s="24">
        <v>7000</v>
      </c>
      <c r="FR38" s="24">
        <v>6700</v>
      </c>
      <c r="FS38" s="24">
        <v>6500</v>
      </c>
      <c r="FT38" s="24">
        <v>6500</v>
      </c>
      <c r="FU38" s="24">
        <v>6500</v>
      </c>
      <c r="FV38" s="24"/>
      <c r="FW38" s="24"/>
      <c r="FX38" s="24">
        <v>6400</v>
      </c>
      <c r="FY38" s="24">
        <v>6200</v>
      </c>
      <c r="FZ38" s="24">
        <v>6200</v>
      </c>
      <c r="GA38" s="24">
        <v>6200</v>
      </c>
      <c r="GB38" s="24">
        <v>6200</v>
      </c>
      <c r="GC38" s="24"/>
      <c r="GD38" s="24"/>
      <c r="GE38" s="24">
        <v>6100</v>
      </c>
      <c r="GF38" s="24">
        <v>6100</v>
      </c>
      <c r="GG38" s="24">
        <v>6100</v>
      </c>
      <c r="GH38" s="24">
        <v>6100</v>
      </c>
      <c r="GI38" s="24">
        <v>6100</v>
      </c>
      <c r="GJ38" s="24"/>
      <c r="GK38" s="24"/>
      <c r="GL38" s="24">
        <v>6100</v>
      </c>
      <c r="GM38" s="24">
        <v>6100</v>
      </c>
      <c r="GN38" s="24">
        <v>6100</v>
      </c>
      <c r="GO38" s="24">
        <v>6300</v>
      </c>
      <c r="GP38" s="24">
        <v>6300</v>
      </c>
      <c r="GQ38" s="24"/>
      <c r="GR38" s="24"/>
      <c r="GS38" s="24">
        <v>6300</v>
      </c>
      <c r="GT38" s="24">
        <v>6300</v>
      </c>
      <c r="GU38" s="24">
        <v>6300</v>
      </c>
      <c r="GV38" s="24">
        <v>6300</v>
      </c>
      <c r="GW38" s="24">
        <v>6300</v>
      </c>
      <c r="GX38" s="24"/>
      <c r="GY38" s="24"/>
      <c r="GZ38" s="24">
        <v>6300</v>
      </c>
      <c r="HA38" s="24">
        <v>6300</v>
      </c>
      <c r="HB38" s="24">
        <v>6500</v>
      </c>
      <c r="HC38" s="24">
        <v>6500</v>
      </c>
      <c r="HD38" s="24">
        <v>6500</v>
      </c>
      <c r="HE38" s="24"/>
      <c r="HF38" s="24"/>
      <c r="HG38" s="24">
        <v>6500</v>
      </c>
      <c r="HH38" s="24">
        <v>6500</v>
      </c>
      <c r="HI38" s="24">
        <v>6500</v>
      </c>
      <c r="HJ38" s="24">
        <v>6500</v>
      </c>
      <c r="HK38" s="24">
        <v>6500</v>
      </c>
      <c r="HL38" s="24"/>
      <c r="HM38" s="24"/>
      <c r="HN38" s="24">
        <v>6500</v>
      </c>
      <c r="HO38" s="24">
        <v>6300</v>
      </c>
      <c r="HP38" s="24">
        <v>6500</v>
      </c>
      <c r="HQ38" s="24">
        <v>6500</v>
      </c>
      <c r="HR38" s="24">
        <v>6500</v>
      </c>
      <c r="HS38" s="24"/>
      <c r="HT38" s="24"/>
      <c r="HU38" s="24">
        <v>6500</v>
      </c>
      <c r="HV38" s="24">
        <v>6500</v>
      </c>
      <c r="HW38" s="24">
        <v>6500</v>
      </c>
      <c r="HX38" s="24">
        <v>6700</v>
      </c>
      <c r="HY38" s="24">
        <v>6700</v>
      </c>
      <c r="HZ38" s="24"/>
      <c r="IA38" s="24"/>
      <c r="IB38" s="24">
        <v>6700</v>
      </c>
      <c r="IC38" s="24">
        <v>6700</v>
      </c>
      <c r="ID38" s="24">
        <v>6700</v>
      </c>
      <c r="IE38" s="24">
        <v>6700</v>
      </c>
      <c r="IF38" s="24">
        <v>6700</v>
      </c>
      <c r="IG38" s="24"/>
      <c r="IH38" s="24"/>
      <c r="II38" s="24">
        <v>6800</v>
      </c>
      <c r="IJ38" s="24">
        <v>6800</v>
      </c>
      <c r="IK38" s="24">
        <v>6800</v>
      </c>
      <c r="IL38" s="24">
        <v>6800</v>
      </c>
      <c r="IM38" s="24">
        <v>6800</v>
      </c>
      <c r="IN38" s="24"/>
      <c r="IO38" s="24"/>
      <c r="IP38" s="74">
        <v>6800</v>
      </c>
      <c r="IQ38" s="74">
        <v>6800</v>
      </c>
      <c r="IR38" s="24">
        <v>6800</v>
      </c>
      <c r="IS38" s="24">
        <v>6900</v>
      </c>
      <c r="IT38" s="24">
        <v>6900</v>
      </c>
      <c r="IU38" s="24"/>
      <c r="IV38" s="24"/>
      <c r="IW38" s="24">
        <v>6900</v>
      </c>
      <c r="IX38" s="24">
        <v>6900</v>
      </c>
      <c r="IY38" s="24">
        <v>6900</v>
      </c>
      <c r="IZ38" s="24">
        <v>6900</v>
      </c>
      <c r="JA38" s="24">
        <v>7100</v>
      </c>
      <c r="JB38" s="24"/>
      <c r="JC38" s="24"/>
      <c r="JD38" s="24">
        <v>7100</v>
      </c>
      <c r="JE38" s="24">
        <v>7100</v>
      </c>
      <c r="JF38" s="24">
        <v>7100</v>
      </c>
      <c r="JG38" s="24">
        <v>7100</v>
      </c>
      <c r="JH38" s="24">
        <v>7100</v>
      </c>
      <c r="JI38" s="24"/>
      <c r="JJ38" s="24"/>
      <c r="JK38" s="24">
        <v>7100</v>
      </c>
      <c r="JL38" s="24">
        <v>7300</v>
      </c>
      <c r="JM38" s="24">
        <v>7300</v>
      </c>
      <c r="JN38" s="24">
        <v>7400</v>
      </c>
      <c r="JO38" s="24">
        <v>7400</v>
      </c>
      <c r="JP38" s="24"/>
      <c r="JQ38" s="24"/>
      <c r="JR38" s="24">
        <v>7400</v>
      </c>
      <c r="JS38" s="24">
        <v>7600</v>
      </c>
      <c r="JT38" s="24">
        <v>7600</v>
      </c>
      <c r="JU38" s="24">
        <v>7600</v>
      </c>
      <c r="JV38" s="24">
        <v>7600</v>
      </c>
      <c r="JW38" s="24"/>
      <c r="JX38" s="24"/>
      <c r="JY38" s="24">
        <v>7600</v>
      </c>
      <c r="JZ38" s="24">
        <v>7600</v>
      </c>
      <c r="KA38" s="24">
        <v>7600</v>
      </c>
      <c r="KB38" s="24">
        <v>7600</v>
      </c>
      <c r="KC38" s="95">
        <v>7500</v>
      </c>
      <c r="KD38" s="24"/>
      <c r="KE38" s="24"/>
      <c r="KF38" s="95">
        <v>7600</v>
      </c>
      <c r="KG38" s="24">
        <v>7600</v>
      </c>
      <c r="KH38" s="24">
        <v>7600</v>
      </c>
      <c r="KI38" s="24">
        <v>7600</v>
      </c>
      <c r="KJ38" s="24">
        <v>7600</v>
      </c>
      <c r="KK38" s="24"/>
      <c r="KL38" s="24"/>
      <c r="KM38" s="24">
        <v>7700</v>
      </c>
      <c r="KN38" s="24">
        <v>7700</v>
      </c>
      <c r="KO38" s="24">
        <v>7700</v>
      </c>
      <c r="KP38" s="24">
        <v>7700</v>
      </c>
      <c r="KQ38" s="24">
        <v>7700</v>
      </c>
      <c r="KR38" s="24"/>
      <c r="KS38" s="24"/>
      <c r="KT38" s="24">
        <v>7700</v>
      </c>
      <c r="KU38" s="24">
        <v>7700</v>
      </c>
      <c r="KV38" s="24">
        <v>7800</v>
      </c>
      <c r="KW38" s="24">
        <v>8000</v>
      </c>
      <c r="KX38" s="24">
        <v>8000</v>
      </c>
      <c r="KY38" s="24"/>
      <c r="KZ38" s="24"/>
      <c r="LA38" s="24">
        <v>8100</v>
      </c>
      <c r="LB38" s="24">
        <v>8100</v>
      </c>
      <c r="LC38" s="24">
        <v>8300</v>
      </c>
      <c r="LD38" s="24">
        <v>8300</v>
      </c>
      <c r="LE38" s="24">
        <v>8300</v>
      </c>
      <c r="LF38" s="24"/>
      <c r="LG38" s="24"/>
      <c r="LH38" s="24">
        <v>8300</v>
      </c>
      <c r="LI38" s="24">
        <v>8300</v>
      </c>
      <c r="LJ38" s="24">
        <v>8300</v>
      </c>
      <c r="LK38" s="24">
        <v>8300</v>
      </c>
      <c r="LL38" s="24">
        <v>8300</v>
      </c>
      <c r="LM38" s="24"/>
      <c r="LN38" s="24"/>
      <c r="LO38" s="24">
        <v>8000</v>
      </c>
      <c r="LP38" s="24">
        <v>7500</v>
      </c>
      <c r="LQ38" s="24">
        <v>7500</v>
      </c>
      <c r="LR38" s="24">
        <v>7500</v>
      </c>
      <c r="LS38" s="24">
        <v>7500</v>
      </c>
      <c r="LT38" s="24"/>
      <c r="LU38" s="24"/>
      <c r="LV38" s="24">
        <v>7500</v>
      </c>
      <c r="LW38" s="24">
        <v>7200</v>
      </c>
      <c r="LX38" s="24">
        <v>7200</v>
      </c>
      <c r="LY38" s="24">
        <v>7200</v>
      </c>
      <c r="LZ38" s="24">
        <v>7300</v>
      </c>
      <c r="MA38" s="24"/>
      <c r="MB38" s="24"/>
      <c r="MC38" s="24">
        <v>7300</v>
      </c>
      <c r="MD38" s="24">
        <v>7300</v>
      </c>
      <c r="ME38" s="24">
        <v>7000</v>
      </c>
      <c r="MF38" s="24">
        <v>7000</v>
      </c>
      <c r="MG38" s="24">
        <v>7000</v>
      </c>
      <c r="MH38" s="24"/>
      <c r="MI38" s="24"/>
      <c r="MJ38" s="24">
        <v>7000</v>
      </c>
      <c r="MK38" s="24">
        <v>7000</v>
      </c>
      <c r="ML38" s="24">
        <v>7000</v>
      </c>
      <c r="MM38" s="24">
        <v>6800</v>
      </c>
      <c r="MN38" s="24">
        <v>6900</v>
      </c>
      <c r="MO38" s="24"/>
      <c r="MP38" s="24"/>
      <c r="MQ38" s="24">
        <v>6900</v>
      </c>
      <c r="MR38" s="24">
        <v>6900</v>
      </c>
      <c r="MS38" s="24">
        <v>6900</v>
      </c>
      <c r="MT38" s="24">
        <v>6900</v>
      </c>
      <c r="MU38" s="24">
        <v>6900</v>
      </c>
      <c r="MV38" s="24"/>
      <c r="MW38" s="24"/>
      <c r="MX38" s="24">
        <v>6900</v>
      </c>
      <c r="MY38" s="24">
        <v>6900</v>
      </c>
      <c r="MZ38" s="24">
        <v>6900</v>
      </c>
      <c r="NA38" s="24">
        <v>6900</v>
      </c>
      <c r="NB38" s="24">
        <v>6900</v>
      </c>
    </row>
    <row r="39" spans="1:366" x14ac:dyDescent="0.25">
      <c r="A39" s="47" t="s">
        <v>181</v>
      </c>
      <c r="B39" s="63"/>
      <c r="C39" s="63"/>
      <c r="D39" s="63"/>
      <c r="E39" s="63">
        <v>236</v>
      </c>
      <c r="F39" s="63">
        <v>236</v>
      </c>
      <c r="G39" s="63">
        <v>236</v>
      </c>
      <c r="H39" s="63">
        <v>236</v>
      </c>
      <c r="I39" s="63">
        <v>229</v>
      </c>
      <c r="J39" s="63"/>
      <c r="K39" s="63"/>
      <c r="L39" s="63">
        <v>244</v>
      </c>
      <c r="M39" s="63">
        <v>254</v>
      </c>
      <c r="N39" s="63">
        <v>255</v>
      </c>
      <c r="O39" s="63">
        <v>258</v>
      </c>
      <c r="P39" s="63">
        <v>258</v>
      </c>
      <c r="Q39" s="63"/>
      <c r="R39" s="63"/>
      <c r="S39" s="63">
        <v>260</v>
      </c>
      <c r="T39" s="63">
        <v>267</v>
      </c>
      <c r="U39" s="43">
        <v>268</v>
      </c>
      <c r="V39" s="43">
        <v>270</v>
      </c>
      <c r="W39" s="43">
        <v>270</v>
      </c>
      <c r="X39" s="43"/>
      <c r="Y39" s="43"/>
      <c r="Z39" s="43">
        <v>270</v>
      </c>
      <c r="AA39" s="43">
        <v>270</v>
      </c>
      <c r="AB39" s="43">
        <v>275</v>
      </c>
      <c r="AC39" s="43">
        <v>275</v>
      </c>
      <c r="AD39" s="43">
        <v>275</v>
      </c>
      <c r="AE39" s="43"/>
      <c r="AF39" s="43"/>
      <c r="AG39" s="43">
        <v>275</v>
      </c>
      <c r="AH39" s="43">
        <v>280</v>
      </c>
      <c r="AI39" s="43">
        <v>280</v>
      </c>
      <c r="AJ39" s="43">
        <v>280</v>
      </c>
      <c r="AK39" s="43">
        <v>280</v>
      </c>
      <c r="AL39" s="43"/>
      <c r="AM39" s="43"/>
      <c r="AN39" s="43">
        <v>280</v>
      </c>
      <c r="AO39" s="43">
        <v>280</v>
      </c>
      <c r="AP39" s="43">
        <v>280</v>
      </c>
      <c r="AQ39" s="43">
        <v>280</v>
      </c>
      <c r="AR39" s="43">
        <v>283</v>
      </c>
      <c r="AS39" s="43"/>
      <c r="AT39" s="43"/>
      <c r="AU39" s="63">
        <v>280</v>
      </c>
      <c r="AV39" s="63">
        <v>280</v>
      </c>
      <c r="AW39" s="43">
        <v>283</v>
      </c>
      <c r="AX39" s="43">
        <v>283</v>
      </c>
      <c r="AY39" s="43">
        <v>280</v>
      </c>
      <c r="AZ39" s="43"/>
      <c r="BA39" s="43"/>
      <c r="BB39" s="43">
        <v>278</v>
      </c>
      <c r="BC39" s="43">
        <v>278</v>
      </c>
      <c r="BD39" s="43">
        <v>278</v>
      </c>
      <c r="BE39" s="43">
        <v>278</v>
      </c>
      <c r="BF39" s="43">
        <v>278</v>
      </c>
      <c r="BG39" s="43"/>
      <c r="BH39" s="43"/>
      <c r="BI39" s="43">
        <v>278</v>
      </c>
      <c r="BJ39" s="43">
        <v>278</v>
      </c>
      <c r="BK39" s="43">
        <v>278</v>
      </c>
      <c r="BL39" s="43">
        <v>278</v>
      </c>
      <c r="BM39" s="43">
        <v>280</v>
      </c>
      <c r="BN39" s="43"/>
      <c r="BO39" s="43"/>
      <c r="BP39" s="43">
        <v>280</v>
      </c>
      <c r="BQ39" s="43">
        <v>280</v>
      </c>
      <c r="BR39" s="43">
        <v>283</v>
      </c>
      <c r="BS39" s="43">
        <v>283</v>
      </c>
      <c r="BT39" s="43">
        <v>283</v>
      </c>
      <c r="BU39" s="43"/>
      <c r="BV39" s="43"/>
      <c r="BW39" s="43">
        <v>283</v>
      </c>
      <c r="BX39" s="43">
        <v>285</v>
      </c>
      <c r="BY39" s="43">
        <v>285</v>
      </c>
      <c r="BZ39" s="43">
        <v>285</v>
      </c>
      <c r="CA39" s="43">
        <v>285</v>
      </c>
      <c r="CB39" s="43"/>
      <c r="CC39" s="43"/>
      <c r="CD39" s="43">
        <v>290</v>
      </c>
      <c r="CE39" s="43">
        <v>290</v>
      </c>
      <c r="CF39" s="43">
        <v>291</v>
      </c>
      <c r="CG39" s="43">
        <v>291</v>
      </c>
      <c r="CH39" s="43">
        <v>291</v>
      </c>
      <c r="CI39" s="43"/>
      <c r="CJ39" s="43"/>
      <c r="CK39" s="43">
        <v>295</v>
      </c>
      <c r="CL39" s="43">
        <v>295</v>
      </c>
      <c r="CM39" s="43">
        <v>298</v>
      </c>
      <c r="CN39" s="43">
        <v>299</v>
      </c>
      <c r="CO39" s="43">
        <v>299</v>
      </c>
      <c r="CP39" s="43"/>
      <c r="CQ39" s="43"/>
      <c r="CR39" s="43">
        <v>300</v>
      </c>
      <c r="CS39" s="43">
        <v>300</v>
      </c>
      <c r="CT39" s="43">
        <v>300</v>
      </c>
      <c r="CU39" s="43">
        <v>300</v>
      </c>
      <c r="CV39" s="43">
        <v>300</v>
      </c>
      <c r="CW39" s="43"/>
      <c r="CX39" s="43"/>
      <c r="CY39" s="43">
        <v>300</v>
      </c>
      <c r="CZ39" s="43">
        <v>300</v>
      </c>
      <c r="DA39" s="43">
        <v>300</v>
      </c>
      <c r="DB39" s="43">
        <v>300</v>
      </c>
      <c r="DC39" s="43">
        <v>300</v>
      </c>
      <c r="DD39" s="43"/>
      <c r="DE39" s="43"/>
      <c r="DF39" s="43">
        <v>300</v>
      </c>
      <c r="DG39" s="43">
        <v>300</v>
      </c>
      <c r="DH39" s="43">
        <v>300</v>
      </c>
      <c r="DI39" s="43">
        <v>300</v>
      </c>
      <c r="DJ39" s="43">
        <v>300</v>
      </c>
      <c r="DK39" s="43"/>
      <c r="DL39" s="43"/>
      <c r="DM39" s="43">
        <v>296</v>
      </c>
      <c r="DN39" s="43">
        <v>295</v>
      </c>
      <c r="DO39" s="43">
        <v>295</v>
      </c>
      <c r="DP39" s="43">
        <v>295</v>
      </c>
      <c r="DQ39" s="43">
        <v>295</v>
      </c>
      <c r="DR39" s="43"/>
      <c r="DS39" s="43"/>
      <c r="DT39" s="43">
        <v>292</v>
      </c>
      <c r="DU39" s="43">
        <v>292</v>
      </c>
      <c r="DV39" s="43">
        <v>290</v>
      </c>
      <c r="DW39" s="43">
        <v>290</v>
      </c>
      <c r="DX39" s="43">
        <v>290</v>
      </c>
      <c r="DY39" s="43"/>
      <c r="DZ39" s="43"/>
      <c r="EA39" s="43">
        <v>289</v>
      </c>
      <c r="EB39" s="43">
        <v>289</v>
      </c>
      <c r="EC39" s="43">
        <v>289</v>
      </c>
      <c r="ED39" s="43">
        <v>289</v>
      </c>
      <c r="EE39" s="43">
        <v>289</v>
      </c>
      <c r="EF39" s="43"/>
      <c r="EG39" s="43"/>
      <c r="EH39" s="43">
        <v>289</v>
      </c>
      <c r="EI39" s="43">
        <v>295</v>
      </c>
      <c r="EJ39" s="43">
        <v>295</v>
      </c>
      <c r="EK39" s="43">
        <v>295</v>
      </c>
      <c r="EL39" s="43">
        <v>297</v>
      </c>
      <c r="EM39" s="43"/>
      <c r="EN39" s="43"/>
      <c r="EO39" s="43">
        <v>297</v>
      </c>
      <c r="EP39" s="43">
        <v>298</v>
      </c>
      <c r="EQ39" s="43">
        <v>300</v>
      </c>
      <c r="ER39" s="43">
        <v>300</v>
      </c>
      <c r="ES39" s="43">
        <v>300</v>
      </c>
      <c r="ET39" s="43"/>
      <c r="EU39" s="43"/>
      <c r="EV39" s="43">
        <v>300</v>
      </c>
      <c r="EW39" s="43">
        <v>302</v>
      </c>
      <c r="EX39" s="43">
        <v>305</v>
      </c>
      <c r="EY39" s="43">
        <v>305</v>
      </c>
      <c r="EZ39" s="43">
        <v>305</v>
      </c>
      <c r="FA39" s="43"/>
      <c r="FB39" s="43"/>
      <c r="FC39" s="43">
        <v>305</v>
      </c>
      <c r="FD39" s="43">
        <v>305</v>
      </c>
      <c r="FE39" s="43">
        <v>305</v>
      </c>
      <c r="FF39" s="43">
        <v>305</v>
      </c>
      <c r="FG39" s="43">
        <v>305</v>
      </c>
      <c r="FH39" s="43"/>
      <c r="FI39" s="43"/>
      <c r="FJ39" s="43">
        <v>305</v>
      </c>
      <c r="FK39" s="43">
        <v>305</v>
      </c>
      <c r="FL39" s="43">
        <v>305</v>
      </c>
      <c r="FM39" s="43">
        <v>305</v>
      </c>
      <c r="FN39" s="43">
        <v>305</v>
      </c>
      <c r="FO39" s="43"/>
      <c r="FP39" s="43"/>
      <c r="FQ39" s="43">
        <v>305</v>
      </c>
      <c r="FR39" s="43">
        <v>305</v>
      </c>
      <c r="FS39" s="43">
        <v>305</v>
      </c>
      <c r="FT39" s="43">
        <v>305</v>
      </c>
      <c r="FU39" s="43">
        <v>305</v>
      </c>
      <c r="FV39" s="43"/>
      <c r="FW39" s="43"/>
      <c r="FX39" s="43">
        <v>305</v>
      </c>
      <c r="FY39" s="43">
        <v>305</v>
      </c>
      <c r="FZ39" s="43">
        <v>305</v>
      </c>
      <c r="GA39" s="43">
        <v>305</v>
      </c>
      <c r="GB39" s="43">
        <v>305</v>
      </c>
      <c r="GC39" s="43"/>
      <c r="GD39" s="43"/>
      <c r="GE39" s="43">
        <v>305</v>
      </c>
      <c r="GF39" s="43">
        <v>305</v>
      </c>
      <c r="GG39" s="43">
        <v>305</v>
      </c>
      <c r="GH39" s="43">
        <v>305</v>
      </c>
      <c r="GI39" s="43">
        <v>303</v>
      </c>
      <c r="GJ39" s="43"/>
      <c r="GK39" s="43"/>
      <c r="GL39" s="43">
        <v>300</v>
      </c>
      <c r="GM39" s="43">
        <v>300</v>
      </c>
      <c r="GN39" s="43">
        <v>300</v>
      </c>
      <c r="GO39" s="43">
        <v>300</v>
      </c>
      <c r="GP39" s="43">
        <v>300</v>
      </c>
      <c r="GQ39" s="43"/>
      <c r="GR39" s="43"/>
      <c r="GS39" s="43">
        <v>300</v>
      </c>
      <c r="GT39" s="43">
        <v>300</v>
      </c>
      <c r="GU39" s="43">
        <v>302</v>
      </c>
      <c r="GV39" s="43">
        <v>303</v>
      </c>
      <c r="GW39" s="43">
        <v>303</v>
      </c>
      <c r="GX39" s="43"/>
      <c r="GY39" s="43"/>
      <c r="GZ39" s="43">
        <v>303</v>
      </c>
      <c r="HA39" s="43">
        <v>303</v>
      </c>
      <c r="HB39" s="43">
        <v>303</v>
      </c>
      <c r="HC39" s="43">
        <v>303</v>
      </c>
      <c r="HD39" s="43">
        <v>305</v>
      </c>
      <c r="HE39" s="43"/>
      <c r="HF39" s="43"/>
      <c r="HG39" s="43">
        <v>305</v>
      </c>
      <c r="HH39" s="43">
        <v>305</v>
      </c>
      <c r="HI39" s="43">
        <v>305</v>
      </c>
      <c r="HJ39" s="43">
        <v>305</v>
      </c>
      <c r="HK39" s="43">
        <v>305</v>
      </c>
      <c r="HL39" s="43"/>
      <c r="HM39" s="43"/>
      <c r="HN39" s="43">
        <v>305</v>
      </c>
      <c r="HO39" s="43">
        <v>305</v>
      </c>
      <c r="HP39" s="43">
        <v>305</v>
      </c>
      <c r="HQ39" s="43">
        <v>305</v>
      </c>
      <c r="HR39" s="43">
        <v>305</v>
      </c>
      <c r="HS39" s="43"/>
      <c r="HT39" s="43"/>
      <c r="HU39" s="43">
        <v>305</v>
      </c>
      <c r="HV39" s="43">
        <v>305</v>
      </c>
      <c r="HW39" s="43">
        <v>305</v>
      </c>
      <c r="HX39" s="43">
        <v>305</v>
      </c>
      <c r="HY39" s="43">
        <v>305</v>
      </c>
      <c r="HZ39" s="43"/>
      <c r="IA39" s="43"/>
      <c r="IB39" s="43">
        <v>305</v>
      </c>
      <c r="IC39" s="43">
        <v>305</v>
      </c>
      <c r="ID39" s="43">
        <v>305</v>
      </c>
      <c r="IE39" s="43">
        <v>305</v>
      </c>
      <c r="IF39" s="43">
        <v>305</v>
      </c>
      <c r="IG39" s="43"/>
      <c r="IH39" s="43"/>
      <c r="II39" s="43">
        <v>301</v>
      </c>
      <c r="IJ39" s="43">
        <v>300</v>
      </c>
      <c r="IK39" s="43">
        <v>300</v>
      </c>
      <c r="IL39" s="43">
        <v>302</v>
      </c>
      <c r="IM39" s="43">
        <v>302</v>
      </c>
      <c r="IN39" s="43"/>
      <c r="IO39" s="43"/>
      <c r="IP39" s="54">
        <v>302</v>
      </c>
      <c r="IQ39" s="54">
        <v>302</v>
      </c>
      <c r="IR39" s="43">
        <v>300</v>
      </c>
      <c r="IS39" s="43">
        <v>296</v>
      </c>
      <c r="IT39" s="43">
        <v>296</v>
      </c>
      <c r="IU39" s="43"/>
      <c r="IV39" s="43"/>
      <c r="IW39" s="43">
        <v>293</v>
      </c>
      <c r="IX39" s="43">
        <v>290</v>
      </c>
      <c r="IY39" s="43">
        <v>290</v>
      </c>
      <c r="IZ39" s="43">
        <v>285</v>
      </c>
      <c r="JA39" s="43">
        <v>285</v>
      </c>
      <c r="JB39" s="43"/>
      <c r="JC39" s="43"/>
      <c r="JD39" s="43">
        <v>285</v>
      </c>
      <c r="JE39" s="43">
        <v>285</v>
      </c>
      <c r="JF39" s="43">
        <v>280</v>
      </c>
      <c r="JG39" s="43">
        <v>280</v>
      </c>
      <c r="JH39" s="43">
        <v>278</v>
      </c>
      <c r="JI39" s="43"/>
      <c r="JJ39" s="43"/>
      <c r="JK39" s="43">
        <v>278</v>
      </c>
      <c r="JL39" s="43">
        <v>278</v>
      </c>
      <c r="JM39" s="43">
        <v>278</v>
      </c>
      <c r="JN39" s="43">
        <v>277</v>
      </c>
      <c r="JO39" s="43">
        <v>275</v>
      </c>
      <c r="JP39" s="43"/>
      <c r="JQ39" s="43"/>
      <c r="JR39" s="43">
        <v>272</v>
      </c>
      <c r="JS39" s="43">
        <v>272</v>
      </c>
      <c r="JT39" s="43">
        <v>270</v>
      </c>
      <c r="JU39" s="43">
        <v>266</v>
      </c>
      <c r="JV39" s="43">
        <v>263</v>
      </c>
      <c r="JW39" s="43"/>
      <c r="JX39" s="43"/>
      <c r="JY39" s="43">
        <v>264</v>
      </c>
      <c r="JZ39" s="43">
        <v>264</v>
      </c>
      <c r="KA39" s="43">
        <v>264</v>
      </c>
      <c r="KB39" s="43">
        <v>264</v>
      </c>
      <c r="KC39" s="94">
        <v>260</v>
      </c>
      <c r="KD39" s="43"/>
      <c r="KE39" s="43"/>
      <c r="KF39" s="94">
        <v>260</v>
      </c>
      <c r="KG39" s="43">
        <v>257</v>
      </c>
      <c r="KH39" s="43">
        <v>257</v>
      </c>
      <c r="KI39" s="43">
        <v>255</v>
      </c>
      <c r="KJ39" s="43">
        <v>257</v>
      </c>
      <c r="KK39" s="43"/>
      <c r="KL39" s="43"/>
      <c r="KM39" s="43">
        <v>257</v>
      </c>
      <c r="KN39" s="43">
        <v>257</v>
      </c>
      <c r="KO39" s="43">
        <v>255</v>
      </c>
      <c r="KP39" s="43">
        <v>255</v>
      </c>
      <c r="KQ39" s="43">
        <v>253</v>
      </c>
      <c r="KR39" s="43"/>
      <c r="KS39" s="43"/>
      <c r="KT39" s="43">
        <v>253</v>
      </c>
      <c r="KU39" s="43">
        <v>253</v>
      </c>
      <c r="KV39" s="43">
        <v>251</v>
      </c>
      <c r="KW39" s="43">
        <v>250</v>
      </c>
      <c r="KX39" s="43">
        <v>255</v>
      </c>
      <c r="KY39" s="43"/>
      <c r="KZ39" s="43"/>
      <c r="LA39" s="43">
        <v>260</v>
      </c>
      <c r="LB39" s="43">
        <v>270</v>
      </c>
      <c r="LC39" s="43">
        <v>275</v>
      </c>
      <c r="LD39" s="43">
        <v>285</v>
      </c>
      <c r="LE39" s="43">
        <v>285</v>
      </c>
      <c r="LF39" s="43"/>
      <c r="LG39" s="43"/>
      <c r="LH39" s="43">
        <v>285</v>
      </c>
      <c r="LI39" s="43">
        <v>290</v>
      </c>
      <c r="LJ39" s="43">
        <v>295</v>
      </c>
      <c r="LK39" s="43">
        <v>295</v>
      </c>
      <c r="LL39" s="43">
        <v>295</v>
      </c>
      <c r="LM39" s="43"/>
      <c r="LN39" s="43"/>
      <c r="LO39" s="43">
        <v>295</v>
      </c>
      <c r="LP39" s="43">
        <v>295</v>
      </c>
      <c r="LQ39" s="43">
        <v>295</v>
      </c>
      <c r="LR39" s="43">
        <v>295</v>
      </c>
      <c r="LS39" s="43">
        <v>295</v>
      </c>
      <c r="LT39" s="43"/>
      <c r="LU39" s="43"/>
      <c r="LV39" s="43">
        <v>295</v>
      </c>
      <c r="LW39" s="43">
        <v>295</v>
      </c>
      <c r="LX39" s="43">
        <v>300</v>
      </c>
      <c r="LY39" s="43">
        <v>300</v>
      </c>
      <c r="LZ39" s="43">
        <v>300</v>
      </c>
      <c r="MA39" s="43"/>
      <c r="MB39" s="43"/>
      <c r="MC39" s="43">
        <v>300</v>
      </c>
      <c r="MD39" s="43">
        <v>295</v>
      </c>
      <c r="ME39" s="43">
        <v>295</v>
      </c>
      <c r="MF39" s="43">
        <v>292</v>
      </c>
      <c r="MG39" s="43">
        <v>293</v>
      </c>
      <c r="MH39" s="43"/>
      <c r="MI39" s="43"/>
      <c r="MJ39" s="43">
        <v>293</v>
      </c>
      <c r="MK39" s="43">
        <v>290</v>
      </c>
      <c r="ML39" s="43">
        <v>293</v>
      </c>
      <c r="MM39" s="43">
        <v>295</v>
      </c>
      <c r="MN39" s="43">
        <v>295</v>
      </c>
      <c r="MO39" s="43"/>
      <c r="MP39" s="43"/>
      <c r="MQ39" s="43">
        <v>295</v>
      </c>
      <c r="MR39" s="43">
        <v>295</v>
      </c>
      <c r="MS39" s="43">
        <v>295</v>
      </c>
      <c r="MT39" s="43">
        <v>295</v>
      </c>
      <c r="MU39" s="43">
        <v>295</v>
      </c>
      <c r="MV39" s="63"/>
      <c r="MW39" s="63"/>
      <c r="MX39" s="43">
        <v>300</v>
      </c>
      <c r="MY39" s="43">
        <v>300</v>
      </c>
      <c r="MZ39" s="43">
        <v>300</v>
      </c>
      <c r="NA39" s="43">
        <v>300</v>
      </c>
      <c r="NB39" s="43">
        <v>300</v>
      </c>
    </row>
    <row r="40" spans="1:366" x14ac:dyDescent="0.25">
      <c r="A40" s="26" t="s">
        <v>176</v>
      </c>
      <c r="B40" s="59"/>
      <c r="C40" s="59"/>
      <c r="D40" s="59"/>
      <c r="E40" s="59">
        <v>4759.78</v>
      </c>
      <c r="F40" s="59"/>
      <c r="G40" s="59"/>
      <c r="H40" s="59"/>
      <c r="I40" s="59"/>
      <c r="J40" s="59"/>
      <c r="K40" s="59"/>
      <c r="L40" s="59"/>
      <c r="M40" s="59"/>
      <c r="N40" s="59">
        <v>4567.4184579084695</v>
      </c>
      <c r="O40" s="59"/>
      <c r="P40" s="59"/>
      <c r="Q40" s="59"/>
      <c r="R40" s="59"/>
      <c r="S40" s="59">
        <v>4207.960893854749</v>
      </c>
      <c r="T40" s="59"/>
      <c r="U40" s="24"/>
      <c r="V40" s="24"/>
      <c r="W40" s="24"/>
      <c r="X40" s="24"/>
      <c r="Y40" s="24"/>
      <c r="Z40" s="24"/>
      <c r="AA40" s="24"/>
      <c r="AB40" s="24">
        <v>4309.3575418994415</v>
      </c>
      <c r="AC40" s="24">
        <v>4309.3575418994415</v>
      </c>
      <c r="AD40" s="24"/>
      <c r="AE40" s="24"/>
      <c r="AF40" s="24"/>
      <c r="AG40" s="24"/>
      <c r="AH40" s="24"/>
      <c r="AI40" s="24">
        <v>4550.9394885880629</v>
      </c>
      <c r="AJ40" s="24"/>
      <c r="AK40" s="24"/>
      <c r="AL40" s="24"/>
      <c r="AM40" s="24"/>
      <c r="AN40" s="24">
        <v>4980.2886853950022</v>
      </c>
      <c r="AO40" s="24">
        <v>5119.0542619247135</v>
      </c>
      <c r="AP40" s="24"/>
      <c r="AQ40" s="24"/>
      <c r="AR40" s="24"/>
      <c r="AS40" s="24"/>
      <c r="AT40" s="24"/>
      <c r="AU40" s="24"/>
      <c r="AV40" s="24"/>
      <c r="AW40" s="24"/>
      <c r="AX40" s="24">
        <v>4809.4741809092957</v>
      </c>
      <c r="AY40" s="24"/>
      <c r="AZ40" s="24"/>
      <c r="BA40" s="24"/>
      <c r="BB40" s="24"/>
      <c r="BC40" s="24"/>
      <c r="BD40" s="24">
        <v>5153.4811872008449</v>
      </c>
      <c r="BE40" s="24"/>
      <c r="BF40" s="24"/>
      <c r="BG40" s="59"/>
      <c r="BH40" s="24"/>
      <c r="BI40" s="24">
        <v>5067.2588832487309</v>
      </c>
      <c r="BJ40" s="24">
        <v>5192.4854881266492</v>
      </c>
      <c r="BK40" s="24">
        <v>5729.3013688318542</v>
      </c>
      <c r="BL40" s="24">
        <v>5874.2111706388823</v>
      </c>
      <c r="BM40" s="24"/>
      <c r="BN40" s="24"/>
      <c r="BO40" s="24"/>
      <c r="BP40" s="24"/>
      <c r="BQ40" s="24">
        <v>5554.3658902786055</v>
      </c>
      <c r="BR40" s="24"/>
      <c r="BS40" s="24"/>
      <c r="BT40" s="24"/>
      <c r="BU40" s="24"/>
      <c r="BV40" s="24"/>
      <c r="BW40" s="24">
        <v>5067.2588832487309</v>
      </c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>
        <v>6247.8382102568112</v>
      </c>
      <c r="CI40" s="24"/>
      <c r="CJ40" s="24"/>
      <c r="CK40" s="24">
        <v>5067.2588832487309</v>
      </c>
      <c r="CL40" s="24"/>
      <c r="CM40" s="24"/>
      <c r="CN40" s="24">
        <v>4759.778364116095</v>
      </c>
      <c r="CO40" s="24"/>
      <c r="CP40" s="24"/>
      <c r="CQ40" s="24"/>
      <c r="CR40" s="24">
        <v>6407.5170344374046</v>
      </c>
      <c r="CS40" s="24">
        <v>6468.61</v>
      </c>
      <c r="CT40" s="24"/>
      <c r="CU40" s="24"/>
      <c r="CV40" s="24">
        <v>6184.8059447297019</v>
      </c>
      <c r="CW40" s="24"/>
      <c r="CX40" s="24"/>
      <c r="CY40" s="24"/>
      <c r="CZ40" s="24">
        <v>6761.489361702128</v>
      </c>
      <c r="DA40" s="24"/>
      <c r="DB40" s="24"/>
      <c r="DC40" s="24">
        <v>6408.2681564245804</v>
      </c>
      <c r="DD40" s="24"/>
      <c r="DE40" s="24"/>
      <c r="DF40" s="24"/>
      <c r="DG40" s="24"/>
      <c r="DH40" s="24"/>
      <c r="DI40" s="24">
        <v>7165.6871765382402</v>
      </c>
      <c r="DJ40" s="24"/>
      <c r="DK40" s="24"/>
      <c r="DL40" s="24"/>
      <c r="DM40" s="24">
        <v>5911.6154771258152</v>
      </c>
      <c r="DN40" s="24"/>
      <c r="DO40" s="24"/>
      <c r="DP40" s="24"/>
      <c r="DQ40" s="24">
        <v>6433.3179470341793</v>
      </c>
      <c r="DR40" s="24"/>
      <c r="DS40" s="24"/>
      <c r="DT40" s="24"/>
      <c r="DU40" s="24"/>
      <c r="DV40" s="24"/>
      <c r="DW40" s="24"/>
      <c r="DX40" s="24">
        <v>6558.8108108108099</v>
      </c>
      <c r="DY40" s="24"/>
      <c r="DZ40" s="24"/>
      <c r="EA40" s="24">
        <v>6401.8454604142644</v>
      </c>
      <c r="EB40" s="24">
        <v>6003.81</v>
      </c>
      <c r="EC40" s="24"/>
      <c r="ED40" s="24"/>
      <c r="EE40" s="24"/>
      <c r="EF40" s="24"/>
      <c r="EG40" s="24"/>
      <c r="EH40" s="24"/>
      <c r="EI40" s="24"/>
      <c r="EJ40" s="24"/>
      <c r="EK40" s="24"/>
      <c r="EL40" s="24">
        <v>6080.7106598984774</v>
      </c>
      <c r="EM40" s="24"/>
      <c r="EN40" s="24"/>
      <c r="EO40" s="24"/>
      <c r="EP40" s="24"/>
      <c r="EQ40" s="24">
        <v>6424.3170476815949</v>
      </c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>
        <v>6690.266035681987</v>
      </c>
      <c r="FD40" s="24"/>
      <c r="FE40" s="24"/>
      <c r="FF40" s="24"/>
      <c r="FG40" s="24">
        <v>6393.75</v>
      </c>
      <c r="FH40" s="24"/>
      <c r="FI40" s="24"/>
      <c r="FJ40" s="24">
        <v>6869.5132978723404</v>
      </c>
      <c r="FK40" s="24"/>
      <c r="FL40" s="24">
        <v>6241.7123310515908</v>
      </c>
      <c r="FM40" s="24"/>
      <c r="FN40" s="24"/>
      <c r="FO40" s="24"/>
      <c r="FP40" s="24"/>
      <c r="FQ40" s="24"/>
      <c r="FR40" s="24"/>
      <c r="FS40" s="24"/>
      <c r="FT40" s="24">
        <v>6032.458002264204</v>
      </c>
      <c r="FU40" s="24"/>
      <c r="FV40" s="24"/>
      <c r="FW40" s="24"/>
      <c r="FX40" s="24">
        <v>5853.508661340953</v>
      </c>
      <c r="FY40" s="24"/>
      <c r="FZ40" s="24">
        <v>5420.4277535761503</v>
      </c>
      <c r="GA40" s="24"/>
      <c r="GB40" s="24"/>
      <c r="GC40" s="24"/>
      <c r="GD40" s="24"/>
      <c r="GE40" s="24">
        <v>5497.400063451777</v>
      </c>
      <c r="GF40" s="24"/>
      <c r="GG40" s="24">
        <v>5333.4240755452693</v>
      </c>
      <c r="GH40" s="24">
        <v>5347.9219229760301</v>
      </c>
      <c r="GI40" s="24"/>
      <c r="GJ40" s="24"/>
      <c r="GK40" s="24"/>
      <c r="GL40" s="24"/>
      <c r="GM40" s="24">
        <v>5724.5944148936169</v>
      </c>
      <c r="GN40" s="24">
        <v>5595.3932037020122</v>
      </c>
      <c r="GO40" s="24"/>
      <c r="GP40" s="24">
        <v>6082.7027027027025</v>
      </c>
      <c r="GQ40" s="24"/>
      <c r="GR40" s="24"/>
      <c r="GS40" s="24">
        <v>5402.1194651922542</v>
      </c>
      <c r="GT40" s="24"/>
      <c r="GU40" s="24">
        <v>5473.0670103092789</v>
      </c>
      <c r="GV40" s="24"/>
      <c r="GW40" s="24">
        <v>6082.7027027027025</v>
      </c>
      <c r="GX40" s="24"/>
      <c r="GY40" s="24"/>
      <c r="GZ40" s="24">
        <v>6400.6417553191495</v>
      </c>
      <c r="HA40" s="24">
        <v>5699.6472905842347</v>
      </c>
      <c r="HB40" s="24">
        <v>5803.9982207138682</v>
      </c>
      <c r="HC40" s="24">
        <v>5934.7894401364956</v>
      </c>
      <c r="HD40" s="24">
        <v>5910.9974424552429</v>
      </c>
      <c r="HE40" s="24"/>
      <c r="HF40" s="24"/>
      <c r="HG40" s="24">
        <v>6077.0721521544756</v>
      </c>
      <c r="HH40" s="24">
        <v>5983.8997017459124</v>
      </c>
      <c r="HI40" s="24">
        <v>5780.2099504307816</v>
      </c>
      <c r="HJ40" s="24"/>
      <c r="HK40" s="24">
        <v>5981.8464293602283</v>
      </c>
      <c r="HL40" s="24"/>
      <c r="HM40" s="24"/>
      <c r="HN40" s="24"/>
      <c r="HO40" s="24"/>
      <c r="HP40" s="24"/>
      <c r="HQ40" s="24"/>
      <c r="HR40" s="24"/>
      <c r="HS40" s="24"/>
      <c r="HT40" s="24"/>
      <c r="HU40" s="24">
        <v>6276.4670373996851</v>
      </c>
      <c r="HV40" s="24"/>
      <c r="HW40" s="24"/>
      <c r="HX40" s="24"/>
      <c r="HY40" s="24">
        <v>6218.9086294416247</v>
      </c>
      <c r="HZ40" s="24"/>
      <c r="IA40" s="24"/>
      <c r="IB40" s="24">
        <v>5997.1941489361707</v>
      </c>
      <c r="IC40" s="24"/>
      <c r="ID40" s="24"/>
      <c r="IE40" s="24">
        <v>6146.8085106382978</v>
      </c>
      <c r="IF40" s="24">
        <v>6081.1855670103096</v>
      </c>
      <c r="IG40" s="24"/>
      <c r="IH40" s="24"/>
      <c r="II40" s="24">
        <v>6081.1855670103096</v>
      </c>
      <c r="IJ40" s="24">
        <v>6120.4021576864334</v>
      </c>
      <c r="IK40" s="24"/>
      <c r="IL40" s="24">
        <v>6165.3451912176024</v>
      </c>
      <c r="IM40" s="24"/>
      <c r="IN40" s="24"/>
      <c r="IO40" s="24"/>
      <c r="IP40" s="74"/>
      <c r="IQ40" s="74"/>
      <c r="IR40" s="24"/>
      <c r="IS40" s="24"/>
      <c r="IT40" s="24">
        <v>6131.4167832780731</v>
      </c>
      <c r="IU40" s="24"/>
      <c r="IV40" s="24"/>
      <c r="IW40" s="24"/>
      <c r="IX40" s="24"/>
      <c r="IY40" s="24"/>
      <c r="IZ40" s="24"/>
      <c r="JA40" s="24">
        <v>6218.9086294416247</v>
      </c>
      <c r="JB40" s="24"/>
      <c r="JC40" s="24"/>
      <c r="JD40" s="24"/>
      <c r="JE40" s="24"/>
      <c r="JF40" s="24">
        <v>6269.7938829787236</v>
      </c>
      <c r="JG40" s="24"/>
      <c r="JH40" s="24"/>
      <c r="JI40" s="24"/>
      <c r="JJ40" s="24"/>
      <c r="JK40" s="24"/>
      <c r="JL40" s="24"/>
      <c r="JM40" s="24">
        <v>6218.9086294416247</v>
      </c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>
        <v>6714.8443530608974</v>
      </c>
      <c r="JZ40" s="24"/>
      <c r="KA40" s="24">
        <v>6587.4365482233507</v>
      </c>
      <c r="KB40" s="24"/>
      <c r="KC40" s="24">
        <v>6705.9534574468089</v>
      </c>
      <c r="KD40" s="24"/>
      <c r="KE40" s="24"/>
      <c r="KF40" s="24"/>
      <c r="KG40" s="24">
        <v>6684.4408024342092</v>
      </c>
      <c r="KH40" s="24">
        <v>6656.5792206643609</v>
      </c>
      <c r="KI40" s="24"/>
      <c r="KJ40" s="24">
        <v>6896.36</v>
      </c>
      <c r="KK40" s="24"/>
      <c r="KL40" s="24"/>
      <c r="KM40" s="24">
        <v>6761.1005285116007</v>
      </c>
      <c r="KN40" s="24">
        <v>7189.0927876421301</v>
      </c>
      <c r="KO40" s="24"/>
      <c r="KP40" s="24">
        <v>7528.125</v>
      </c>
      <c r="KQ40" s="24"/>
      <c r="KR40" s="24"/>
      <c r="KS40" s="24"/>
      <c r="KT40" s="24">
        <v>6844.7632978723404</v>
      </c>
      <c r="KU40" s="24"/>
      <c r="KV40" s="24">
        <v>6988.9663549564893</v>
      </c>
      <c r="KW40" s="24"/>
      <c r="KX40" s="24">
        <v>6725.634517766498</v>
      </c>
      <c r="KY40" s="24"/>
      <c r="KZ40" s="24"/>
      <c r="LA40" s="24">
        <v>7028.3689368207215</v>
      </c>
      <c r="LB40" s="24">
        <v>7136.0335040681866</v>
      </c>
      <c r="LC40" s="24"/>
      <c r="LD40" s="24">
        <v>7440.8848199672675</v>
      </c>
      <c r="LE40" s="24">
        <v>7339.6216216216208</v>
      </c>
      <c r="LF40" s="24"/>
      <c r="LG40" s="24"/>
      <c r="LH40" s="24"/>
      <c r="LI40" s="24">
        <v>7920.6698783467455</v>
      </c>
      <c r="LJ40" s="24">
        <v>7339.6216216216208</v>
      </c>
      <c r="LK40" s="24">
        <v>7030.2729503603732</v>
      </c>
      <c r="LL40" s="24">
        <v>7366.6943672332682</v>
      </c>
      <c r="LM40" s="24"/>
      <c r="LN40" s="24"/>
      <c r="LO40" s="24">
        <v>7040.8897170170139</v>
      </c>
      <c r="LP40" s="24">
        <v>6895.4346300325224</v>
      </c>
      <c r="LQ40" s="24">
        <v>6934.6690705105611</v>
      </c>
      <c r="LR40" s="24"/>
      <c r="LS40" s="24">
        <v>6959.4662318458495</v>
      </c>
      <c r="LT40" s="24"/>
      <c r="LU40" s="24"/>
      <c r="LV40" s="24">
        <v>6912.9117730361377</v>
      </c>
      <c r="LW40" s="24">
        <v>6562.9808041750039</v>
      </c>
      <c r="LX40" s="24">
        <v>6937.9317712403026</v>
      </c>
      <c r="LY40" s="24">
        <v>6845.5295105135701</v>
      </c>
      <c r="LZ40" s="24"/>
      <c r="MA40" s="24"/>
      <c r="MB40" s="24"/>
      <c r="MC40" s="24"/>
      <c r="MD40" s="24">
        <v>6362.935758507695</v>
      </c>
      <c r="ME40" s="24">
        <v>6634.6917141861004</v>
      </c>
      <c r="MF40" s="24"/>
      <c r="MG40" s="24">
        <v>6539.6666504746499</v>
      </c>
      <c r="MH40" s="24"/>
      <c r="MI40" s="24"/>
      <c r="MJ40" s="24">
        <v>6682.8648479808708</v>
      </c>
      <c r="MK40" s="24">
        <v>6368.2768938039617</v>
      </c>
      <c r="ML40" s="24"/>
      <c r="MM40" s="24">
        <v>6687.9885326342082</v>
      </c>
      <c r="MN40" s="24">
        <v>6708.1989174028467</v>
      </c>
      <c r="MO40" s="24"/>
      <c r="MP40" s="24"/>
      <c r="MQ40" s="24"/>
      <c r="MR40" s="24">
        <v>6793.1164208309883</v>
      </c>
      <c r="MS40" s="24"/>
      <c r="MT40" s="24">
        <v>6806.7966971812266</v>
      </c>
      <c r="MU40" s="24">
        <v>6564.9772694372796</v>
      </c>
      <c r="MV40" s="24"/>
      <c r="MW40" s="24"/>
      <c r="MX40" s="24"/>
      <c r="MY40" s="24"/>
      <c r="MZ40" s="24">
        <v>7281.6027375944159</v>
      </c>
      <c r="NA40" s="24">
        <v>7281.6027375944159</v>
      </c>
      <c r="NB40" s="24"/>
    </row>
    <row r="41" spans="1:366" x14ac:dyDescent="0.25">
      <c r="A41" s="42" t="s">
        <v>177</v>
      </c>
      <c r="B41" s="63"/>
      <c r="C41" s="63"/>
      <c r="D41" s="63"/>
      <c r="E41" s="63"/>
      <c r="F41" s="63">
        <v>5223.8617021276596</v>
      </c>
      <c r="G41" s="63"/>
      <c r="H41" s="63"/>
      <c r="I41" s="63"/>
      <c r="J41" s="63"/>
      <c r="K41" s="63"/>
      <c r="L41" s="63">
        <v>4722.9830919952219</v>
      </c>
      <c r="M41" s="63"/>
      <c r="N41" s="63"/>
      <c r="O41" s="63"/>
      <c r="P41" s="63"/>
      <c r="Q41" s="63"/>
      <c r="R41" s="63"/>
      <c r="S41" s="63"/>
      <c r="T41" s="63"/>
      <c r="U41" s="43"/>
      <c r="V41" s="43">
        <v>5543.6932194339697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5262.5442680851074</v>
      </c>
      <c r="AI41" s="43"/>
      <c r="AJ41" s="43"/>
      <c r="AK41" s="43"/>
      <c r="AL41" s="43"/>
      <c r="AM41" s="43"/>
      <c r="AN41" s="43">
        <v>5301.5504980096084</v>
      </c>
      <c r="AO41" s="43"/>
      <c r="AP41" s="43">
        <v>4970.322580645161</v>
      </c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>
        <v>5413.1559878242952</v>
      </c>
      <c r="BG41" s="63"/>
      <c r="BH41" s="43"/>
      <c r="BI41" s="43"/>
      <c r="BJ41" s="43">
        <v>5992.7205829787245</v>
      </c>
      <c r="BK41" s="43"/>
      <c r="BL41" s="43"/>
      <c r="BM41" s="43"/>
      <c r="BN41" s="43"/>
      <c r="BO41" s="43"/>
      <c r="BP41" s="43">
        <v>5591.6129032258068</v>
      </c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>
        <v>5327.6075268817203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>
        <v>6919.3228462928555</v>
      </c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>
        <v>7036.244242095333</v>
      </c>
      <c r="DD41" s="43"/>
      <c r="DE41" s="43"/>
      <c r="DF41" s="43"/>
      <c r="DG41" s="43">
        <v>4139.1428571428569</v>
      </c>
      <c r="DH41" s="43"/>
      <c r="DI41" s="43"/>
      <c r="DJ41" s="43"/>
      <c r="DK41" s="43"/>
      <c r="DL41" s="43"/>
      <c r="DM41" s="43"/>
      <c r="DN41" s="43"/>
      <c r="DO41" s="43"/>
      <c r="DP41" s="43"/>
      <c r="DQ41" s="43">
        <v>7017.716091022945</v>
      </c>
      <c r="DR41" s="43"/>
      <c r="DS41" s="43"/>
      <c r="DT41" s="43"/>
      <c r="DU41" s="43"/>
      <c r="DV41" s="43"/>
      <c r="DW41" s="43"/>
      <c r="DX41" s="43">
        <v>6401.8454604142644</v>
      </c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>
        <v>6440.0370645763815</v>
      </c>
      <c r="EK41" s="43">
        <v>6908.9799752505951</v>
      </c>
      <c r="EL41" s="43">
        <v>6468.7741935483873</v>
      </c>
      <c r="EM41" s="43"/>
      <c r="EN41" s="43"/>
      <c r="EO41" s="43"/>
      <c r="EP41" s="43">
        <v>6455.4655440112056</v>
      </c>
      <c r="EQ41" s="43"/>
      <c r="ER41" s="43"/>
      <c r="ES41" s="43">
        <v>6455.4655440112056</v>
      </c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>
        <v>6593.2884898849916</v>
      </c>
      <c r="FE41" s="43">
        <v>6523.55</v>
      </c>
      <c r="FF41" s="43"/>
      <c r="FG41" s="43"/>
      <c r="FH41" s="43"/>
      <c r="FI41" s="43"/>
      <c r="FJ41" s="43">
        <v>7156.97549596728</v>
      </c>
      <c r="FK41" s="43">
        <v>6005.8064516129034</v>
      </c>
      <c r="FL41" s="43">
        <v>6705.1696790679434</v>
      </c>
      <c r="FM41" s="43"/>
      <c r="FN41" s="43"/>
      <c r="FO41" s="43"/>
      <c r="FP41" s="43"/>
      <c r="FQ41" s="43"/>
      <c r="FR41" s="43"/>
      <c r="FS41" s="43"/>
      <c r="FT41" s="43">
        <v>5947.4010278821734</v>
      </c>
      <c r="FU41" s="43"/>
      <c r="FV41" s="43"/>
      <c r="FW41" s="43"/>
      <c r="FX41" s="43">
        <v>5778.0461891724963</v>
      </c>
      <c r="FY41" s="43"/>
      <c r="FZ41" s="43"/>
      <c r="GA41" s="43"/>
      <c r="GB41" s="43"/>
      <c r="GC41" s="43"/>
      <c r="GD41" s="43"/>
      <c r="GE41" s="43">
        <v>5695.1612903225814</v>
      </c>
      <c r="GF41" s="43"/>
      <c r="GG41" s="43">
        <v>5695.1612903225814</v>
      </c>
      <c r="GH41" s="43">
        <v>5867.7126130618017</v>
      </c>
      <c r="GI41" s="43"/>
      <c r="GJ41" s="43"/>
      <c r="GK41" s="43"/>
      <c r="GL41" s="43"/>
      <c r="GM41" s="43">
        <v>5785.332820000328</v>
      </c>
      <c r="GN41" s="43">
        <v>5785.332820000328</v>
      </c>
      <c r="GO41" s="43"/>
      <c r="GP41" s="43"/>
      <c r="GQ41" s="43"/>
      <c r="GR41" s="43"/>
      <c r="GS41" s="43"/>
      <c r="GT41" s="43"/>
      <c r="GU41" s="43"/>
      <c r="GV41" s="43">
        <v>6633.092371941666</v>
      </c>
      <c r="GW41" s="43"/>
      <c r="GX41" s="43"/>
      <c r="GY41" s="43"/>
      <c r="GZ41" s="43"/>
      <c r="HA41" s="43">
        <v>6005.8064516129034</v>
      </c>
      <c r="HB41" s="43">
        <v>6159.4097250240284</v>
      </c>
      <c r="HC41" s="43"/>
      <c r="HD41" s="43"/>
      <c r="HE41" s="43"/>
      <c r="HF41" s="43"/>
      <c r="HG41" s="43"/>
      <c r="HH41" s="43"/>
      <c r="HI41" s="43"/>
      <c r="HJ41" s="43"/>
      <c r="HK41" s="43">
        <v>6444.9193548387102</v>
      </c>
      <c r="HL41" s="43"/>
      <c r="HM41" s="43"/>
      <c r="HN41" s="43">
        <v>4804.6876587100051</v>
      </c>
      <c r="HO41" s="43"/>
      <c r="HP41" s="43"/>
      <c r="HQ41" s="43"/>
      <c r="HR41" s="43"/>
      <c r="HS41" s="43"/>
      <c r="HT41" s="43"/>
      <c r="HU41" s="43">
        <v>6870.9398385536369</v>
      </c>
      <c r="HV41" s="43"/>
      <c r="HW41" s="43"/>
      <c r="HX41" s="43">
        <v>6878.3052631578958</v>
      </c>
      <c r="HY41" s="43">
        <v>6888.1251566400988</v>
      </c>
      <c r="HZ41" s="43"/>
      <c r="IA41" s="43"/>
      <c r="IB41" s="43"/>
      <c r="IC41" s="43"/>
      <c r="ID41" s="43"/>
      <c r="IE41" s="43"/>
      <c r="IF41" s="43"/>
      <c r="IG41" s="43"/>
      <c r="IH41" s="43"/>
      <c r="II41" s="43">
        <v>4941.9642857142862</v>
      </c>
      <c r="IJ41" s="43"/>
      <c r="IK41" s="43"/>
      <c r="IL41" s="43">
        <v>5855.4213197969548</v>
      </c>
      <c r="IM41" s="43"/>
      <c r="IN41" s="43"/>
      <c r="IO41" s="43"/>
      <c r="IP41" s="54"/>
      <c r="IQ41" s="54"/>
      <c r="IR41" s="43"/>
      <c r="IS41" s="43"/>
      <c r="IT41" s="43">
        <v>6935.6782608695648</v>
      </c>
      <c r="IU41" s="43"/>
      <c r="IV41" s="43"/>
      <c r="IW41" s="43"/>
      <c r="IX41" s="43"/>
      <c r="IY41" s="43">
        <v>7125.7263157894749</v>
      </c>
      <c r="IZ41" s="43">
        <v>6868.3161290322587</v>
      </c>
      <c r="JA41" s="43">
        <v>6834.1935483870975</v>
      </c>
      <c r="JB41" s="43"/>
      <c r="JC41" s="43"/>
      <c r="JD41" s="43"/>
      <c r="JE41" s="43">
        <v>6986.5468348259737</v>
      </c>
      <c r="JF41" s="43">
        <v>6896.103983989954</v>
      </c>
      <c r="JG41" s="43">
        <v>6468.7741935483873</v>
      </c>
      <c r="JH41" s="43"/>
      <c r="JI41" s="43"/>
      <c r="JJ41" s="43"/>
      <c r="JK41" s="43">
        <v>7264.5913674119602</v>
      </c>
      <c r="JL41" s="43"/>
      <c r="JM41" s="43"/>
      <c r="JN41" s="43"/>
      <c r="JO41" s="43"/>
      <c r="JP41" s="43"/>
      <c r="JQ41" s="43"/>
      <c r="JR41" s="43"/>
      <c r="JS41" s="43"/>
      <c r="JT41" s="43"/>
      <c r="JU41" s="43"/>
      <c r="JV41" s="43"/>
      <c r="JW41" s="43"/>
      <c r="JX41" s="43"/>
      <c r="JY41" s="43">
        <v>7322.344410748171</v>
      </c>
      <c r="JZ41" s="43"/>
      <c r="KA41" s="43"/>
      <c r="KB41" s="43">
        <v>7113.7741935483882</v>
      </c>
      <c r="KC41" s="43">
        <v>7039.5483870967746</v>
      </c>
      <c r="KD41" s="43"/>
      <c r="KE41" s="43"/>
      <c r="KF41" s="43"/>
      <c r="KG41" s="43"/>
      <c r="KH41" s="43"/>
      <c r="KI41" s="43"/>
      <c r="KJ41" s="43"/>
      <c r="KK41" s="43"/>
      <c r="KL41" s="43"/>
      <c r="KM41" s="43"/>
      <c r="KN41" s="43">
        <v>7342.9868073878624</v>
      </c>
      <c r="KO41" s="43"/>
      <c r="KP41" s="43">
        <v>6659.032258064517</v>
      </c>
      <c r="KQ41" s="43"/>
      <c r="KR41" s="43"/>
      <c r="KS41" s="43"/>
      <c r="KT41" s="43"/>
      <c r="KU41" s="43"/>
      <c r="KV41" s="43"/>
      <c r="KW41" s="43"/>
      <c r="KX41" s="43"/>
      <c r="KY41" s="43"/>
      <c r="KZ41" s="43"/>
      <c r="LA41" s="43">
        <v>7199.675761230028</v>
      </c>
      <c r="LB41" s="43">
        <v>7885.5483870967737</v>
      </c>
      <c r="LC41" s="43"/>
      <c r="LD41" s="43"/>
      <c r="LE41" s="43"/>
      <c r="LF41" s="43"/>
      <c r="LG41" s="43"/>
      <c r="LH41" s="43"/>
      <c r="LI41" s="43"/>
      <c r="LJ41" s="43"/>
      <c r="LK41" s="43"/>
      <c r="LL41" s="43"/>
      <c r="LM41" s="43"/>
      <c r="LN41" s="43"/>
      <c r="LO41" s="43">
        <v>7632.0573930141545</v>
      </c>
      <c r="LP41" s="43">
        <v>7589.7947368421055</v>
      </c>
      <c r="LQ41" s="43"/>
      <c r="LR41" s="43"/>
      <c r="LS41" s="43"/>
      <c r="LT41" s="43"/>
      <c r="LU41" s="43"/>
      <c r="LV41" s="43">
        <v>7678.8395812225599</v>
      </c>
      <c r="LW41" s="43">
        <v>7369.3627659574477</v>
      </c>
      <c r="LX41" s="43"/>
      <c r="LY41" s="43"/>
      <c r="LZ41" s="43"/>
      <c r="MA41" s="43"/>
      <c r="MB41" s="43"/>
      <c r="MC41" s="43"/>
      <c r="MD41" s="43">
        <v>6563.9032258064517</v>
      </c>
      <c r="ME41" s="43"/>
      <c r="MF41" s="43"/>
      <c r="MG41" s="43"/>
      <c r="MH41" s="43"/>
      <c r="MI41" s="43"/>
      <c r="MJ41" s="43"/>
      <c r="MK41" s="43">
        <v>7361.0043668122262</v>
      </c>
      <c r="ML41" s="43"/>
      <c r="MM41" s="43">
        <v>7588.8936170212774</v>
      </c>
      <c r="MN41" s="43"/>
      <c r="MO41" s="43"/>
      <c r="MP41" s="43"/>
      <c r="MQ41" s="43"/>
      <c r="MR41" s="43">
        <v>6973.7342215988792</v>
      </c>
      <c r="MS41" s="43"/>
      <c r="MT41" s="43"/>
      <c r="MU41" s="43"/>
      <c r="MV41" s="43"/>
      <c r="MW41" s="43"/>
      <c r="MX41" s="43">
        <v>8592.5299957446823</v>
      </c>
      <c r="MY41" s="43"/>
      <c r="MZ41" s="43"/>
      <c r="NA41" s="43">
        <v>6962.5621621621622</v>
      </c>
      <c r="NB41" s="43"/>
    </row>
    <row r="42" spans="1:366" x14ac:dyDescent="0.25">
      <c r="A42" s="26" t="s">
        <v>178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2963.0653837411924</v>
      </c>
      <c r="Q42" s="59"/>
      <c r="R42" s="59"/>
      <c r="S42" s="59"/>
      <c r="T42" s="59"/>
      <c r="U42" s="24"/>
      <c r="V42" s="59" t="s">
        <v>183</v>
      </c>
      <c r="W42" s="24"/>
      <c r="X42" s="24"/>
      <c r="Y42" s="24"/>
      <c r="Z42" s="24"/>
      <c r="AA42" s="24"/>
      <c r="AB42" s="24">
        <v>2802.9336734693884</v>
      </c>
      <c r="AC42" s="24"/>
      <c r="AD42" s="24"/>
      <c r="AE42" s="24"/>
      <c r="AF42" s="24"/>
      <c r="AG42" s="24">
        <v>3413.3837926033357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59"/>
      <c r="BH42" s="24"/>
      <c r="BI42" s="24">
        <v>3093.75</v>
      </c>
      <c r="BJ42" s="24"/>
      <c r="BK42" s="24">
        <v>4389.2131979695432</v>
      </c>
      <c r="BL42" s="24"/>
      <c r="BM42" s="24"/>
      <c r="BN42" s="24"/>
      <c r="BO42" s="24"/>
      <c r="BP42" s="24"/>
      <c r="BQ42" s="24">
        <v>3230.3571428571431</v>
      </c>
      <c r="BR42" s="24"/>
      <c r="BS42" s="24">
        <v>2993.8930681761758</v>
      </c>
      <c r="BT42" s="24"/>
      <c r="BU42" s="24"/>
      <c r="BV42" s="24"/>
      <c r="BW42" s="24"/>
      <c r="BX42" s="24"/>
      <c r="BY42" s="24"/>
      <c r="BZ42" s="24"/>
      <c r="CA42" s="24">
        <v>2862.7295918367345</v>
      </c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>
        <v>3101.7857142857142</v>
      </c>
      <c r="CZ42" s="24">
        <v>3320.3571428571427</v>
      </c>
      <c r="DA42" s="24"/>
      <c r="DB42" s="24"/>
      <c r="DC42" s="24">
        <v>5116.7512690355334</v>
      </c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>
        <v>3320.3571428571427</v>
      </c>
      <c r="DY42" s="24"/>
      <c r="DZ42" s="24"/>
      <c r="EA42" s="24"/>
      <c r="EB42" s="24"/>
      <c r="EC42" s="24"/>
      <c r="ED42" s="24"/>
      <c r="EE42" s="24"/>
      <c r="EF42" s="24"/>
      <c r="EG42" s="24"/>
      <c r="EH42" s="24">
        <v>3320.3571428571427</v>
      </c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>
        <v>5116.7512690355334</v>
      </c>
      <c r="ET42" s="24"/>
      <c r="EU42" s="24"/>
      <c r="EV42" s="24"/>
      <c r="EW42" s="24"/>
      <c r="EX42" s="24"/>
      <c r="EY42" s="24"/>
      <c r="EZ42" s="24"/>
      <c r="FA42" s="24"/>
      <c r="FB42" s="24"/>
      <c r="FC42" s="24">
        <v>4500</v>
      </c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>
        <v>5076.7766497461926</v>
      </c>
      <c r="GA42" s="24"/>
      <c r="GB42" s="24">
        <v>4717.0050761421317</v>
      </c>
      <c r="GC42" s="24"/>
      <c r="GD42" s="24"/>
      <c r="GE42" s="24"/>
      <c r="GF42" s="24"/>
      <c r="GG42" s="24"/>
      <c r="GH42" s="24"/>
      <c r="GI42" s="24"/>
      <c r="GJ42" s="24"/>
      <c r="GK42" s="24"/>
      <c r="GL42" s="24">
        <v>4178.5714285714284</v>
      </c>
      <c r="GM42" s="24"/>
      <c r="GN42" s="24"/>
      <c r="GO42" s="24"/>
      <c r="GP42" s="24">
        <v>4178.5714285714284</v>
      </c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>
        <v>4876.9035532994922</v>
      </c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>
        <v>4876.9035532994922</v>
      </c>
      <c r="HY42" s="24"/>
      <c r="HZ42" s="24"/>
      <c r="IA42" s="24"/>
      <c r="IB42" s="24"/>
      <c r="IC42" s="24"/>
      <c r="ID42" s="24"/>
      <c r="IE42" s="24">
        <v>4564.2857142857147</v>
      </c>
      <c r="IF42" s="24">
        <v>4941.9642857142862</v>
      </c>
      <c r="IG42" s="24"/>
      <c r="IH42" s="24"/>
      <c r="II42" s="24"/>
      <c r="IJ42" s="24"/>
      <c r="IK42" s="24">
        <v>4620.5357142857147</v>
      </c>
      <c r="IL42" s="24">
        <v>6183.3870967741932</v>
      </c>
      <c r="IM42" s="24"/>
      <c r="IN42" s="24"/>
      <c r="IO42" s="24"/>
      <c r="IP42" s="74"/>
      <c r="IQ42" s="7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>
        <v>4620.5357142857147</v>
      </c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>
        <v>6392.77</v>
      </c>
      <c r="KK42" s="24"/>
      <c r="KL42" s="24"/>
      <c r="KM42" s="24"/>
      <c r="KN42" s="24"/>
      <c r="KO42" s="24"/>
      <c r="KP42" s="24">
        <v>5380.5837563451778</v>
      </c>
      <c r="KQ42" s="24"/>
      <c r="KR42" s="24"/>
      <c r="KS42" s="24"/>
      <c r="KT42" s="24"/>
      <c r="KU42" s="24"/>
      <c r="KV42" s="24">
        <v>7676.6329787234054</v>
      </c>
      <c r="KW42" s="24"/>
      <c r="KX42" s="24"/>
      <c r="KY42" s="24"/>
      <c r="KZ42" s="24"/>
      <c r="LA42" s="24"/>
      <c r="LB42" s="24">
        <v>5062.5</v>
      </c>
      <c r="LC42" s="24"/>
      <c r="LD42" s="24">
        <v>5095.9183673469388</v>
      </c>
      <c r="LE42" s="24"/>
      <c r="LF42" s="24"/>
      <c r="LG42" s="24"/>
      <c r="LH42" s="24"/>
      <c r="LI42" s="24"/>
      <c r="LJ42" s="24"/>
      <c r="LK42" s="24"/>
      <c r="LL42" s="24">
        <v>5223.2142857142862</v>
      </c>
      <c r="LM42" s="24"/>
      <c r="LN42" s="24"/>
      <c r="LO42" s="24"/>
      <c r="LP42" s="24"/>
      <c r="LQ42" s="24"/>
      <c r="LR42" s="24"/>
      <c r="LS42" s="24">
        <v>5223.2142857142862</v>
      </c>
      <c r="LT42" s="24"/>
      <c r="LU42" s="24"/>
      <c r="LV42" s="24">
        <v>5223.2142857142862</v>
      </c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</row>
    <row r="43" spans="1:366" x14ac:dyDescent="0.25">
      <c r="A43" s="42" t="s">
        <v>179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6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>
        <v>4737.2069387755109</v>
      </c>
      <c r="HE43" s="43"/>
      <c r="HF43" s="43"/>
      <c r="HG43" s="43"/>
      <c r="HH43" s="43"/>
      <c r="HI43" s="43">
        <v>4580.3571428571431</v>
      </c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>
        <v>5764.6395939086296</v>
      </c>
      <c r="HZ43" s="43"/>
      <c r="IA43" s="43"/>
      <c r="IB43" s="43"/>
      <c r="IC43" s="43"/>
      <c r="ID43" s="43"/>
      <c r="IE43" s="43">
        <v>5127.6489795918369</v>
      </c>
      <c r="IF43" s="43">
        <v>6183.3870967741932</v>
      </c>
      <c r="IG43" s="43"/>
      <c r="IH43" s="43"/>
      <c r="II43" s="43"/>
      <c r="IJ43" s="43"/>
      <c r="IK43" s="43"/>
      <c r="IL43" s="43">
        <v>5855.4213197969548</v>
      </c>
      <c r="IM43" s="43"/>
      <c r="IN43" s="43"/>
      <c r="IO43" s="43"/>
      <c r="IP43" s="54"/>
      <c r="IQ43" s="54"/>
      <c r="IR43" s="43"/>
      <c r="IS43" s="43"/>
      <c r="IT43" s="43"/>
      <c r="IU43" s="43"/>
      <c r="IV43" s="43"/>
      <c r="IW43" s="43"/>
      <c r="IX43" s="43"/>
      <c r="IY43" s="43"/>
      <c r="IZ43" s="43"/>
      <c r="JA43" s="43"/>
      <c r="JB43" s="43"/>
      <c r="JC43" s="43"/>
      <c r="JD43" s="43"/>
      <c r="JE43" s="43"/>
      <c r="JF43" s="43"/>
      <c r="JG43" s="43"/>
      <c r="JH43" s="43">
        <v>5855.4213197969548</v>
      </c>
      <c r="JI43" s="43"/>
      <c r="JJ43" s="43"/>
      <c r="JK43" s="43"/>
      <c r="JL43" s="43"/>
      <c r="JM43" s="43">
        <v>5055.4285714285716</v>
      </c>
      <c r="JN43" s="43"/>
      <c r="JO43" s="43"/>
      <c r="JP43" s="43"/>
      <c r="JQ43" s="43"/>
      <c r="JR43" s="43">
        <v>5855.4213197969548</v>
      </c>
      <c r="JS43" s="43"/>
      <c r="JT43" s="43"/>
      <c r="JU43" s="43"/>
      <c r="JV43" s="43"/>
      <c r="JW43" s="43"/>
      <c r="JX43" s="43"/>
      <c r="JY43" s="43"/>
      <c r="JZ43" s="43"/>
      <c r="KA43" s="43"/>
      <c r="KB43" s="43"/>
      <c r="KC43" s="43"/>
      <c r="KD43" s="43"/>
      <c r="KE43" s="43"/>
      <c r="KF43" s="43"/>
      <c r="KG43" s="43"/>
      <c r="KH43" s="43"/>
      <c r="KI43" s="43">
        <v>5145.7040816326535</v>
      </c>
      <c r="KJ43" s="43"/>
      <c r="KK43" s="43"/>
      <c r="KL43" s="43"/>
      <c r="KM43" s="43"/>
      <c r="KN43" s="43"/>
      <c r="KO43" s="43"/>
      <c r="KP43" s="43">
        <v>6009.7502538071067</v>
      </c>
      <c r="KQ43" s="43"/>
      <c r="KR43" s="43"/>
      <c r="KS43" s="43"/>
      <c r="KT43" s="43"/>
      <c r="KU43" s="43"/>
      <c r="KV43" s="43"/>
      <c r="KW43" s="43"/>
      <c r="KX43" s="43"/>
      <c r="KY43" s="43"/>
      <c r="KZ43" s="43"/>
      <c r="LA43" s="43"/>
      <c r="LB43" s="43">
        <v>5777.632653061225</v>
      </c>
      <c r="LC43" s="43"/>
      <c r="LD43" s="43">
        <v>5888.3248730964469</v>
      </c>
      <c r="LE43" s="43"/>
      <c r="LF43" s="43"/>
      <c r="LG43" s="43"/>
      <c r="LH43" s="43"/>
      <c r="LI43" s="43"/>
      <c r="LJ43" s="43"/>
      <c r="LK43" s="43"/>
      <c r="LL43" s="43"/>
      <c r="LM43" s="43"/>
      <c r="LN43" s="43"/>
      <c r="LO43" s="43"/>
      <c r="LP43" s="43"/>
      <c r="LQ43" s="43"/>
      <c r="LR43" s="43">
        <v>6009.7502538071067</v>
      </c>
      <c r="LS43" s="43"/>
      <c r="LT43" s="43"/>
      <c r="LU43" s="43"/>
      <c r="LV43" s="43"/>
      <c r="LW43" s="43"/>
      <c r="LX43" s="43"/>
      <c r="LY43" s="43"/>
      <c r="LZ43" s="43"/>
      <c r="MA43" s="43"/>
      <c r="MB43" s="43"/>
      <c r="MC43" s="43"/>
      <c r="MD43" s="43"/>
      <c r="ME43" s="43"/>
      <c r="MF43" s="43"/>
      <c r="MG43" s="43"/>
      <c r="MH43" s="43"/>
      <c r="MI43" s="43"/>
      <c r="MJ43" s="43"/>
      <c r="MK43" s="43"/>
      <c r="ML43" s="43"/>
      <c r="MM43" s="43"/>
      <c r="MN43" s="43"/>
      <c r="MO43" s="43"/>
      <c r="MP43" s="43"/>
      <c r="MQ43" s="43"/>
      <c r="MR43" s="43"/>
      <c r="MS43" s="43"/>
      <c r="MT43" s="43"/>
      <c r="MU43" s="43"/>
      <c r="MV43" s="43"/>
      <c r="MW43" s="43"/>
      <c r="MX43" s="43"/>
      <c r="MY43" s="43"/>
      <c r="MZ43" s="43"/>
      <c r="NA43" s="43"/>
      <c r="NB43" s="43"/>
    </row>
    <row r="44" spans="1:366" x14ac:dyDescent="0.25">
      <c r="A44" s="19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61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/>
      <c r="JU44" s="25"/>
      <c r="JV44" s="25"/>
      <c r="JW44" s="25"/>
      <c r="JX44" s="25"/>
      <c r="JY44" s="25"/>
      <c r="JZ44" s="25"/>
      <c r="KA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D44" s="25"/>
      <c r="LE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P44" s="25"/>
      <c r="LQ44" s="25"/>
      <c r="LR44" s="25"/>
      <c r="LS44" s="25"/>
      <c r="LT44" s="25"/>
      <c r="LU44" s="25"/>
      <c r="LV44" s="25"/>
      <c r="LW44" s="25"/>
      <c r="LX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P44" s="25"/>
      <c r="MQ44" s="25"/>
      <c r="MR44" s="25"/>
      <c r="MS44" s="25"/>
      <c r="MT44" s="25"/>
      <c r="MU44" s="25"/>
      <c r="MV44" s="25"/>
      <c r="MW44" s="25"/>
      <c r="MX44" s="25"/>
      <c r="MY44" s="25"/>
      <c r="MZ44" s="25"/>
      <c r="NA44" s="25"/>
      <c r="NB44" s="25"/>
    </row>
    <row r="45" spans="1:366" x14ac:dyDescent="0.25">
      <c r="A45" s="26" t="s">
        <v>175</v>
      </c>
      <c r="B45" s="30"/>
      <c r="C45" s="30"/>
      <c r="D45" s="30"/>
      <c r="E45" s="30">
        <v>1040</v>
      </c>
      <c r="F45" s="30">
        <v>1050</v>
      </c>
      <c r="G45" s="30">
        <v>1090</v>
      </c>
      <c r="H45" s="30">
        <v>1055</v>
      </c>
      <c r="I45" s="30">
        <v>1060</v>
      </c>
      <c r="J45" s="30"/>
      <c r="K45" s="30"/>
      <c r="L45" s="30">
        <v>1040</v>
      </c>
      <c r="M45" s="30">
        <v>1045</v>
      </c>
      <c r="N45" s="30">
        <v>1045</v>
      </c>
      <c r="O45" s="30">
        <v>1000</v>
      </c>
      <c r="P45" s="30">
        <v>1000</v>
      </c>
      <c r="Q45" s="30"/>
      <c r="R45" s="30"/>
      <c r="S45" s="30">
        <v>995</v>
      </c>
      <c r="T45" s="30">
        <v>970</v>
      </c>
      <c r="U45" s="30">
        <v>905</v>
      </c>
      <c r="V45" s="30">
        <v>955</v>
      </c>
      <c r="W45" s="30">
        <v>945</v>
      </c>
      <c r="X45" s="30"/>
      <c r="Y45" s="30"/>
      <c r="Z45" s="30">
        <v>935</v>
      </c>
      <c r="AA45" s="30">
        <v>995</v>
      </c>
      <c r="AB45" s="30">
        <v>1035</v>
      </c>
      <c r="AC45" s="30">
        <v>1035</v>
      </c>
      <c r="AD45" s="30">
        <v>987.5</v>
      </c>
      <c r="AE45" s="30"/>
      <c r="AF45" s="30"/>
      <c r="AG45" s="30">
        <v>987.5</v>
      </c>
      <c r="AH45" s="30">
        <v>990</v>
      </c>
      <c r="AI45" s="30">
        <v>950</v>
      </c>
      <c r="AJ45" s="30">
        <v>950</v>
      </c>
      <c r="AK45" s="30">
        <v>960</v>
      </c>
      <c r="AL45" s="30"/>
      <c r="AM45" s="30"/>
      <c r="AN45" s="30">
        <v>1072.5</v>
      </c>
      <c r="AO45" s="30">
        <v>1125</v>
      </c>
      <c r="AP45" s="30">
        <v>1020</v>
      </c>
      <c r="AQ45" s="30">
        <v>1020</v>
      </c>
      <c r="AR45" s="30">
        <v>1120</v>
      </c>
      <c r="AS45" s="30"/>
      <c r="AT45" s="30"/>
      <c r="AU45" s="30">
        <v>1120</v>
      </c>
      <c r="AV45" s="30">
        <v>1120</v>
      </c>
      <c r="AW45" s="79">
        <v>1045</v>
      </c>
      <c r="AX45" s="30">
        <v>1045</v>
      </c>
      <c r="AY45" s="30">
        <v>1050</v>
      </c>
      <c r="AZ45" s="30"/>
      <c r="BA45" s="30"/>
      <c r="BB45" s="30">
        <v>1100</v>
      </c>
      <c r="BC45" s="30">
        <v>1125</v>
      </c>
      <c r="BD45" s="30">
        <v>1125</v>
      </c>
      <c r="BE45" s="30">
        <v>1120</v>
      </c>
      <c r="BF45" s="30">
        <v>1110</v>
      </c>
      <c r="BG45" s="64"/>
      <c r="BH45" s="30"/>
      <c r="BI45" s="30">
        <v>1110</v>
      </c>
      <c r="BJ45" s="30">
        <v>1085</v>
      </c>
      <c r="BK45" s="30">
        <v>1100</v>
      </c>
      <c r="BL45" s="30">
        <v>1130</v>
      </c>
      <c r="BM45" s="30">
        <v>1115</v>
      </c>
      <c r="BN45" s="30"/>
      <c r="BO45" s="30"/>
      <c r="BP45" s="30">
        <v>1120</v>
      </c>
      <c r="BQ45" s="30">
        <v>1125</v>
      </c>
      <c r="BR45" s="30">
        <v>1132.5</v>
      </c>
      <c r="BS45" s="30">
        <v>1145</v>
      </c>
      <c r="BT45" s="30">
        <v>1190</v>
      </c>
      <c r="BU45" s="30"/>
      <c r="BV45" s="30"/>
      <c r="BW45" s="30">
        <v>1180</v>
      </c>
      <c r="BX45" s="30">
        <v>1155</v>
      </c>
      <c r="BY45" s="30">
        <v>1165</v>
      </c>
      <c r="BZ45" s="30">
        <v>1160</v>
      </c>
      <c r="CA45" s="30">
        <v>1022.5</v>
      </c>
      <c r="CB45" s="30"/>
      <c r="CC45" s="30"/>
      <c r="CD45" s="30">
        <v>1055</v>
      </c>
      <c r="CE45" s="30">
        <v>1075</v>
      </c>
      <c r="CF45" s="30">
        <v>1075</v>
      </c>
      <c r="CG45" s="30">
        <v>1075</v>
      </c>
      <c r="CH45" s="30">
        <v>1045</v>
      </c>
      <c r="CI45" s="30"/>
      <c r="CJ45" s="30"/>
      <c r="CK45" s="30">
        <v>1020</v>
      </c>
      <c r="CL45" s="30">
        <v>1112.5</v>
      </c>
      <c r="CM45" s="30">
        <v>1100</v>
      </c>
      <c r="CN45" s="30">
        <v>1100</v>
      </c>
      <c r="CO45" s="30">
        <v>1100</v>
      </c>
      <c r="CP45" s="30"/>
      <c r="CQ45" s="30"/>
      <c r="CR45" s="30">
        <v>1100</v>
      </c>
      <c r="CS45" s="30">
        <v>1115</v>
      </c>
      <c r="CT45" s="30">
        <v>1120</v>
      </c>
      <c r="CU45" s="30">
        <v>1105</v>
      </c>
      <c r="CV45" s="30">
        <v>1130</v>
      </c>
      <c r="CW45" s="30"/>
      <c r="CX45" s="30"/>
      <c r="CY45" s="30">
        <v>1130</v>
      </c>
      <c r="CZ45" s="30">
        <v>1180</v>
      </c>
      <c r="DA45" s="30">
        <v>1120</v>
      </c>
      <c r="DB45" s="30">
        <v>1110</v>
      </c>
      <c r="DC45" s="30">
        <v>1140</v>
      </c>
      <c r="DD45" s="30"/>
      <c r="DE45" s="30"/>
      <c r="DF45" s="30">
        <v>1150</v>
      </c>
      <c r="DG45" s="30">
        <v>1220</v>
      </c>
      <c r="DH45" s="30">
        <v>1220</v>
      </c>
      <c r="DI45" s="30">
        <v>1240</v>
      </c>
      <c r="DJ45" s="30">
        <v>1245</v>
      </c>
      <c r="DK45" s="30"/>
      <c r="DL45" s="30"/>
      <c r="DM45" s="30">
        <v>1245</v>
      </c>
      <c r="DN45" s="30">
        <v>1245</v>
      </c>
      <c r="DO45" s="30">
        <v>1235</v>
      </c>
      <c r="DP45" s="30">
        <v>1335</v>
      </c>
      <c r="DQ45" s="30">
        <v>1225</v>
      </c>
      <c r="DR45" s="30"/>
      <c r="DS45" s="30"/>
      <c r="DT45" s="30">
        <v>1300</v>
      </c>
      <c r="DU45" s="30">
        <v>1255</v>
      </c>
      <c r="DV45" s="30">
        <v>1245</v>
      </c>
      <c r="DW45" s="30">
        <v>1275</v>
      </c>
      <c r="DX45" s="30">
        <v>1270</v>
      </c>
      <c r="DY45" s="30"/>
      <c r="DZ45" s="64"/>
      <c r="EA45" s="30">
        <v>1250</v>
      </c>
      <c r="EB45" s="30">
        <v>1250</v>
      </c>
      <c r="EC45" s="30">
        <v>1247.5</v>
      </c>
      <c r="ED45" s="30">
        <v>1247.5</v>
      </c>
      <c r="EE45" s="30">
        <v>1300</v>
      </c>
      <c r="EF45" s="30"/>
      <c r="EG45" s="30"/>
      <c r="EH45" s="30">
        <v>1275</v>
      </c>
      <c r="EI45" s="30">
        <v>1300</v>
      </c>
      <c r="EJ45" s="30">
        <v>1265</v>
      </c>
      <c r="EK45" s="30">
        <v>1215</v>
      </c>
      <c r="EL45" s="30">
        <v>1250</v>
      </c>
      <c r="EM45" s="30"/>
      <c r="EN45" s="30"/>
      <c r="EO45" s="30">
        <v>1250</v>
      </c>
      <c r="EP45" s="30">
        <v>1230</v>
      </c>
      <c r="EQ45" s="30">
        <v>1220</v>
      </c>
      <c r="ER45" s="30">
        <v>1185</v>
      </c>
      <c r="ES45" s="30">
        <v>1200</v>
      </c>
      <c r="ET45" s="30"/>
      <c r="EU45" s="30"/>
      <c r="EV45" s="30">
        <v>1180</v>
      </c>
      <c r="EW45" s="30">
        <v>1160</v>
      </c>
      <c r="EX45" s="30">
        <v>1185</v>
      </c>
      <c r="EY45" s="30">
        <v>1185</v>
      </c>
      <c r="EZ45" s="30">
        <v>1175</v>
      </c>
      <c r="FA45" s="30"/>
      <c r="FB45" s="30"/>
      <c r="FC45" s="30">
        <v>1175</v>
      </c>
      <c r="FD45" s="30">
        <v>1170</v>
      </c>
      <c r="FE45" s="30">
        <v>1135</v>
      </c>
      <c r="FF45" s="30">
        <v>1145</v>
      </c>
      <c r="FG45" s="30">
        <v>1030</v>
      </c>
      <c r="FH45" s="30"/>
      <c r="FI45" s="30"/>
      <c r="FJ45" s="30">
        <v>975</v>
      </c>
      <c r="FK45" s="30">
        <v>1035</v>
      </c>
      <c r="FL45" s="30">
        <v>1015</v>
      </c>
      <c r="FM45" s="30">
        <v>1025</v>
      </c>
      <c r="FN45" s="30">
        <v>965</v>
      </c>
      <c r="FO45" s="30"/>
      <c r="FP45" s="30"/>
      <c r="FQ45" s="30">
        <v>910</v>
      </c>
      <c r="FR45" s="30">
        <v>930</v>
      </c>
      <c r="FS45" s="30">
        <v>955</v>
      </c>
      <c r="FT45" s="30">
        <v>930</v>
      </c>
      <c r="FU45" s="30">
        <v>945</v>
      </c>
      <c r="FV45" s="30"/>
      <c r="FW45" s="30"/>
      <c r="FX45" s="30">
        <v>945</v>
      </c>
      <c r="FY45" s="30">
        <v>940</v>
      </c>
      <c r="FZ45" s="30">
        <v>1050</v>
      </c>
      <c r="GA45" s="30">
        <v>1045</v>
      </c>
      <c r="GB45" s="30">
        <v>1080</v>
      </c>
      <c r="GC45" s="30"/>
      <c r="GD45" s="30"/>
      <c r="GE45" s="30">
        <v>1065</v>
      </c>
      <c r="GF45" s="30">
        <v>1090</v>
      </c>
      <c r="GG45" s="30">
        <v>1075</v>
      </c>
      <c r="GH45" s="30">
        <v>1060</v>
      </c>
      <c r="GI45" s="30">
        <v>1080</v>
      </c>
      <c r="GJ45" s="30"/>
      <c r="GK45" s="30"/>
      <c r="GL45" s="30">
        <v>1080</v>
      </c>
      <c r="GM45" s="30">
        <v>1080</v>
      </c>
      <c r="GN45" s="30">
        <v>1115</v>
      </c>
      <c r="GO45" s="30">
        <v>1120</v>
      </c>
      <c r="GP45" s="30">
        <v>1147.5</v>
      </c>
      <c r="GQ45" s="30"/>
      <c r="GR45" s="30"/>
      <c r="GS45" s="30">
        <v>1110</v>
      </c>
      <c r="GT45" s="30">
        <v>1095</v>
      </c>
      <c r="GU45" s="30">
        <v>1110</v>
      </c>
      <c r="GV45" s="30">
        <v>1120</v>
      </c>
      <c r="GW45" s="30">
        <v>1155</v>
      </c>
      <c r="GX45" s="30"/>
      <c r="GY45" s="30"/>
      <c r="GZ45" s="30">
        <v>1185</v>
      </c>
      <c r="HA45" s="30">
        <v>1210</v>
      </c>
      <c r="HB45" s="30">
        <v>1205</v>
      </c>
      <c r="HC45" s="30">
        <v>1225</v>
      </c>
      <c r="HD45" s="30">
        <v>1225</v>
      </c>
      <c r="HE45" s="30"/>
      <c r="HF45" s="30"/>
      <c r="HG45" s="30">
        <v>1175</v>
      </c>
      <c r="HH45" s="30">
        <v>1210</v>
      </c>
      <c r="HI45" s="30">
        <v>1090</v>
      </c>
      <c r="HJ45" s="30">
        <v>1230</v>
      </c>
      <c r="HK45" s="30">
        <v>1220</v>
      </c>
      <c r="HL45" s="30"/>
      <c r="HM45" s="30"/>
      <c r="HN45" s="30">
        <v>1210</v>
      </c>
      <c r="HO45" s="30">
        <v>1195</v>
      </c>
      <c r="HP45" s="30">
        <v>1225</v>
      </c>
      <c r="HQ45" s="30">
        <v>1270</v>
      </c>
      <c r="HR45" s="30">
        <v>1270</v>
      </c>
      <c r="HS45" s="30"/>
      <c r="HT45" s="30"/>
      <c r="HU45" s="30">
        <v>1265</v>
      </c>
      <c r="HV45" s="30">
        <v>1255</v>
      </c>
      <c r="HW45" s="30">
        <v>1245</v>
      </c>
      <c r="HX45" s="30">
        <v>1225</v>
      </c>
      <c r="HY45" s="30">
        <v>1210</v>
      </c>
      <c r="HZ45" s="30"/>
      <c r="IA45" s="64"/>
      <c r="IB45" s="30">
        <v>1225</v>
      </c>
      <c r="IC45" s="30">
        <v>1225</v>
      </c>
      <c r="ID45" s="30">
        <v>1225</v>
      </c>
      <c r="IE45" s="30">
        <v>1250</v>
      </c>
      <c r="IF45" s="30">
        <v>1240</v>
      </c>
      <c r="IG45" s="30"/>
      <c r="IH45" s="30"/>
      <c r="II45" s="30">
        <v>1247.5</v>
      </c>
      <c r="IJ45" s="30">
        <v>1247.5</v>
      </c>
      <c r="IK45" s="30">
        <v>1235</v>
      </c>
      <c r="IL45" s="30">
        <v>1172.5</v>
      </c>
      <c r="IM45" s="30">
        <v>1250</v>
      </c>
      <c r="IN45" s="30"/>
      <c r="IO45" s="30"/>
      <c r="IP45" s="30">
        <v>1260</v>
      </c>
      <c r="IQ45" s="30">
        <v>1260</v>
      </c>
      <c r="IR45" s="30">
        <v>1280</v>
      </c>
      <c r="IS45" s="30">
        <v>1260</v>
      </c>
      <c r="IT45" s="30">
        <v>1250</v>
      </c>
      <c r="IU45" s="30"/>
      <c r="IV45" s="30"/>
      <c r="IW45" s="30">
        <v>1240</v>
      </c>
      <c r="IX45" s="30">
        <v>1265</v>
      </c>
      <c r="IY45" s="108">
        <v>1280</v>
      </c>
      <c r="IZ45" s="30">
        <v>1280</v>
      </c>
      <c r="JA45" s="30">
        <v>1220</v>
      </c>
      <c r="JB45" s="30"/>
      <c r="JC45" s="30"/>
      <c r="JD45" s="108">
        <v>1220</v>
      </c>
      <c r="JE45" s="30">
        <v>1230</v>
      </c>
      <c r="JF45" s="30">
        <v>1240</v>
      </c>
      <c r="JG45" s="30">
        <v>1265</v>
      </c>
      <c r="JH45" s="30">
        <v>1265</v>
      </c>
      <c r="JI45" s="30"/>
      <c r="JJ45" s="30"/>
      <c r="JK45" s="30">
        <v>1280</v>
      </c>
      <c r="JL45" s="30">
        <v>1290</v>
      </c>
      <c r="JM45" s="30">
        <v>1285</v>
      </c>
      <c r="JN45" s="30">
        <v>1310</v>
      </c>
      <c r="JO45" s="30">
        <v>1305</v>
      </c>
      <c r="JP45" s="30"/>
      <c r="JQ45" s="30"/>
      <c r="JR45" s="30">
        <v>1330</v>
      </c>
      <c r="JS45" s="30">
        <v>1350</v>
      </c>
      <c r="JT45" s="30">
        <v>1380</v>
      </c>
      <c r="JU45" s="30">
        <v>1350</v>
      </c>
      <c r="JV45" s="30">
        <v>1400</v>
      </c>
      <c r="JW45" s="30"/>
      <c r="JX45" s="30"/>
      <c r="JY45" s="30">
        <v>1375</v>
      </c>
      <c r="JZ45" s="30">
        <v>1375</v>
      </c>
      <c r="KA45" s="30">
        <v>1397.5</v>
      </c>
      <c r="KB45" s="30">
        <v>1350</v>
      </c>
      <c r="KC45" s="30">
        <v>1375</v>
      </c>
      <c r="KD45" s="30"/>
      <c r="KE45" s="30"/>
      <c r="KF45" s="30">
        <v>1390</v>
      </c>
      <c r="KG45" s="30">
        <v>1405</v>
      </c>
      <c r="KH45" s="30">
        <v>1405</v>
      </c>
      <c r="KI45" s="30">
        <v>1370</v>
      </c>
      <c r="KJ45" s="30">
        <v>1365</v>
      </c>
      <c r="KK45" s="30"/>
      <c r="KL45" s="30"/>
      <c r="KM45" s="30">
        <v>1410</v>
      </c>
      <c r="KN45" s="30">
        <v>1410</v>
      </c>
      <c r="KO45" s="30">
        <v>1372.5</v>
      </c>
      <c r="KP45" s="30">
        <v>1380</v>
      </c>
      <c r="KQ45" s="30">
        <v>1420</v>
      </c>
      <c r="KR45" s="30"/>
      <c r="KS45" s="30"/>
      <c r="KT45" s="30">
        <v>1425</v>
      </c>
      <c r="KU45" s="30">
        <v>1425</v>
      </c>
      <c r="KV45" s="30">
        <v>1435</v>
      </c>
      <c r="KW45" s="30">
        <v>1435</v>
      </c>
      <c r="KX45" s="30">
        <v>1430</v>
      </c>
      <c r="KY45" s="80"/>
      <c r="KZ45" s="80"/>
      <c r="LA45" s="80">
        <v>1410</v>
      </c>
      <c r="LB45" s="80">
        <v>1370</v>
      </c>
      <c r="LC45" s="80">
        <v>1400</v>
      </c>
      <c r="LD45" s="80">
        <v>1385</v>
      </c>
      <c r="LE45" s="80">
        <v>1420</v>
      </c>
      <c r="LF45" s="80"/>
      <c r="LG45" s="80"/>
      <c r="LH45" s="80">
        <v>1420</v>
      </c>
      <c r="LI45" s="30">
        <v>1420</v>
      </c>
      <c r="LJ45" s="30">
        <v>1420</v>
      </c>
      <c r="LK45" s="30">
        <v>1370</v>
      </c>
      <c r="LL45" s="30">
        <v>1370</v>
      </c>
      <c r="LM45" s="30"/>
      <c r="LN45" s="30"/>
      <c r="LO45" s="30">
        <v>1350</v>
      </c>
      <c r="LP45" s="30">
        <v>1335</v>
      </c>
      <c r="LQ45" s="30">
        <v>1345</v>
      </c>
      <c r="LR45" s="30">
        <v>1422.5</v>
      </c>
      <c r="LS45" s="30">
        <v>1422.5</v>
      </c>
      <c r="LT45" s="30"/>
      <c r="LU45" s="30"/>
      <c r="LV45" s="30">
        <v>1335</v>
      </c>
      <c r="LW45" s="30">
        <v>1370</v>
      </c>
      <c r="LX45" s="30">
        <v>1320</v>
      </c>
      <c r="LY45" s="30">
        <v>1320</v>
      </c>
      <c r="LZ45" s="30">
        <v>1420</v>
      </c>
      <c r="MA45" s="30"/>
      <c r="MB45" s="30"/>
      <c r="MC45" s="30">
        <v>1360</v>
      </c>
      <c r="MD45" s="30">
        <v>1405</v>
      </c>
      <c r="ME45" s="30">
        <v>1395</v>
      </c>
      <c r="MF45" s="30">
        <v>1410</v>
      </c>
      <c r="MG45" s="30">
        <v>1315</v>
      </c>
      <c r="MH45" s="30"/>
      <c r="MI45" s="30"/>
      <c r="MJ45" s="30">
        <v>1310</v>
      </c>
      <c r="MK45" s="30">
        <v>1290</v>
      </c>
      <c r="ML45" s="30">
        <v>1300</v>
      </c>
      <c r="MM45" s="30">
        <v>1300</v>
      </c>
      <c r="MN45" s="30">
        <v>1330</v>
      </c>
      <c r="MO45" s="30"/>
      <c r="MP45" s="30"/>
      <c r="MQ45" s="30">
        <v>1330</v>
      </c>
      <c r="MR45" s="30">
        <v>1310</v>
      </c>
      <c r="MS45" s="30">
        <v>1300</v>
      </c>
      <c r="MT45" s="30">
        <v>1300</v>
      </c>
      <c r="MU45" s="30">
        <v>1300</v>
      </c>
      <c r="MV45" s="30"/>
      <c r="MW45" s="30"/>
      <c r="MX45" s="30">
        <v>1300</v>
      </c>
      <c r="MY45" s="30">
        <v>1370</v>
      </c>
      <c r="MZ45" s="30">
        <v>1310</v>
      </c>
      <c r="NA45" s="30">
        <v>1305</v>
      </c>
      <c r="NB45" s="30">
        <v>1305</v>
      </c>
    </row>
    <row r="46" spans="1:366" hidden="1" x14ac:dyDescent="0.25">
      <c r="A46" s="2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59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4"/>
      <c r="KP46" s="24"/>
      <c r="KQ46" s="24"/>
      <c r="KR46" s="24"/>
      <c r="KS46" s="24"/>
      <c r="KT46" s="24"/>
      <c r="KU46" s="24"/>
      <c r="KV46" s="24"/>
      <c r="KW46" s="24"/>
      <c r="KX46" s="24"/>
      <c r="KY46" s="24"/>
      <c r="KZ46" s="24"/>
      <c r="LA46" s="24"/>
      <c r="LB46" s="24"/>
      <c r="LC46" s="24"/>
      <c r="LD46" s="24"/>
      <c r="LE46" s="24"/>
      <c r="LF46" s="24"/>
      <c r="LG46" s="24"/>
      <c r="LH46" s="24"/>
      <c r="LI46" s="24"/>
      <c r="LJ46" s="24"/>
      <c r="LK46" s="24"/>
      <c r="LL46" s="24"/>
      <c r="LM46" s="24"/>
      <c r="LN46" s="24"/>
      <c r="LO46" s="24"/>
      <c r="LP46" s="24"/>
      <c r="LQ46" s="24"/>
      <c r="LR46" s="24"/>
      <c r="LS46" s="24"/>
      <c r="LT46" s="24"/>
      <c r="LU46" s="24"/>
      <c r="LV46" s="24"/>
      <c r="LW46" s="24"/>
      <c r="LX46" s="24"/>
      <c r="LY46" s="24"/>
      <c r="LZ46" s="24"/>
      <c r="MA46" s="24"/>
      <c r="MB46" s="24"/>
      <c r="MC46" s="24"/>
      <c r="MD46" s="24"/>
      <c r="ME46" s="24"/>
      <c r="MF46" s="24"/>
      <c r="MG46" s="24"/>
      <c r="MH46" s="24"/>
      <c r="MI46" s="24"/>
      <c r="MJ46" s="24"/>
      <c r="MK46" s="24"/>
      <c r="ML46" s="24"/>
      <c r="MM46" s="24"/>
      <c r="MN46" s="24"/>
      <c r="MO46" s="24"/>
      <c r="MP46" s="24"/>
      <c r="MQ46" s="24"/>
      <c r="MR46" s="24"/>
      <c r="MS46" s="24"/>
      <c r="MT46" s="24"/>
      <c r="MU46" s="24"/>
      <c r="MV46" s="24"/>
      <c r="MW46" s="24"/>
      <c r="MX46" s="24"/>
      <c r="MY46" s="24"/>
      <c r="MZ46" s="24"/>
      <c r="NA46" s="24"/>
      <c r="NB46" s="24"/>
    </row>
    <row r="47" spans="1:366" x14ac:dyDescent="0.25">
      <c r="A47" s="1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65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</row>
    <row r="48" spans="1:366" x14ac:dyDescent="0.25">
      <c r="A48" s="42" t="s">
        <v>170</v>
      </c>
      <c r="B48" s="48">
        <v>4259.0596999999998</v>
      </c>
      <c r="C48" s="48">
        <v>4259.0596999999998</v>
      </c>
      <c r="D48" s="48">
        <v>4259.0596999999998</v>
      </c>
      <c r="E48" s="48">
        <v>4259.0596999999998</v>
      </c>
      <c r="F48" s="48">
        <v>4259.0596999999998</v>
      </c>
      <c r="G48" s="48">
        <v>4259.0596999999998</v>
      </c>
      <c r="H48" s="48">
        <v>4259.0596999999998</v>
      </c>
      <c r="I48" s="48">
        <v>4259.0596999999998</v>
      </c>
      <c r="J48" s="48">
        <v>4259.0596999999998</v>
      </c>
      <c r="K48" s="48">
        <v>4259.0596999999998</v>
      </c>
      <c r="L48" s="48">
        <v>4259.0596999999998</v>
      </c>
      <c r="M48" s="48">
        <v>4259.0596999999998</v>
      </c>
      <c r="N48" s="48">
        <v>4259.0596999999998</v>
      </c>
      <c r="O48" s="48">
        <v>4259.0596999999998</v>
      </c>
      <c r="P48" s="48">
        <v>4259.0596999999998</v>
      </c>
      <c r="Q48" s="48">
        <v>4259.0596999999998</v>
      </c>
      <c r="R48" s="48">
        <v>4259.0596999999998</v>
      </c>
      <c r="S48" s="48">
        <v>4259.0596999999998</v>
      </c>
      <c r="T48" s="48">
        <v>4259.0596999999998</v>
      </c>
      <c r="U48" s="48">
        <v>4259.0596999999998</v>
      </c>
      <c r="V48" s="48">
        <v>4259.0596999999998</v>
      </c>
      <c r="W48" s="48">
        <v>4259.0596999999998</v>
      </c>
      <c r="X48" s="48">
        <v>4259.0596999999998</v>
      </c>
      <c r="Y48" s="48">
        <v>4259.0596999999998</v>
      </c>
      <c r="Z48" s="48">
        <v>4259.0596999999998</v>
      </c>
      <c r="AA48" s="48">
        <v>4259.0596999999998</v>
      </c>
      <c r="AB48" s="48">
        <v>4259.0596999999998</v>
      </c>
      <c r="AC48" s="48">
        <v>4259.0596999999998</v>
      </c>
      <c r="AD48" s="48">
        <v>4259.0596999999998</v>
      </c>
      <c r="AE48" s="48">
        <v>4259.0596999999998</v>
      </c>
      <c r="AF48" s="48">
        <v>4259.0596999999998</v>
      </c>
      <c r="AG48" s="48">
        <v>4259.0596999999998</v>
      </c>
      <c r="AH48" s="48">
        <v>4259.0596999999998</v>
      </c>
      <c r="AI48" s="48">
        <v>4259.0596999999998</v>
      </c>
      <c r="AJ48" s="48">
        <v>4259.0596999999998</v>
      </c>
      <c r="AK48" s="48">
        <v>4259.0596999999998</v>
      </c>
      <c r="AL48" s="48">
        <v>4259.0596999999998</v>
      </c>
      <c r="AM48" s="48">
        <v>4259.0596999999998</v>
      </c>
      <c r="AN48" s="48">
        <v>4259.0596999999998</v>
      </c>
      <c r="AO48" s="48">
        <v>4259.0596999999998</v>
      </c>
      <c r="AP48" s="48">
        <v>4259.0596999999998</v>
      </c>
      <c r="AQ48" s="48">
        <v>4259.0596999999998</v>
      </c>
      <c r="AR48" s="48">
        <v>4259.0596999999998</v>
      </c>
      <c r="AS48" s="48">
        <v>4259.0596999999998</v>
      </c>
      <c r="AT48" s="48">
        <v>4259.0596999999998</v>
      </c>
      <c r="AU48" s="48">
        <v>4259.0596999999998</v>
      </c>
      <c r="AV48" s="48">
        <v>4259.0596999999998</v>
      </c>
      <c r="AW48" s="48">
        <v>4259.0596999999998</v>
      </c>
      <c r="AX48" s="48">
        <v>4259.0596999999998</v>
      </c>
      <c r="AY48" s="48">
        <v>4259.0596999999998</v>
      </c>
      <c r="AZ48" s="48">
        <v>4259.0596999999998</v>
      </c>
      <c r="BA48" s="48">
        <v>4259.0596999999998</v>
      </c>
      <c r="BB48" s="48">
        <v>4259.0596999999998</v>
      </c>
      <c r="BC48" s="48">
        <v>4259.0596999999998</v>
      </c>
      <c r="BD48" s="48">
        <v>4259.0596999999998</v>
      </c>
      <c r="BE48" s="48">
        <v>4259.0596999999998</v>
      </c>
      <c r="BF48" s="48">
        <v>4259.0596999999998</v>
      </c>
      <c r="BG48" s="48">
        <v>4259.0596999999998</v>
      </c>
      <c r="BH48" s="48">
        <v>4259.0596999999998</v>
      </c>
      <c r="BI48" s="48">
        <v>4621.1806999999999</v>
      </c>
      <c r="BJ48" s="48">
        <v>4621.1806999999999</v>
      </c>
      <c r="BK48" s="48">
        <v>4621.1806999999999</v>
      </c>
      <c r="BL48" s="48">
        <v>4621.1806999999999</v>
      </c>
      <c r="BM48" s="48">
        <v>4621.1806999999999</v>
      </c>
      <c r="BN48" s="48">
        <v>4621.1806999999999</v>
      </c>
      <c r="BO48" s="48">
        <v>4621.1806999999999</v>
      </c>
      <c r="BP48" s="48">
        <v>4621.1806999999999</v>
      </c>
      <c r="BQ48" s="48">
        <v>4621.1806999999999</v>
      </c>
      <c r="BR48" s="48">
        <v>4621.1806999999999</v>
      </c>
      <c r="BS48" s="48">
        <v>4621.1806999999999</v>
      </c>
      <c r="BT48" s="48">
        <v>4621.1806999999999</v>
      </c>
      <c r="BU48" s="48">
        <v>4621.1806999999999</v>
      </c>
      <c r="BV48" s="48">
        <v>4621.1806999999999</v>
      </c>
      <c r="BW48" s="48">
        <v>4621.1806999999999</v>
      </c>
      <c r="BX48" s="48">
        <v>4621.1806999999999</v>
      </c>
      <c r="BY48" s="48">
        <v>4621.1806999999999</v>
      </c>
      <c r="BZ48" s="48">
        <v>4621.1806999999999</v>
      </c>
      <c r="CA48" s="48">
        <v>4621.1806999999999</v>
      </c>
      <c r="CB48" s="48">
        <v>4621.1806999999999</v>
      </c>
      <c r="CC48" s="48">
        <v>4621.1806999999999</v>
      </c>
      <c r="CD48" s="48">
        <v>4621.1806999999999</v>
      </c>
      <c r="CE48" s="48">
        <v>4621.1806999999999</v>
      </c>
      <c r="CF48" s="48">
        <v>4621.1806999999999</v>
      </c>
      <c r="CG48" s="48">
        <v>4621.1806999999999</v>
      </c>
      <c r="CH48" s="48">
        <v>4621.1806999999999</v>
      </c>
      <c r="CI48" s="48">
        <v>4621.1806999999999</v>
      </c>
      <c r="CJ48" s="48">
        <v>4621.1806999999999</v>
      </c>
      <c r="CK48" s="48">
        <v>4621.1806999999999</v>
      </c>
      <c r="CL48" s="48">
        <v>4621.1806999999999</v>
      </c>
      <c r="CM48" s="48">
        <v>4621.1806999999999</v>
      </c>
      <c r="CN48" s="48">
        <v>4621.1806999999999</v>
      </c>
      <c r="CO48" s="48">
        <v>4621.1806999999999</v>
      </c>
      <c r="CP48" s="48">
        <v>4621.1806999999999</v>
      </c>
      <c r="CQ48" s="48">
        <v>4621.1806999999999</v>
      </c>
      <c r="CR48" s="48">
        <v>4621.1806999999999</v>
      </c>
      <c r="CS48" s="48">
        <v>4621.1806999999999</v>
      </c>
      <c r="CT48" s="48">
        <v>4621.1806999999999</v>
      </c>
      <c r="CU48" s="48">
        <v>4621.1806999999999</v>
      </c>
      <c r="CV48" s="48">
        <v>4621.1806999999999</v>
      </c>
      <c r="CW48" s="48">
        <v>4621.1806999999999</v>
      </c>
      <c r="CX48" s="48">
        <v>4621.1806999999999</v>
      </c>
      <c r="CY48" s="105">
        <v>4621.1806999999999</v>
      </c>
      <c r="CZ48" s="105">
        <v>4621.1806999999999</v>
      </c>
      <c r="DA48" s="48">
        <v>4621.1806999999999</v>
      </c>
      <c r="DB48" s="48">
        <v>4621.1806999999999</v>
      </c>
      <c r="DC48" s="48">
        <v>4621.1806999999999</v>
      </c>
      <c r="DD48" s="48">
        <v>4621.1806999999999</v>
      </c>
      <c r="DE48" s="48">
        <v>4621.1806999999999</v>
      </c>
      <c r="DF48" s="48">
        <v>4621.1806999999999</v>
      </c>
      <c r="DG48" s="48">
        <v>4621.1806999999999</v>
      </c>
      <c r="DH48" s="48">
        <v>4621.1806999999999</v>
      </c>
      <c r="DI48" s="48">
        <v>4621.1806999999999</v>
      </c>
      <c r="DJ48" s="48">
        <v>4621.1806999999999</v>
      </c>
      <c r="DK48" s="48">
        <v>4621.1806999999999</v>
      </c>
      <c r="DL48" s="48">
        <v>4621.1806999999999</v>
      </c>
      <c r="DM48" s="48">
        <v>4621.1806999999999</v>
      </c>
      <c r="DN48" s="48">
        <v>4621.1806999999999</v>
      </c>
      <c r="DO48" s="48">
        <v>4621.1806999999999</v>
      </c>
      <c r="DP48" s="48">
        <v>4621.1806999999999</v>
      </c>
      <c r="DQ48" s="48">
        <v>4621.1806999999999</v>
      </c>
      <c r="DR48" s="48">
        <v>5350</v>
      </c>
      <c r="DS48" s="48">
        <v>5350</v>
      </c>
      <c r="DT48" s="48">
        <v>5350</v>
      </c>
      <c r="DU48" s="48">
        <v>5350</v>
      </c>
      <c r="DV48" s="48">
        <v>5350</v>
      </c>
      <c r="DW48" s="48">
        <v>5350</v>
      </c>
      <c r="DX48" s="48">
        <v>5350</v>
      </c>
      <c r="DY48" s="48">
        <v>5350</v>
      </c>
      <c r="DZ48" s="48">
        <v>5350</v>
      </c>
      <c r="EA48" s="48">
        <v>5350</v>
      </c>
      <c r="EB48" s="48">
        <v>5350</v>
      </c>
      <c r="EC48" s="48">
        <v>5350</v>
      </c>
      <c r="ED48" s="48">
        <v>5350</v>
      </c>
      <c r="EE48" s="48">
        <v>5350</v>
      </c>
      <c r="EF48" s="48">
        <v>5350</v>
      </c>
      <c r="EG48" s="48">
        <v>5350</v>
      </c>
      <c r="EH48" s="48">
        <v>5350</v>
      </c>
      <c r="EI48" s="48">
        <v>5350</v>
      </c>
      <c r="EJ48" s="48">
        <v>5350</v>
      </c>
      <c r="EK48" s="48">
        <v>5350</v>
      </c>
      <c r="EL48" s="48">
        <v>5350</v>
      </c>
      <c r="EM48" s="48">
        <v>5350</v>
      </c>
      <c r="EN48" s="48">
        <v>5350</v>
      </c>
      <c r="EO48" s="48">
        <v>5350</v>
      </c>
      <c r="EP48" s="48">
        <v>5350</v>
      </c>
      <c r="EQ48" s="48">
        <v>5350</v>
      </c>
      <c r="ER48" s="48">
        <v>5350</v>
      </c>
      <c r="ES48" s="48">
        <v>5350</v>
      </c>
      <c r="ET48" s="48">
        <v>5350</v>
      </c>
      <c r="EU48" s="48">
        <v>5350</v>
      </c>
      <c r="EV48" s="48">
        <v>5350</v>
      </c>
      <c r="EW48" s="48">
        <v>5350</v>
      </c>
      <c r="EX48" s="48">
        <v>5350</v>
      </c>
      <c r="EY48" s="48">
        <v>5350</v>
      </c>
      <c r="EZ48" s="48">
        <v>5350</v>
      </c>
      <c r="FA48" s="48">
        <v>5350</v>
      </c>
      <c r="FB48" s="48">
        <v>5350</v>
      </c>
      <c r="FC48" s="48">
        <v>5350</v>
      </c>
      <c r="FD48" s="48">
        <v>5350</v>
      </c>
      <c r="FE48" s="48">
        <v>5350</v>
      </c>
      <c r="FF48" s="48">
        <v>5350</v>
      </c>
      <c r="FG48" s="48">
        <v>5350</v>
      </c>
      <c r="FH48" s="48">
        <v>5350</v>
      </c>
      <c r="FI48" s="48">
        <v>5350</v>
      </c>
      <c r="FJ48" s="48">
        <v>5350</v>
      </c>
      <c r="FK48" s="48">
        <v>5350</v>
      </c>
      <c r="FL48" s="48">
        <v>5350</v>
      </c>
      <c r="FM48" s="48">
        <v>5350</v>
      </c>
      <c r="FN48" s="48">
        <v>5350</v>
      </c>
      <c r="FO48" s="48">
        <v>5350</v>
      </c>
      <c r="FP48" s="48">
        <v>5350</v>
      </c>
      <c r="FQ48" s="48">
        <v>5350</v>
      </c>
      <c r="FR48" s="48">
        <v>5350</v>
      </c>
      <c r="FS48" s="48">
        <v>5350</v>
      </c>
      <c r="FT48" s="48">
        <v>5350</v>
      </c>
      <c r="FU48" s="48">
        <v>5350</v>
      </c>
      <c r="FV48" s="48">
        <v>5350</v>
      </c>
      <c r="FW48" s="48">
        <v>5350</v>
      </c>
      <c r="FX48" s="48">
        <v>5350</v>
      </c>
      <c r="FY48" s="48">
        <v>5350</v>
      </c>
      <c r="FZ48" s="48">
        <v>5350</v>
      </c>
      <c r="GA48" s="48">
        <v>5332.1256999999996</v>
      </c>
      <c r="GB48" s="48">
        <v>5332.1256999999996</v>
      </c>
      <c r="GC48" s="48">
        <v>5332.1256999999996</v>
      </c>
      <c r="GD48" s="48">
        <v>5332.1256999999996</v>
      </c>
      <c r="GE48" s="48">
        <v>5332.1256999999996</v>
      </c>
      <c r="GF48" s="48">
        <v>5332.1256999999996</v>
      </c>
      <c r="GG48" s="48">
        <v>5332.1256999999996</v>
      </c>
      <c r="GH48" s="48">
        <v>5332.1256999999996</v>
      </c>
      <c r="GI48" s="48">
        <v>5332.1256999999996</v>
      </c>
      <c r="GJ48" s="48">
        <v>5332.1256999999996</v>
      </c>
      <c r="GK48" s="48">
        <v>5332.1256999999996</v>
      </c>
      <c r="GL48" s="48">
        <v>5332.1256999999996</v>
      </c>
      <c r="GM48" s="48">
        <v>5332.1256999999996</v>
      </c>
      <c r="GN48" s="48">
        <v>5332.1256999999996</v>
      </c>
      <c r="GO48" s="48">
        <v>5332.1256999999996</v>
      </c>
      <c r="GP48" s="48">
        <v>5332.1256999999996</v>
      </c>
      <c r="GQ48" s="48">
        <v>5332.1256999999996</v>
      </c>
      <c r="GR48" s="48">
        <v>5332.1256999999996</v>
      </c>
      <c r="GS48" s="48">
        <v>5332.1256999999996</v>
      </c>
      <c r="GT48" s="48">
        <v>5332.1256999999996</v>
      </c>
      <c r="GU48" s="48">
        <v>5332.1256999999996</v>
      </c>
      <c r="GV48" s="48">
        <v>5332.1256999999996</v>
      </c>
      <c r="GW48" s="48">
        <v>5332.1256999999996</v>
      </c>
      <c r="GX48" s="48">
        <v>5332.1256999999996</v>
      </c>
      <c r="GY48" s="48">
        <v>5332.1256999999996</v>
      </c>
      <c r="GZ48" s="48">
        <v>5332.1256999999996</v>
      </c>
      <c r="HA48" s="48">
        <v>5332.1256999999996</v>
      </c>
      <c r="HB48" s="48">
        <v>5332.1256999999996</v>
      </c>
      <c r="HC48" s="48">
        <v>5332.1256999999996</v>
      </c>
      <c r="HD48" s="48">
        <v>5332.1256999999996</v>
      </c>
      <c r="HE48" s="48">
        <v>5332.1256999999996</v>
      </c>
      <c r="HF48" s="48">
        <v>5332.1256999999996</v>
      </c>
      <c r="HG48" s="48">
        <v>5332.1256999999996</v>
      </c>
      <c r="HH48" s="48">
        <v>5332.1256999999996</v>
      </c>
      <c r="HI48" s="48">
        <v>5332.1256999999996</v>
      </c>
      <c r="HJ48" s="48">
        <v>5332.1256999999996</v>
      </c>
      <c r="HK48" s="48">
        <v>5332.1256999999996</v>
      </c>
      <c r="HL48" s="48">
        <v>5332.1256999999996</v>
      </c>
      <c r="HM48" s="48">
        <v>5332.1256999999996</v>
      </c>
      <c r="HN48" s="48">
        <v>5332.1256999999996</v>
      </c>
      <c r="HO48" s="48">
        <v>5332.1256999999996</v>
      </c>
      <c r="HP48" s="48">
        <v>5332.1256999999996</v>
      </c>
      <c r="HQ48" s="48">
        <v>5332.1256999999996</v>
      </c>
      <c r="HR48" s="48">
        <v>5332.1256999999996</v>
      </c>
      <c r="HS48" s="48">
        <v>5332.1256999999996</v>
      </c>
      <c r="HT48" s="48">
        <v>5332.1256999999996</v>
      </c>
      <c r="HU48" s="48">
        <v>5332.1256999999996</v>
      </c>
      <c r="HV48" s="48">
        <v>5332.1256999999996</v>
      </c>
      <c r="HW48" s="48">
        <v>5332.1256999999996</v>
      </c>
      <c r="HX48" s="48">
        <v>5332.1256999999996</v>
      </c>
      <c r="HY48" s="48">
        <v>5332.1256999999996</v>
      </c>
      <c r="HZ48" s="48">
        <v>5332.1256999999996</v>
      </c>
      <c r="IA48" s="48">
        <v>5332.1256999999996</v>
      </c>
      <c r="IB48" s="48">
        <v>5332.1256999999996</v>
      </c>
      <c r="IC48" s="48">
        <v>5332.1256999999996</v>
      </c>
      <c r="ID48" s="48">
        <v>5332.1256999999996</v>
      </c>
      <c r="IE48" s="48">
        <v>5332.1256999999996</v>
      </c>
      <c r="IF48" s="48">
        <v>5332.1256999999996</v>
      </c>
      <c r="IG48" s="48">
        <v>5332.1256999999996</v>
      </c>
      <c r="IH48" s="48">
        <v>5332.1256999999996</v>
      </c>
      <c r="II48" s="48">
        <v>5332.1256999999996</v>
      </c>
      <c r="IJ48" s="48">
        <v>5332.1256999999996</v>
      </c>
      <c r="IK48" s="48">
        <v>5448.4094999999998</v>
      </c>
      <c r="IL48" s="48">
        <v>5448.4094999999998</v>
      </c>
      <c r="IM48" s="48">
        <v>5448.4094999999998</v>
      </c>
      <c r="IN48" s="48">
        <v>5448.4094999999998</v>
      </c>
      <c r="IO48" s="48">
        <v>5448.4094999999998</v>
      </c>
      <c r="IP48" s="48">
        <v>5448.4094999999998</v>
      </c>
      <c r="IQ48" s="48">
        <v>5448.4094999999998</v>
      </c>
      <c r="IR48" s="48">
        <v>5448.4094999999998</v>
      </c>
      <c r="IS48" s="48">
        <v>5448.4094999999998</v>
      </c>
      <c r="IT48" s="48">
        <v>5448.4094999999998</v>
      </c>
      <c r="IU48" s="48">
        <v>5448.4094999999998</v>
      </c>
      <c r="IV48" s="48">
        <v>5448.4094999999998</v>
      </c>
      <c r="IW48" s="48">
        <v>5448.4094999999998</v>
      </c>
      <c r="IX48" s="48">
        <v>5448.4094999999998</v>
      </c>
      <c r="IY48" s="48">
        <v>5448.4094999999998</v>
      </c>
      <c r="IZ48" s="48">
        <v>5448.4094999999998</v>
      </c>
      <c r="JA48" s="48">
        <v>5448.4094999999998</v>
      </c>
      <c r="JB48" s="48">
        <v>5448.4094999999998</v>
      </c>
      <c r="JC48" s="48">
        <v>5448.4094999999998</v>
      </c>
      <c r="JD48" s="48">
        <v>5448.4094999999998</v>
      </c>
      <c r="JE48" s="48">
        <v>5448.4094999999998</v>
      </c>
      <c r="JF48" s="48">
        <v>5448.4094999999998</v>
      </c>
      <c r="JG48" s="48">
        <v>5448.4094999999998</v>
      </c>
      <c r="JH48" s="48">
        <v>5448.4094999999998</v>
      </c>
      <c r="JI48" s="48">
        <v>5448.4094999999998</v>
      </c>
      <c r="JJ48" s="48">
        <v>5448.4094999999998</v>
      </c>
      <c r="JK48" s="48">
        <v>5448.4094999999998</v>
      </c>
      <c r="JL48" s="48">
        <v>5448.4094999999998</v>
      </c>
      <c r="JM48" s="48">
        <v>5448.4094999999998</v>
      </c>
      <c r="JN48" s="48">
        <v>5448.4094999999998</v>
      </c>
      <c r="JO48" s="48">
        <v>5448.4094999999998</v>
      </c>
      <c r="JP48" s="48">
        <v>5448.4094999999998</v>
      </c>
      <c r="JQ48" s="48">
        <v>5448.4094999999998</v>
      </c>
      <c r="JR48" s="48">
        <v>5448.4094999999998</v>
      </c>
      <c r="JS48" s="48">
        <v>5448.4094999999998</v>
      </c>
      <c r="JT48" s="48">
        <v>5448.4094999999998</v>
      </c>
      <c r="JU48" s="48">
        <v>5448.4094999999998</v>
      </c>
      <c r="JV48" s="48">
        <v>5448.4094999999998</v>
      </c>
      <c r="JW48" s="48">
        <v>5448.4094999999998</v>
      </c>
      <c r="JX48" s="48">
        <v>5448.4094999999998</v>
      </c>
      <c r="JY48" s="48">
        <v>5448.4094999999998</v>
      </c>
      <c r="JZ48" s="48">
        <v>5448.4094999999998</v>
      </c>
      <c r="KA48" s="48">
        <v>5448.4094999999998</v>
      </c>
      <c r="KB48" s="48">
        <v>5448.4094999999998</v>
      </c>
      <c r="KC48" s="48">
        <v>5448.4094999999998</v>
      </c>
      <c r="KD48" s="48">
        <v>5448.4094999999998</v>
      </c>
      <c r="KE48" s="48">
        <v>5448.4094999999998</v>
      </c>
      <c r="KF48" s="48">
        <v>5448.4094999999998</v>
      </c>
      <c r="KG48" s="48">
        <v>5448.4094999999998</v>
      </c>
      <c r="KH48" s="48">
        <v>5448.4094999999998</v>
      </c>
      <c r="KI48" s="48">
        <v>5448.4094999999998</v>
      </c>
      <c r="KJ48" s="48">
        <v>5448.4094999999998</v>
      </c>
      <c r="KK48" s="48">
        <v>5448.4094999999998</v>
      </c>
      <c r="KL48" s="48">
        <v>5448.4094999999998</v>
      </c>
      <c r="KM48" s="48">
        <v>5448.4094999999998</v>
      </c>
      <c r="KN48" s="48">
        <v>5448.4094999999998</v>
      </c>
      <c r="KO48" s="48">
        <v>5448.4094999999998</v>
      </c>
      <c r="KP48" s="48">
        <v>5448.4094999999998</v>
      </c>
      <c r="KQ48" s="48">
        <v>5448.4094999999998</v>
      </c>
      <c r="KR48" s="48">
        <v>5448.4094999999998</v>
      </c>
      <c r="KS48" s="48">
        <v>5448.4094999999998</v>
      </c>
      <c r="KT48" s="48">
        <v>5707.7795999999998</v>
      </c>
      <c r="KU48" s="48">
        <v>5707.7795999999998</v>
      </c>
      <c r="KV48" s="48">
        <v>5707.7795999999998</v>
      </c>
      <c r="KW48" s="48">
        <v>5707.7795999999998</v>
      </c>
      <c r="KX48" s="48">
        <v>5707.7795999999998</v>
      </c>
      <c r="KY48" s="48">
        <v>5707.7795999999998</v>
      </c>
      <c r="KZ48" s="48">
        <v>5707.7795999999998</v>
      </c>
      <c r="LA48" s="48">
        <v>5707.7795999999998</v>
      </c>
      <c r="LB48" s="48">
        <v>5707.7795999999998</v>
      </c>
      <c r="LC48" s="48">
        <v>5707.7795999999998</v>
      </c>
      <c r="LD48" s="48">
        <v>5707.7795999999998</v>
      </c>
      <c r="LE48" s="48">
        <v>5707.7795999999998</v>
      </c>
      <c r="LF48" s="48">
        <v>5707.7795999999998</v>
      </c>
      <c r="LG48" s="48">
        <v>5707.7795999999998</v>
      </c>
      <c r="LH48" s="48">
        <v>5707.7795999999998</v>
      </c>
      <c r="LI48" s="48">
        <v>5707.7795999999998</v>
      </c>
      <c r="LJ48" s="48">
        <v>5707.7795999999998</v>
      </c>
      <c r="LK48" s="48">
        <v>5707.7795999999998</v>
      </c>
      <c r="LL48" s="48">
        <v>5707.7795999999998</v>
      </c>
      <c r="LM48" s="48">
        <v>5707.7795999999998</v>
      </c>
      <c r="LN48" s="48">
        <v>5707.7795999999998</v>
      </c>
      <c r="LO48" s="48">
        <v>5707.7795999999998</v>
      </c>
      <c r="LP48" s="48">
        <v>5707.7795999999998</v>
      </c>
      <c r="LQ48" s="48">
        <v>5707.7795999999998</v>
      </c>
      <c r="LR48" s="48">
        <v>5707.7795999999998</v>
      </c>
      <c r="LS48" s="48">
        <v>5707.7795999999998</v>
      </c>
      <c r="LT48" s="48">
        <v>5707.7795999999998</v>
      </c>
      <c r="LU48" s="48">
        <v>5707.7795999999998</v>
      </c>
      <c r="LV48" s="48">
        <v>5707.7795999999998</v>
      </c>
      <c r="LW48" s="48">
        <v>5707.7795999999998</v>
      </c>
      <c r="LX48" s="48">
        <v>5707.7795999999998</v>
      </c>
      <c r="LY48" s="48">
        <v>5707.7795999999998</v>
      </c>
      <c r="LZ48" s="48">
        <v>5707.7795999999998</v>
      </c>
      <c r="MA48" s="48">
        <v>5707.7795999999998</v>
      </c>
      <c r="MB48" s="48">
        <v>5707.7795999999998</v>
      </c>
      <c r="MC48" s="48">
        <v>5707.7795999999998</v>
      </c>
      <c r="MD48" s="48">
        <v>5707.7795999999998</v>
      </c>
      <c r="ME48" s="48">
        <v>5707.7795999999998</v>
      </c>
      <c r="MF48" s="48">
        <v>5707.7795999999998</v>
      </c>
      <c r="MG48" s="48">
        <v>5707.7795999999998</v>
      </c>
      <c r="MH48" s="48">
        <v>5707.7795999999998</v>
      </c>
      <c r="MI48" s="48">
        <v>5707.7795999999998</v>
      </c>
      <c r="MJ48" s="48">
        <v>5707.7795999999998</v>
      </c>
      <c r="MK48" s="48">
        <v>5707.7795999999998</v>
      </c>
      <c r="ML48" s="48">
        <v>5707.7795999999998</v>
      </c>
      <c r="MM48" s="48">
        <v>5707.7795999999998</v>
      </c>
      <c r="MN48" s="48">
        <v>5707.7795999999998</v>
      </c>
      <c r="MO48" s="48">
        <v>5707.7795999999998</v>
      </c>
      <c r="MP48" s="48">
        <v>5707.7795999999998</v>
      </c>
      <c r="MQ48" s="48">
        <v>5707.7795999999998</v>
      </c>
      <c r="MR48" s="48">
        <v>5707.7795999999998</v>
      </c>
      <c r="MS48" s="48">
        <v>5707.7795999999998</v>
      </c>
      <c r="MT48" s="48">
        <v>5707.7795999999998</v>
      </c>
      <c r="MU48" s="48">
        <v>5707.7795999999998</v>
      </c>
      <c r="MV48" s="48">
        <v>5707.7795999999998</v>
      </c>
      <c r="MW48" s="48">
        <v>5707.7795999999998</v>
      </c>
      <c r="MX48" s="48">
        <v>5707.7795999999998</v>
      </c>
      <c r="MY48" s="48">
        <v>5707.7795999999998</v>
      </c>
      <c r="MZ48" s="48">
        <v>5707.7795999999998</v>
      </c>
      <c r="NA48" s="48">
        <v>5707.7795999999998</v>
      </c>
      <c r="NB48" s="48">
        <v>5707.7795999999998</v>
      </c>
    </row>
    <row r="49" spans="1:366" x14ac:dyDescent="0.25">
      <c r="A49" s="26" t="s">
        <v>171</v>
      </c>
      <c r="B49" s="32">
        <v>4768.1172999999999</v>
      </c>
      <c r="C49" s="32">
        <v>4768.1172999999999</v>
      </c>
      <c r="D49" s="32">
        <v>4768.1172999999999</v>
      </c>
      <c r="E49" s="32">
        <v>4768.1172999999999</v>
      </c>
      <c r="F49" s="32">
        <v>4768.1172999999999</v>
      </c>
      <c r="G49" s="32">
        <v>4768.1172999999999</v>
      </c>
      <c r="H49" s="32">
        <v>4768.1172999999999</v>
      </c>
      <c r="I49" s="32">
        <v>4768.1172999999999</v>
      </c>
      <c r="J49" s="32">
        <v>4768.1172999999999</v>
      </c>
      <c r="K49" s="32">
        <v>4768.1172999999999</v>
      </c>
      <c r="L49" s="32">
        <v>4768.1172999999999</v>
      </c>
      <c r="M49" s="32">
        <v>4768.1172999999999</v>
      </c>
      <c r="N49" s="32">
        <v>4768.1172999999999</v>
      </c>
      <c r="O49" s="32">
        <v>4768.1172999999999</v>
      </c>
      <c r="P49" s="32">
        <v>4768.1172999999999</v>
      </c>
      <c r="Q49" s="32">
        <v>4768.1172999999999</v>
      </c>
      <c r="R49" s="32">
        <v>4768.1172999999999</v>
      </c>
      <c r="S49" s="32">
        <v>4768.1172999999999</v>
      </c>
      <c r="T49" s="32">
        <v>4768.1172999999999</v>
      </c>
      <c r="U49" s="32">
        <v>4768.1172999999999</v>
      </c>
      <c r="V49" s="32">
        <v>4768.1172999999999</v>
      </c>
      <c r="W49" s="32">
        <v>4768.1172999999999</v>
      </c>
      <c r="X49" s="32">
        <v>4768.1172999999999</v>
      </c>
      <c r="Y49" s="32">
        <v>4768.1172999999999</v>
      </c>
      <c r="Z49" s="32">
        <v>4768.1172999999999</v>
      </c>
      <c r="AA49" s="32">
        <v>4768.1172999999999</v>
      </c>
      <c r="AB49" s="32">
        <v>4768.1172999999999</v>
      </c>
      <c r="AC49" s="32">
        <v>4768.1172999999999</v>
      </c>
      <c r="AD49" s="32">
        <v>4768.1172999999999</v>
      </c>
      <c r="AE49" s="32">
        <v>4768.1172999999999</v>
      </c>
      <c r="AF49" s="32">
        <v>4768.1172999999999</v>
      </c>
      <c r="AG49" s="32">
        <v>4768.1172999999999</v>
      </c>
      <c r="AH49" s="32">
        <v>4768.1172999999999</v>
      </c>
      <c r="AI49" s="32">
        <v>4768.1172999999999</v>
      </c>
      <c r="AJ49" s="32">
        <v>4768.1172999999999</v>
      </c>
      <c r="AK49" s="32">
        <v>4768.1172999999999</v>
      </c>
      <c r="AL49" s="32">
        <v>4768.1172999999999</v>
      </c>
      <c r="AM49" s="32">
        <v>4768.1172999999999</v>
      </c>
      <c r="AN49" s="32">
        <v>4768.1172999999999</v>
      </c>
      <c r="AO49" s="32">
        <v>4768.1172999999999</v>
      </c>
      <c r="AP49" s="32">
        <v>4768.1172999999999</v>
      </c>
      <c r="AQ49" s="32">
        <v>4768.1172999999999</v>
      </c>
      <c r="AR49" s="32">
        <v>4768.1172999999999</v>
      </c>
      <c r="AS49" s="32">
        <v>4768.1172999999999</v>
      </c>
      <c r="AT49" s="32">
        <v>4768.1172999999999</v>
      </c>
      <c r="AU49" s="32">
        <v>4768.1172999999999</v>
      </c>
      <c r="AV49" s="32">
        <v>4768.1172999999999</v>
      </c>
      <c r="AW49" s="32">
        <v>4768.1172999999999</v>
      </c>
      <c r="AX49" s="32">
        <v>4768.1172999999999</v>
      </c>
      <c r="AY49" s="32">
        <v>4768.1172999999999</v>
      </c>
      <c r="AZ49" s="32">
        <v>4768.1172999999999</v>
      </c>
      <c r="BA49" s="32">
        <v>4768.1172999999999</v>
      </c>
      <c r="BB49" s="32">
        <v>4768.1172999999999</v>
      </c>
      <c r="BC49" s="32">
        <v>4768.1172999999999</v>
      </c>
      <c r="BD49" s="32">
        <v>4768.1172999999999</v>
      </c>
      <c r="BE49" s="32">
        <v>4768.1172999999999</v>
      </c>
      <c r="BF49" s="32">
        <v>4768.1172999999999</v>
      </c>
      <c r="BG49" s="32">
        <v>4768.1172999999999</v>
      </c>
      <c r="BH49" s="32">
        <v>4768.1172999999999</v>
      </c>
      <c r="BI49" s="32">
        <v>4884.6043623626811</v>
      </c>
      <c r="BJ49" s="32">
        <v>4884.6043623626811</v>
      </c>
      <c r="BK49" s="32">
        <v>4884.6043623626811</v>
      </c>
      <c r="BL49" s="32">
        <v>4884.6043623626811</v>
      </c>
      <c r="BM49" s="32">
        <v>4884.6043623626811</v>
      </c>
      <c r="BN49" s="32">
        <v>4884.6043623626811</v>
      </c>
      <c r="BO49" s="32">
        <v>4884.6043623626811</v>
      </c>
      <c r="BP49" s="32">
        <v>4884.6043623626811</v>
      </c>
      <c r="BQ49" s="32">
        <v>4884.6043623626811</v>
      </c>
      <c r="BR49" s="32">
        <v>4884.6043623626811</v>
      </c>
      <c r="BS49" s="32">
        <v>4884.6043623626811</v>
      </c>
      <c r="BT49" s="32">
        <v>4884.6043623626811</v>
      </c>
      <c r="BU49" s="32">
        <v>4884.6043623626811</v>
      </c>
      <c r="BV49" s="32">
        <v>4884.6043623626811</v>
      </c>
      <c r="BW49" s="32">
        <v>4884.6043623626811</v>
      </c>
      <c r="BX49" s="32">
        <v>4884.6043623626811</v>
      </c>
      <c r="BY49" s="32">
        <v>4884.6043623626811</v>
      </c>
      <c r="BZ49" s="32">
        <v>4884.6043623626811</v>
      </c>
      <c r="CA49" s="32">
        <v>4884.6043623626811</v>
      </c>
      <c r="CB49" s="32">
        <v>4884.6043623626811</v>
      </c>
      <c r="CC49" s="32">
        <v>4884.6043623626811</v>
      </c>
      <c r="CD49" s="32">
        <v>4884.6043623626811</v>
      </c>
      <c r="CE49" s="32">
        <v>4884.6043623626811</v>
      </c>
      <c r="CF49" s="32">
        <v>4884.6043623626811</v>
      </c>
      <c r="CG49" s="32">
        <v>4884.6043623626811</v>
      </c>
      <c r="CH49" s="32">
        <v>4884.6043623626811</v>
      </c>
      <c r="CI49" s="32">
        <v>4884.6043623626811</v>
      </c>
      <c r="CJ49" s="32">
        <v>4884.6043623626811</v>
      </c>
      <c r="CK49" s="32">
        <v>4884.6043623626811</v>
      </c>
      <c r="CL49" s="32">
        <v>4884.6043623626811</v>
      </c>
      <c r="CM49" s="32">
        <v>4884.6043623626811</v>
      </c>
      <c r="CN49" s="32">
        <v>4884.6043623626811</v>
      </c>
      <c r="CO49" s="32">
        <v>4884.6043623626811</v>
      </c>
      <c r="CP49" s="32">
        <v>4884.6043623626811</v>
      </c>
      <c r="CQ49" s="32">
        <v>4884.6043623626811</v>
      </c>
      <c r="CR49" s="32">
        <v>4884.6043623626811</v>
      </c>
      <c r="CS49" s="32">
        <v>4884.6043623626811</v>
      </c>
      <c r="CT49" s="32">
        <v>4884.6043623626811</v>
      </c>
      <c r="CU49" s="32">
        <v>4884.6043623626811</v>
      </c>
      <c r="CV49" s="32">
        <v>4884.6043623626811</v>
      </c>
      <c r="CW49" s="32">
        <v>4884.6043623626811</v>
      </c>
      <c r="CX49" s="32">
        <v>4884.6043623626811</v>
      </c>
      <c r="CY49" s="106">
        <v>4884.6043623626811</v>
      </c>
      <c r="CZ49" s="106">
        <v>4884.6043623626811</v>
      </c>
      <c r="DA49" s="32">
        <v>4884.6043623626811</v>
      </c>
      <c r="DB49" s="32">
        <v>4884.6043623626811</v>
      </c>
      <c r="DC49" s="32">
        <v>4884.6043623626811</v>
      </c>
      <c r="DD49" s="32">
        <v>4884.6043623626811</v>
      </c>
      <c r="DE49" s="32">
        <v>4884.6043623626811</v>
      </c>
      <c r="DF49" s="32">
        <v>4884.6043623626811</v>
      </c>
      <c r="DG49" s="32">
        <v>4884.6043623626811</v>
      </c>
      <c r="DH49" s="32">
        <v>4884.6043623626811</v>
      </c>
      <c r="DI49" s="32">
        <v>4884.6043623626811</v>
      </c>
      <c r="DJ49" s="32">
        <v>4884.6043623626811</v>
      </c>
      <c r="DK49" s="32">
        <v>4884.6043623626811</v>
      </c>
      <c r="DL49" s="32">
        <v>4884.6043623626811</v>
      </c>
      <c r="DM49" s="32">
        <v>4884.6043623626811</v>
      </c>
      <c r="DN49" s="32">
        <v>4884.6043623626811</v>
      </c>
      <c r="DO49" s="32">
        <v>4884.6043623626811</v>
      </c>
      <c r="DP49" s="32">
        <v>4884.6043623626811</v>
      </c>
      <c r="DQ49" s="32">
        <v>4884.6043623626811</v>
      </c>
      <c r="DR49" s="32">
        <v>5650.9573</v>
      </c>
      <c r="DS49" s="32">
        <v>5650.9573</v>
      </c>
      <c r="DT49" s="32">
        <v>5650.9573</v>
      </c>
      <c r="DU49" s="32">
        <v>5650.9573</v>
      </c>
      <c r="DV49" s="32">
        <v>5650.9573</v>
      </c>
      <c r="DW49" s="32">
        <v>5650.9573</v>
      </c>
      <c r="DX49" s="32">
        <v>5650.9573</v>
      </c>
      <c r="DY49" s="32">
        <v>5650.9573</v>
      </c>
      <c r="DZ49" s="32">
        <v>5650.9573</v>
      </c>
      <c r="EA49" s="32">
        <v>5650.9573</v>
      </c>
      <c r="EB49" s="32">
        <v>5650.9573</v>
      </c>
      <c r="EC49" s="32">
        <v>5650.9573</v>
      </c>
      <c r="ED49" s="32">
        <v>5650.9573</v>
      </c>
      <c r="EE49" s="32">
        <v>5650.9573</v>
      </c>
      <c r="EF49" s="32">
        <v>5650.9573</v>
      </c>
      <c r="EG49" s="32">
        <v>5650.9573</v>
      </c>
      <c r="EH49" s="32">
        <v>5650.9573</v>
      </c>
      <c r="EI49" s="32">
        <v>5650.9573</v>
      </c>
      <c r="EJ49" s="32">
        <v>5650.9573</v>
      </c>
      <c r="EK49" s="32">
        <v>5650.9573</v>
      </c>
      <c r="EL49" s="32">
        <v>5650.9573</v>
      </c>
      <c r="EM49" s="32">
        <v>5650.9573</v>
      </c>
      <c r="EN49" s="32">
        <v>5650.9573</v>
      </c>
      <c r="EO49" s="32">
        <v>5650.9573</v>
      </c>
      <c r="EP49" s="32">
        <v>5650.9573</v>
      </c>
      <c r="EQ49" s="32">
        <v>5650.9573</v>
      </c>
      <c r="ER49" s="32">
        <v>5650.9573</v>
      </c>
      <c r="ES49" s="32">
        <v>5650.9573</v>
      </c>
      <c r="ET49" s="32">
        <v>5650.9573</v>
      </c>
      <c r="EU49" s="32">
        <v>5650.9573</v>
      </c>
      <c r="EV49" s="32">
        <v>5650.9573</v>
      </c>
      <c r="EW49" s="32">
        <v>5650.9573</v>
      </c>
      <c r="EX49" s="32">
        <v>5650.9573</v>
      </c>
      <c r="EY49" s="32">
        <v>5650.9573</v>
      </c>
      <c r="EZ49" s="32">
        <v>5650.9573</v>
      </c>
      <c r="FA49" s="32">
        <v>5650.9573</v>
      </c>
      <c r="FB49" s="32">
        <v>5650.9573</v>
      </c>
      <c r="FC49" s="32">
        <v>5650.9573</v>
      </c>
      <c r="FD49" s="32">
        <v>5650.9573</v>
      </c>
      <c r="FE49" s="32">
        <v>5650.9573</v>
      </c>
      <c r="FF49" s="32">
        <v>5650.9573</v>
      </c>
      <c r="FG49" s="32">
        <v>5650.9573</v>
      </c>
      <c r="FH49" s="32">
        <v>5650.9573</v>
      </c>
      <c r="FI49" s="32">
        <v>5650.9573</v>
      </c>
      <c r="FJ49" s="32">
        <v>5650.9573</v>
      </c>
      <c r="FK49" s="32">
        <v>5650.9573</v>
      </c>
      <c r="FL49" s="32">
        <v>5650.9573</v>
      </c>
      <c r="FM49" s="32">
        <v>5650.9573</v>
      </c>
      <c r="FN49" s="32">
        <v>5650.9573</v>
      </c>
      <c r="FO49" s="32">
        <v>5650.9573</v>
      </c>
      <c r="FP49" s="32">
        <v>5650.9573</v>
      </c>
      <c r="FQ49" s="32">
        <v>5650.9573</v>
      </c>
      <c r="FR49" s="32">
        <v>5650.9573</v>
      </c>
      <c r="FS49" s="32">
        <v>5650.9573</v>
      </c>
      <c r="FT49" s="32">
        <v>5650.9573</v>
      </c>
      <c r="FU49" s="32">
        <v>5650.9573</v>
      </c>
      <c r="FV49" s="32">
        <v>5650.9573</v>
      </c>
      <c r="FW49" s="32">
        <v>5650.9573</v>
      </c>
      <c r="FX49" s="32">
        <v>5650.9573</v>
      </c>
      <c r="FY49" s="32">
        <v>5650.9573</v>
      </c>
      <c r="FZ49" s="32">
        <v>5650.9573</v>
      </c>
      <c r="GA49" s="32">
        <v>5710</v>
      </c>
      <c r="GB49" s="32">
        <v>5710</v>
      </c>
      <c r="GC49" s="32">
        <v>5710</v>
      </c>
      <c r="GD49" s="32">
        <v>5710</v>
      </c>
      <c r="GE49" s="32">
        <v>5710</v>
      </c>
      <c r="GF49" s="32">
        <v>5710</v>
      </c>
      <c r="GG49" s="32">
        <v>5710</v>
      </c>
      <c r="GH49" s="32">
        <v>5710</v>
      </c>
      <c r="GI49" s="32">
        <v>5710</v>
      </c>
      <c r="GJ49" s="32">
        <v>5710</v>
      </c>
      <c r="GK49" s="32">
        <v>5710</v>
      </c>
      <c r="GL49" s="32">
        <v>5710</v>
      </c>
      <c r="GM49" s="32">
        <v>5710</v>
      </c>
      <c r="GN49" s="32">
        <v>5710</v>
      </c>
      <c r="GO49" s="32">
        <v>5710</v>
      </c>
      <c r="GP49" s="32">
        <v>5710</v>
      </c>
      <c r="GQ49" s="32">
        <v>5710</v>
      </c>
      <c r="GR49" s="32">
        <v>5710</v>
      </c>
      <c r="GS49" s="32">
        <v>5710</v>
      </c>
      <c r="GT49" s="32">
        <v>5710</v>
      </c>
      <c r="GU49" s="32">
        <v>5710</v>
      </c>
      <c r="GV49" s="32">
        <v>5710</v>
      </c>
      <c r="GW49" s="32">
        <v>5710</v>
      </c>
      <c r="GX49" s="32">
        <v>5710</v>
      </c>
      <c r="GY49" s="32">
        <v>5710</v>
      </c>
      <c r="GZ49" s="32">
        <v>5710</v>
      </c>
      <c r="HA49" s="32">
        <v>5710</v>
      </c>
      <c r="HB49" s="32">
        <v>5710</v>
      </c>
      <c r="HC49" s="32">
        <v>5710</v>
      </c>
      <c r="HD49" s="32">
        <v>5710</v>
      </c>
      <c r="HE49" s="32">
        <v>5710</v>
      </c>
      <c r="HF49" s="32">
        <v>5710</v>
      </c>
      <c r="HG49" s="32">
        <v>5710</v>
      </c>
      <c r="HH49" s="32">
        <v>5710</v>
      </c>
      <c r="HI49" s="32">
        <v>5710</v>
      </c>
      <c r="HJ49" s="32">
        <v>5710</v>
      </c>
      <c r="HK49" s="32">
        <v>5710</v>
      </c>
      <c r="HL49" s="32">
        <v>5710</v>
      </c>
      <c r="HM49" s="32">
        <v>5710</v>
      </c>
      <c r="HN49" s="32">
        <v>5710</v>
      </c>
      <c r="HO49" s="32">
        <v>5710</v>
      </c>
      <c r="HP49" s="32">
        <v>5710</v>
      </c>
      <c r="HQ49" s="32">
        <v>5710</v>
      </c>
      <c r="HR49" s="32">
        <v>5710</v>
      </c>
      <c r="HS49" s="32">
        <v>5710</v>
      </c>
      <c r="HT49" s="32">
        <v>5710</v>
      </c>
      <c r="HU49" s="32">
        <v>5710</v>
      </c>
      <c r="HV49" s="32">
        <v>5710</v>
      </c>
      <c r="HW49" s="32">
        <v>5710</v>
      </c>
      <c r="HX49" s="32">
        <v>5710</v>
      </c>
      <c r="HY49" s="32">
        <v>5710</v>
      </c>
      <c r="HZ49" s="32">
        <v>5710</v>
      </c>
      <c r="IA49" s="32">
        <v>5710</v>
      </c>
      <c r="IB49" s="32">
        <v>5710</v>
      </c>
      <c r="IC49" s="32">
        <v>5710</v>
      </c>
      <c r="ID49" s="32">
        <v>5710</v>
      </c>
      <c r="IE49" s="32">
        <v>5710</v>
      </c>
      <c r="IF49" s="32">
        <v>5710</v>
      </c>
      <c r="IG49" s="32">
        <v>5710</v>
      </c>
      <c r="IH49" s="32">
        <v>5710</v>
      </c>
      <c r="II49" s="32">
        <v>5710</v>
      </c>
      <c r="IJ49" s="32">
        <v>5710</v>
      </c>
      <c r="IK49" s="32">
        <v>5787.1292999999996</v>
      </c>
      <c r="IL49" s="32">
        <v>5787.1292999999996</v>
      </c>
      <c r="IM49" s="32">
        <v>5787.1292999999996</v>
      </c>
      <c r="IN49" s="32">
        <v>5787.1292999999996</v>
      </c>
      <c r="IO49" s="32">
        <v>5787.1292999999996</v>
      </c>
      <c r="IP49" s="32">
        <v>5787.1292999999996</v>
      </c>
      <c r="IQ49" s="32">
        <v>5787.1292999999996</v>
      </c>
      <c r="IR49" s="32">
        <v>5787.1292999999996</v>
      </c>
      <c r="IS49" s="32">
        <v>5787.1292999999996</v>
      </c>
      <c r="IT49" s="32">
        <v>5787.1292999999996</v>
      </c>
      <c r="IU49" s="32">
        <v>5787.1292999999996</v>
      </c>
      <c r="IV49" s="32">
        <v>5787.1292999999996</v>
      </c>
      <c r="IW49" s="32">
        <v>5787.1292999999996</v>
      </c>
      <c r="IX49" s="32">
        <v>5787.1292999999996</v>
      </c>
      <c r="IY49" s="32">
        <v>5787.1292999999996</v>
      </c>
      <c r="IZ49" s="32">
        <v>5787.1292999999996</v>
      </c>
      <c r="JA49" s="32">
        <v>5787.1292999999996</v>
      </c>
      <c r="JB49" s="32">
        <v>5787.1292999999996</v>
      </c>
      <c r="JC49" s="32">
        <v>5787.1292999999996</v>
      </c>
      <c r="JD49" s="32">
        <v>5787.1292999999996</v>
      </c>
      <c r="JE49" s="32">
        <v>5787.1292999999996</v>
      </c>
      <c r="JF49" s="32">
        <v>5787.1292999999996</v>
      </c>
      <c r="JG49" s="32">
        <v>5787.1292999999996</v>
      </c>
      <c r="JH49" s="32">
        <v>5787.1292999999996</v>
      </c>
      <c r="JI49" s="32">
        <v>5787.1292999999996</v>
      </c>
      <c r="JJ49" s="32">
        <v>5787.1292999999996</v>
      </c>
      <c r="JK49" s="32">
        <v>5787.1292999999996</v>
      </c>
      <c r="JL49" s="32">
        <v>5787.1292999999996</v>
      </c>
      <c r="JM49" s="32">
        <v>5787.1292999999996</v>
      </c>
      <c r="JN49" s="32">
        <v>5787.1292999999996</v>
      </c>
      <c r="JO49" s="32">
        <v>5787.1292999999996</v>
      </c>
      <c r="JP49" s="32">
        <v>5787.1292999999996</v>
      </c>
      <c r="JQ49" s="32">
        <v>5787.1292999999996</v>
      </c>
      <c r="JR49" s="32">
        <v>5787.1292999999996</v>
      </c>
      <c r="JS49" s="32">
        <v>5787.1292999999996</v>
      </c>
      <c r="JT49" s="32">
        <v>5787.1292999999996</v>
      </c>
      <c r="JU49" s="32">
        <v>5787.1292999999996</v>
      </c>
      <c r="JV49" s="32">
        <v>5787.1292999999996</v>
      </c>
      <c r="JW49" s="32">
        <v>5787.1292999999996</v>
      </c>
      <c r="JX49" s="32">
        <v>5787.1292999999996</v>
      </c>
      <c r="JY49" s="32">
        <v>5787.1292999999996</v>
      </c>
      <c r="JZ49" s="32">
        <v>5787.1292999999996</v>
      </c>
      <c r="KA49" s="32">
        <v>5787.1292999999996</v>
      </c>
      <c r="KB49" s="32">
        <v>5787.1292999999996</v>
      </c>
      <c r="KC49" s="32">
        <v>5787.1292999999996</v>
      </c>
      <c r="KD49" s="32">
        <v>5787.1292999999996</v>
      </c>
      <c r="KE49" s="32">
        <v>5787.1292999999996</v>
      </c>
      <c r="KF49" s="32">
        <v>5787.1292999999996</v>
      </c>
      <c r="KG49" s="32">
        <v>5787.1292999999996</v>
      </c>
      <c r="KH49" s="32">
        <v>5787.1292999999996</v>
      </c>
      <c r="KI49" s="32">
        <v>5787.1292999999996</v>
      </c>
      <c r="KJ49" s="32">
        <v>5787.1292999999996</v>
      </c>
      <c r="KK49" s="32">
        <v>5787.1292999999996</v>
      </c>
      <c r="KL49" s="32">
        <v>5787.1292999999996</v>
      </c>
      <c r="KM49" s="32">
        <v>5787.1292999999996</v>
      </c>
      <c r="KN49" s="32">
        <v>5787.1292999999996</v>
      </c>
      <c r="KO49" s="32">
        <v>5787.1292999999996</v>
      </c>
      <c r="KP49" s="32">
        <v>5787.1292999999996</v>
      </c>
      <c r="KQ49" s="32">
        <v>5787.1292999999996</v>
      </c>
      <c r="KR49" s="32">
        <v>5787.1292999999996</v>
      </c>
      <c r="KS49" s="32">
        <v>5787.1292999999996</v>
      </c>
      <c r="KT49" s="32">
        <v>6056.6009000000004</v>
      </c>
      <c r="KU49" s="32">
        <v>6056.6009000000004</v>
      </c>
      <c r="KV49" s="32">
        <v>6056.6009000000004</v>
      </c>
      <c r="KW49" s="32">
        <v>6056.6009000000004</v>
      </c>
      <c r="KX49" s="32">
        <v>6056.6009000000004</v>
      </c>
      <c r="KY49" s="32">
        <v>6056.6009000000004</v>
      </c>
      <c r="KZ49" s="32">
        <v>6056.6009000000004</v>
      </c>
      <c r="LA49" s="32">
        <v>6056.6009000000004</v>
      </c>
      <c r="LB49" s="32">
        <v>6056.6009000000004</v>
      </c>
      <c r="LC49" s="32">
        <v>6056.6009000000004</v>
      </c>
      <c r="LD49" s="32">
        <v>6056.6009000000004</v>
      </c>
      <c r="LE49" s="32">
        <v>6056.6009000000004</v>
      </c>
      <c r="LF49" s="32">
        <v>6056.6009000000004</v>
      </c>
      <c r="LG49" s="32">
        <v>6056.6009000000004</v>
      </c>
      <c r="LH49" s="32">
        <v>6056.6009000000004</v>
      </c>
      <c r="LI49" s="32">
        <v>6056.6009000000004</v>
      </c>
      <c r="LJ49" s="32">
        <v>6056.6009000000004</v>
      </c>
      <c r="LK49" s="32">
        <v>6056.6009000000004</v>
      </c>
      <c r="LL49" s="32">
        <v>6056.6009000000004</v>
      </c>
      <c r="LM49" s="32">
        <v>6056.6009000000004</v>
      </c>
      <c r="LN49" s="32">
        <v>6056.6009000000004</v>
      </c>
      <c r="LO49" s="32">
        <v>6056.6009000000004</v>
      </c>
      <c r="LP49" s="32">
        <v>6056.6009000000004</v>
      </c>
      <c r="LQ49" s="32">
        <v>6056.6009000000004</v>
      </c>
      <c r="LR49" s="32">
        <v>6056.6009000000004</v>
      </c>
      <c r="LS49" s="32">
        <v>6056.6009000000004</v>
      </c>
      <c r="LT49" s="32">
        <v>6056.6009000000004</v>
      </c>
      <c r="LU49" s="32">
        <v>6056.6009000000004</v>
      </c>
      <c r="LV49" s="32">
        <v>6056.6009000000004</v>
      </c>
      <c r="LW49" s="32">
        <v>6056.6009000000004</v>
      </c>
      <c r="LX49" s="32">
        <v>6056.6009000000004</v>
      </c>
      <c r="LY49" s="32">
        <v>6056.6009000000004</v>
      </c>
      <c r="LZ49" s="32">
        <v>6056.6009000000004</v>
      </c>
      <c r="MA49" s="32">
        <v>6056.6009000000004</v>
      </c>
      <c r="MB49" s="32">
        <v>6056.6009000000004</v>
      </c>
      <c r="MC49" s="32">
        <v>6056.6009000000004</v>
      </c>
      <c r="MD49" s="32">
        <v>6056.6009000000004</v>
      </c>
      <c r="ME49" s="32">
        <v>6056.6009000000004</v>
      </c>
      <c r="MF49" s="32">
        <v>6056.6009000000004</v>
      </c>
      <c r="MG49" s="32">
        <v>6056.6009000000004</v>
      </c>
      <c r="MH49" s="32">
        <v>6056.6009000000004</v>
      </c>
      <c r="MI49" s="32">
        <v>6056.6009000000004</v>
      </c>
      <c r="MJ49" s="32">
        <v>6056.6009000000004</v>
      </c>
      <c r="MK49" s="32">
        <v>6056.6009000000004</v>
      </c>
      <c r="ML49" s="32">
        <v>6056.6009000000004</v>
      </c>
      <c r="MM49" s="32">
        <v>6056.6009000000004</v>
      </c>
      <c r="MN49" s="32">
        <v>6056.6009000000004</v>
      </c>
      <c r="MO49" s="32">
        <v>6056.6009000000004</v>
      </c>
      <c r="MP49" s="32">
        <v>6056.6009000000004</v>
      </c>
      <c r="MQ49" s="32">
        <v>6056.6009000000004</v>
      </c>
      <c r="MR49" s="32">
        <v>6056.6009000000004</v>
      </c>
      <c r="MS49" s="32">
        <v>6056.6009000000004</v>
      </c>
      <c r="MT49" s="32">
        <v>6056.6009000000004</v>
      </c>
      <c r="MU49" s="32">
        <v>6056.6009000000004</v>
      </c>
      <c r="MV49" s="32">
        <v>6056.6009000000004</v>
      </c>
      <c r="MW49" s="32">
        <v>6056.6009000000004</v>
      </c>
      <c r="MX49" s="32">
        <v>6056.6009000000004</v>
      </c>
      <c r="MY49" s="32">
        <v>6056.6009000000004</v>
      </c>
      <c r="MZ49" s="32">
        <v>6056.6009000000004</v>
      </c>
      <c r="NA49" s="32">
        <v>6056.6009000000004</v>
      </c>
      <c r="NB49" s="32">
        <v>6056.6009000000004</v>
      </c>
    </row>
    <row r="50" spans="1:36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66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</row>
    <row r="51" spans="1:366" s="5" customForma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55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</row>
    <row r="52" spans="1:366" hidden="1" x14ac:dyDescent="0.25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56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18"/>
      <c r="JN52" s="18"/>
      <c r="JO52" s="18"/>
      <c r="JP52" s="18"/>
      <c r="JQ52" s="18"/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/>
      <c r="LS52" s="18"/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</row>
    <row r="53" spans="1:366" hidden="1" x14ac:dyDescent="0.25"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56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</row>
    <row r="54" spans="1:366" hidden="1" x14ac:dyDescent="0.25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56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/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/>
      <c r="LB54" s="18"/>
      <c r="LC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/>
      <c r="LR54" s="18"/>
      <c r="LS54" s="18"/>
      <c r="LT54" s="18"/>
      <c r="LU54" s="18"/>
      <c r="LV54" s="18"/>
      <c r="LW54" s="18"/>
      <c r="LX54" s="18"/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/>
      <c r="MM54" s="18"/>
      <c r="MN54" s="18"/>
      <c r="MO54" s="18"/>
      <c r="MP54" s="18"/>
      <c r="MQ54" s="18"/>
      <c r="MR54" s="18"/>
      <c r="MS54" s="18"/>
      <c r="MT54" s="18"/>
      <c r="MU54" s="18"/>
      <c r="MV54" s="18"/>
      <c r="MW54" s="18"/>
      <c r="MX54" s="18"/>
      <c r="MY54" s="18"/>
      <c r="MZ54" s="18"/>
      <c r="NA54" s="18"/>
      <c r="NB54" s="18"/>
    </row>
    <row r="55" spans="1:366" hidden="1" x14ac:dyDescent="0.25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6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</row>
    <row r="56" spans="1:366" hidden="1" x14ac:dyDescent="0.25"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56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</row>
    <row r="57" spans="1:366" hidden="1" x14ac:dyDescent="0.25"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67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  <c r="JA57" s="49"/>
      <c r="JB57" s="49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49"/>
      <c r="KU57" s="49"/>
      <c r="KV57" s="49"/>
      <c r="KW57" s="49"/>
      <c r="KX57" s="49"/>
      <c r="KY57" s="49"/>
      <c r="KZ57" s="49"/>
      <c r="LA57" s="49"/>
      <c r="LB57" s="49"/>
      <c r="LC57" s="49"/>
      <c r="LD57" s="49"/>
      <c r="LE57" s="49"/>
      <c r="LF57" s="49"/>
      <c r="LG57" s="49"/>
      <c r="LH57" s="49"/>
      <c r="LI57" s="49"/>
      <c r="LJ57" s="49"/>
      <c r="LK57" s="49"/>
      <c r="LL57" s="49"/>
      <c r="LM57" s="49"/>
      <c r="LN57" s="49"/>
      <c r="LO57" s="49"/>
      <c r="LP57" s="49"/>
      <c r="LQ57" s="49"/>
      <c r="LR57" s="49"/>
      <c r="LS57" s="49"/>
      <c r="LT57" s="49"/>
      <c r="LU57" s="49"/>
      <c r="LV57" s="49"/>
      <c r="LW57" s="49"/>
      <c r="LX57" s="49"/>
      <c r="LY57" s="49"/>
      <c r="LZ57" s="49"/>
      <c r="MA57" s="49"/>
      <c r="MB57" s="49"/>
      <c r="MC57" s="49"/>
      <c r="MD57" s="49"/>
      <c r="ME57" s="49"/>
      <c r="MF57" s="49"/>
      <c r="MG57" s="49"/>
      <c r="MH57" s="49"/>
      <c r="MI57" s="49"/>
      <c r="MJ57" s="49"/>
      <c r="MK57" s="49"/>
      <c r="ML57" s="49"/>
      <c r="MM57" s="49"/>
      <c r="MN57" s="49"/>
      <c r="MO57" s="49"/>
      <c r="MP57" s="49"/>
      <c r="MQ57" s="49"/>
      <c r="MR57" s="49"/>
      <c r="MS57" s="49"/>
      <c r="MT57" s="49"/>
      <c r="MU57" s="49"/>
      <c r="MV57" s="49"/>
      <c r="MW57" s="49"/>
      <c r="MX57" s="49"/>
      <c r="MY57" s="49"/>
      <c r="MZ57" s="49"/>
      <c r="NA57" s="49"/>
      <c r="NB57" s="49"/>
    </row>
    <row r="58" spans="1:366" hidden="1" x14ac:dyDescent="0.25"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56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/>
      <c r="JG58" s="18"/>
      <c r="JH58" s="18"/>
      <c r="JI58" s="18"/>
      <c r="JJ58" s="18"/>
      <c r="JK58" s="18"/>
      <c r="JL58" s="18"/>
      <c r="JM58" s="18"/>
      <c r="JN58" s="18"/>
      <c r="JO58" s="18"/>
      <c r="JP58" s="18"/>
      <c r="JQ58" s="18"/>
      <c r="JR58" s="18"/>
      <c r="JS58" s="18"/>
      <c r="JT58" s="18"/>
      <c r="JU58" s="18"/>
      <c r="JV58" s="18"/>
      <c r="JW58" s="18"/>
      <c r="JX58" s="18"/>
      <c r="JY58" s="18"/>
      <c r="JZ58" s="18"/>
      <c r="KA58" s="18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/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8"/>
      <c r="LP58" s="18"/>
      <c r="LQ58" s="18"/>
      <c r="LR58" s="18"/>
      <c r="LS58" s="18"/>
      <c r="LT58" s="18"/>
      <c r="LU58" s="18"/>
      <c r="LV58" s="18"/>
      <c r="LW58" s="18"/>
      <c r="LX58" s="18"/>
      <c r="LY58" s="18"/>
      <c r="LZ58" s="18"/>
      <c r="MA58" s="18"/>
      <c r="MB58" s="18"/>
      <c r="MC58" s="18"/>
      <c r="MD58" s="18"/>
      <c r="ME58" s="18"/>
      <c r="MF58" s="18"/>
      <c r="MG58" s="18"/>
      <c r="MH58" s="18"/>
      <c r="MI58" s="18"/>
      <c r="MJ58" s="18"/>
      <c r="MK58" s="18"/>
      <c r="ML58" s="18"/>
      <c r="MM58" s="18"/>
      <c r="MN58" s="18"/>
      <c r="MO58" s="18"/>
      <c r="MP58" s="18"/>
      <c r="MQ58" s="18"/>
      <c r="MR58" s="18"/>
      <c r="MS58" s="18"/>
      <c r="MT58" s="18"/>
      <c r="MU58" s="18"/>
      <c r="MV58" s="18"/>
      <c r="MW58" s="18"/>
      <c r="MX58" s="18"/>
      <c r="MY58" s="18"/>
      <c r="MZ58" s="18"/>
      <c r="NA58" s="18"/>
      <c r="NB58" s="18"/>
    </row>
    <row r="59" spans="1:366" hidden="1" x14ac:dyDescent="0.25"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68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  <c r="IW59" s="50"/>
      <c r="IX59" s="50"/>
      <c r="IY59" s="50"/>
      <c r="IZ59" s="50"/>
      <c r="JA59" s="50"/>
      <c r="JB59" s="50"/>
      <c r="JC59" s="50"/>
      <c r="JD59" s="50"/>
      <c r="JE59" s="50"/>
      <c r="JF59" s="50"/>
      <c r="JG59" s="50"/>
      <c r="JH59" s="50"/>
      <c r="JI59" s="50"/>
      <c r="JJ59" s="50"/>
      <c r="JK59" s="50"/>
      <c r="JL59" s="50"/>
      <c r="JM59" s="50"/>
      <c r="JN59" s="50"/>
      <c r="JO59" s="50"/>
      <c r="JP59" s="50"/>
      <c r="JQ59" s="50"/>
      <c r="JR59" s="50"/>
      <c r="JS59" s="50"/>
      <c r="JT59" s="50"/>
      <c r="JU59" s="50"/>
      <c r="JV59" s="50"/>
      <c r="JW59" s="50"/>
      <c r="JX59" s="50"/>
      <c r="JY59" s="50"/>
      <c r="JZ59" s="50"/>
      <c r="KA59" s="50"/>
      <c r="KB59" s="50"/>
      <c r="KC59" s="50"/>
      <c r="KD59" s="50"/>
      <c r="KE59" s="50"/>
      <c r="KF59" s="50"/>
      <c r="KG59" s="50"/>
      <c r="KH59" s="50"/>
      <c r="KI59" s="50"/>
      <c r="KJ59" s="50"/>
      <c r="KK59" s="50"/>
      <c r="KL59" s="50"/>
      <c r="KM59" s="50"/>
      <c r="KN59" s="50"/>
      <c r="KO59" s="50"/>
      <c r="KP59" s="50"/>
      <c r="KQ59" s="50"/>
      <c r="KR59" s="50"/>
      <c r="KS59" s="50"/>
      <c r="KT59" s="50"/>
      <c r="KU59" s="50"/>
      <c r="KV59" s="50"/>
      <c r="KW59" s="50"/>
      <c r="KX59" s="50"/>
      <c r="KY59" s="50"/>
      <c r="KZ59" s="50"/>
      <c r="LA59" s="50"/>
      <c r="LB59" s="50"/>
      <c r="LC59" s="50"/>
      <c r="LD59" s="50"/>
      <c r="LE59" s="50"/>
      <c r="LF59" s="50"/>
      <c r="LG59" s="50"/>
      <c r="LH59" s="50"/>
      <c r="LI59" s="50"/>
      <c r="LJ59" s="50"/>
      <c r="LK59" s="50"/>
      <c r="LL59" s="50"/>
      <c r="LM59" s="50"/>
      <c r="LN59" s="50"/>
      <c r="LO59" s="50"/>
      <c r="LP59" s="50"/>
      <c r="LQ59" s="50"/>
      <c r="LR59" s="50"/>
      <c r="LS59" s="50"/>
      <c r="LT59" s="50"/>
      <c r="LU59" s="50"/>
      <c r="LV59" s="50"/>
      <c r="LW59" s="50"/>
      <c r="LX59" s="50"/>
      <c r="LY59" s="50"/>
      <c r="LZ59" s="50"/>
      <c r="MA59" s="50"/>
      <c r="MB59" s="50"/>
      <c r="MC59" s="50"/>
      <c r="MD59" s="50"/>
      <c r="ME59" s="50"/>
      <c r="MF59" s="50"/>
      <c r="MG59" s="50"/>
      <c r="MH59" s="50"/>
      <c r="MI59" s="50"/>
      <c r="MJ59" s="50"/>
      <c r="MK59" s="50"/>
      <c r="ML59" s="50"/>
      <c r="MM59" s="50"/>
      <c r="MN59" s="50"/>
      <c r="MO59" s="50"/>
      <c r="MP59" s="50"/>
      <c r="MQ59" s="50"/>
      <c r="MR59" s="50"/>
      <c r="MS59" s="50"/>
      <c r="MT59" s="50"/>
      <c r="MU59" s="50"/>
      <c r="MV59" s="50"/>
      <c r="MW59" s="50"/>
      <c r="MX59" s="50"/>
      <c r="MY59" s="50"/>
      <c r="MZ59" s="50"/>
      <c r="NA59" s="50"/>
      <c r="NB59" s="50"/>
    </row>
    <row r="60" spans="1:366" hidden="1" x14ac:dyDescent="0.25"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67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  <c r="HP60" s="49"/>
      <c r="HQ60" s="49"/>
      <c r="HR60" s="49"/>
      <c r="HS60" s="49"/>
      <c r="HT60" s="49"/>
      <c r="HU60" s="49"/>
      <c r="HV60" s="49"/>
      <c r="HW60" s="49"/>
      <c r="HX60" s="49"/>
      <c r="HY60" s="49"/>
      <c r="HZ60" s="49"/>
      <c r="IA60" s="49"/>
      <c r="IB60" s="49"/>
      <c r="IC60" s="49"/>
      <c r="ID60" s="49"/>
      <c r="IE60" s="49"/>
      <c r="IF60" s="49"/>
      <c r="IG60" s="49"/>
      <c r="IH60" s="49"/>
      <c r="II60" s="49"/>
      <c r="IJ60" s="49"/>
      <c r="IK60" s="49"/>
      <c r="IL60" s="49"/>
      <c r="IM60" s="49"/>
      <c r="IN60" s="49"/>
      <c r="IO60" s="49"/>
      <c r="IP60" s="49"/>
      <c r="IQ60" s="49"/>
      <c r="IR60" s="49"/>
      <c r="IS60" s="49"/>
      <c r="IT60" s="49"/>
      <c r="IU60" s="49"/>
      <c r="IV60" s="49"/>
      <c r="IW60" s="49"/>
      <c r="IX60" s="49"/>
      <c r="IY60" s="49"/>
      <c r="IZ60" s="49"/>
      <c r="JA60" s="49"/>
      <c r="JB60" s="49"/>
      <c r="JC60" s="49"/>
      <c r="JD60" s="49"/>
      <c r="JE60" s="49"/>
      <c r="JF60" s="49"/>
      <c r="JG60" s="49"/>
      <c r="JH60" s="49"/>
      <c r="JI60" s="49"/>
      <c r="JJ60" s="49"/>
      <c r="JK60" s="49"/>
      <c r="JL60" s="49"/>
      <c r="JM60" s="49"/>
      <c r="JN60" s="49"/>
      <c r="JO60" s="49"/>
      <c r="JP60" s="49"/>
      <c r="JQ60" s="49"/>
      <c r="JR60" s="49"/>
      <c r="JS60" s="49"/>
      <c r="JT60" s="49"/>
      <c r="JU60" s="49"/>
      <c r="JV60" s="49"/>
      <c r="JW60" s="49"/>
      <c r="JX60" s="49"/>
      <c r="JY60" s="49"/>
      <c r="JZ60" s="49"/>
      <c r="KA60" s="49"/>
      <c r="KB60" s="49"/>
      <c r="KC60" s="49"/>
      <c r="KD60" s="49"/>
      <c r="KE60" s="49"/>
      <c r="KF60" s="49"/>
      <c r="KG60" s="49"/>
      <c r="KH60" s="49"/>
      <c r="KI60" s="49"/>
      <c r="KJ60" s="49"/>
      <c r="KK60" s="49"/>
      <c r="KL60" s="49"/>
      <c r="KM60" s="49"/>
      <c r="KN60" s="49"/>
      <c r="KO60" s="49"/>
      <c r="KP60" s="49"/>
      <c r="KQ60" s="49"/>
      <c r="KR60" s="49"/>
      <c r="KS60" s="49"/>
      <c r="KT60" s="49"/>
      <c r="KU60" s="49"/>
      <c r="KV60" s="49"/>
      <c r="KW60" s="49"/>
      <c r="KX60" s="49"/>
      <c r="KY60" s="49"/>
      <c r="KZ60" s="49"/>
      <c r="LA60" s="49"/>
      <c r="LB60" s="49"/>
      <c r="LC60" s="49"/>
      <c r="LD60" s="49"/>
      <c r="LE60" s="49"/>
      <c r="LF60" s="49"/>
      <c r="LG60" s="49"/>
      <c r="LH60" s="49"/>
      <c r="LI60" s="49"/>
      <c r="LJ60" s="49"/>
      <c r="LK60" s="49"/>
      <c r="LL60" s="49"/>
      <c r="LM60" s="49"/>
      <c r="LN60" s="49"/>
      <c r="LO60" s="49"/>
      <c r="LP60" s="49"/>
      <c r="LQ60" s="49"/>
      <c r="LR60" s="49"/>
      <c r="LS60" s="49"/>
      <c r="LT60" s="49"/>
      <c r="LU60" s="49"/>
      <c r="LV60" s="49"/>
      <c r="LW60" s="49"/>
      <c r="LX60" s="49"/>
      <c r="LY60" s="49"/>
      <c r="LZ60" s="49"/>
      <c r="MA60" s="49"/>
      <c r="MB60" s="49"/>
      <c r="MC60" s="49"/>
      <c r="MD60" s="49"/>
      <c r="ME60" s="49"/>
      <c r="MF60" s="49"/>
      <c r="MG60" s="49"/>
      <c r="MH60" s="49"/>
      <c r="MI60" s="49"/>
      <c r="MJ60" s="49"/>
      <c r="MK60" s="49"/>
      <c r="ML60" s="49"/>
      <c r="MM60" s="49"/>
      <c r="MN60" s="49"/>
      <c r="MO60" s="49"/>
      <c r="MP60" s="49"/>
      <c r="MQ60" s="49"/>
      <c r="MR60" s="49"/>
      <c r="MS60" s="49"/>
      <c r="MT60" s="49"/>
      <c r="MU60" s="49"/>
      <c r="MV60" s="49"/>
      <c r="MW60" s="49"/>
      <c r="MX60" s="49"/>
      <c r="MY60" s="49"/>
      <c r="MZ60" s="49"/>
      <c r="NA60" s="49"/>
      <c r="NB60" s="49"/>
    </row>
    <row r="61" spans="1:366" hidden="1" x14ac:dyDescent="0.25"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68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/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/>
      <c r="LF61" s="50"/>
      <c r="LG61" s="50"/>
      <c r="LH61" s="50"/>
      <c r="LI61" s="50"/>
      <c r="LJ61" s="50"/>
      <c r="LK61" s="50"/>
      <c r="LL61" s="50"/>
      <c r="LM61" s="50"/>
      <c r="LN61" s="50"/>
      <c r="LO61" s="50"/>
      <c r="LP61" s="50"/>
      <c r="LQ61" s="50"/>
      <c r="LR61" s="50"/>
      <c r="LS61" s="50"/>
      <c r="LT61" s="50"/>
      <c r="LU61" s="50"/>
      <c r="LV61" s="50"/>
      <c r="LW61" s="50"/>
      <c r="LX61" s="50"/>
      <c r="LY61" s="50"/>
      <c r="LZ61" s="50"/>
      <c r="MA61" s="50"/>
      <c r="MB61" s="50"/>
      <c r="MC61" s="50"/>
      <c r="MD61" s="50"/>
      <c r="ME61" s="50"/>
      <c r="MF61" s="50"/>
      <c r="MG61" s="50"/>
      <c r="MH61" s="50"/>
      <c r="MI61" s="50"/>
      <c r="MJ61" s="50"/>
      <c r="MK61" s="50"/>
      <c r="ML61" s="50"/>
      <c r="MM61" s="50"/>
      <c r="MN61" s="50"/>
      <c r="MO61" s="50"/>
      <c r="MP61" s="50"/>
      <c r="MQ61" s="50"/>
      <c r="MR61" s="50"/>
      <c r="MS61" s="50"/>
      <c r="MT61" s="50"/>
      <c r="MU61" s="50"/>
      <c r="MV61" s="50"/>
      <c r="MW61" s="50"/>
      <c r="MX61" s="50"/>
      <c r="MY61" s="50"/>
      <c r="MZ61" s="50"/>
      <c r="NA61" s="50"/>
      <c r="NB61" s="50"/>
    </row>
    <row r="62" spans="1:366" hidden="1" x14ac:dyDescent="0.25"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68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/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/>
      <c r="LF62" s="50"/>
      <c r="LG62" s="50"/>
      <c r="LH62" s="50"/>
      <c r="LI62" s="50"/>
      <c r="LJ62" s="50"/>
      <c r="LK62" s="50"/>
      <c r="LL62" s="50"/>
      <c r="LM62" s="50"/>
      <c r="LN62" s="50"/>
      <c r="LO62" s="50"/>
      <c r="LP62" s="50"/>
      <c r="LQ62" s="50"/>
      <c r="LR62" s="50"/>
      <c r="LS62" s="50"/>
      <c r="LT62" s="50"/>
      <c r="LU62" s="50"/>
      <c r="LV62" s="50"/>
      <c r="LW62" s="50"/>
      <c r="LX62" s="50"/>
      <c r="LY62" s="50"/>
      <c r="LZ62" s="50"/>
      <c r="MA62" s="50"/>
      <c r="MB62" s="50"/>
      <c r="MC62" s="50"/>
      <c r="MD62" s="50"/>
      <c r="ME62" s="50"/>
      <c r="MF62" s="50"/>
      <c r="MG62" s="50"/>
      <c r="MH62" s="50"/>
      <c r="MI62" s="50"/>
      <c r="MJ62" s="50"/>
      <c r="MK62" s="50"/>
      <c r="ML62" s="50"/>
      <c r="MM62" s="50"/>
      <c r="MN62" s="50"/>
      <c r="MO62" s="50"/>
      <c r="MP62" s="50"/>
      <c r="MQ62" s="50"/>
      <c r="MR62" s="50"/>
      <c r="MS62" s="50"/>
      <c r="MT62" s="50"/>
      <c r="MU62" s="50"/>
      <c r="MV62" s="50"/>
      <c r="MW62" s="50"/>
      <c r="MX62" s="50"/>
      <c r="MY62" s="50"/>
      <c r="MZ62" s="50"/>
      <c r="NA62" s="50"/>
      <c r="NB62" s="50"/>
    </row>
    <row r="63" spans="1:366" hidden="1" x14ac:dyDescent="0.25"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69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  <c r="IX63" s="51"/>
      <c r="IY63" s="51"/>
      <c r="IZ63" s="51"/>
      <c r="JA63" s="51"/>
      <c r="JB63" s="51"/>
      <c r="JC63" s="51"/>
      <c r="JD63" s="51"/>
      <c r="JE63" s="51"/>
      <c r="JF63" s="51"/>
      <c r="JG63" s="51"/>
      <c r="JH63" s="51"/>
      <c r="JI63" s="51"/>
      <c r="JJ63" s="51"/>
      <c r="JK63" s="51"/>
      <c r="JL63" s="51"/>
      <c r="JM63" s="51"/>
      <c r="JN63" s="51"/>
      <c r="JO63" s="51"/>
      <c r="JP63" s="51"/>
      <c r="JQ63" s="51"/>
      <c r="JR63" s="51"/>
      <c r="JS63" s="51"/>
      <c r="JT63" s="51"/>
      <c r="JU63" s="51"/>
      <c r="JV63" s="51"/>
      <c r="JW63" s="51"/>
      <c r="JX63" s="51"/>
      <c r="JY63" s="51"/>
      <c r="JZ63" s="51"/>
      <c r="KA63" s="51"/>
      <c r="KB63" s="51"/>
      <c r="KC63" s="51"/>
      <c r="KD63" s="51"/>
      <c r="KE63" s="51"/>
      <c r="KF63" s="51"/>
      <c r="KG63" s="51"/>
      <c r="KH63" s="51"/>
      <c r="KI63" s="51"/>
      <c r="KJ63" s="51"/>
      <c r="KK63" s="51"/>
      <c r="KL63" s="51"/>
      <c r="KM63" s="51"/>
      <c r="KN63" s="51"/>
      <c r="KO63" s="51"/>
      <c r="KP63" s="51"/>
      <c r="KQ63" s="51"/>
      <c r="KR63" s="51"/>
      <c r="KS63" s="51"/>
      <c r="KT63" s="51"/>
      <c r="KU63" s="51"/>
      <c r="KV63" s="51"/>
      <c r="KW63" s="51"/>
      <c r="KX63" s="51"/>
      <c r="KY63" s="51"/>
      <c r="KZ63" s="51"/>
      <c r="LA63" s="51"/>
      <c r="LB63" s="51"/>
      <c r="LC63" s="51"/>
      <c r="LD63" s="51"/>
      <c r="LE63" s="51"/>
      <c r="LF63" s="51"/>
      <c r="LG63" s="51"/>
      <c r="LH63" s="51"/>
      <c r="LI63" s="51"/>
      <c r="LJ63" s="51"/>
      <c r="LK63" s="51"/>
      <c r="LL63" s="51"/>
      <c r="LM63" s="51"/>
      <c r="LN63" s="51"/>
      <c r="LO63" s="51"/>
      <c r="LP63" s="51"/>
      <c r="LQ63" s="51"/>
      <c r="LR63" s="51"/>
      <c r="LS63" s="51"/>
      <c r="LT63" s="51"/>
      <c r="LU63" s="51"/>
      <c r="LV63" s="51"/>
      <c r="LW63" s="51"/>
      <c r="LX63" s="51"/>
      <c r="LY63" s="51"/>
      <c r="LZ63" s="51"/>
      <c r="MA63" s="51"/>
      <c r="MB63" s="51"/>
      <c r="MC63" s="51"/>
      <c r="MD63" s="51"/>
      <c r="ME63" s="51"/>
      <c r="MF63" s="51"/>
      <c r="MG63" s="51"/>
      <c r="MH63" s="51"/>
      <c r="MI63" s="51"/>
      <c r="MJ63" s="51"/>
      <c r="MK63" s="51"/>
      <c r="ML63" s="51"/>
      <c r="MM63" s="51"/>
      <c r="MN63" s="51"/>
      <c r="MO63" s="51"/>
      <c r="MP63" s="51"/>
      <c r="MQ63" s="51"/>
      <c r="MR63" s="51"/>
      <c r="MS63" s="51"/>
      <c r="MT63" s="51"/>
      <c r="MU63" s="51"/>
      <c r="MV63" s="51"/>
      <c r="MW63" s="51"/>
      <c r="MX63" s="51"/>
      <c r="MY63" s="51"/>
      <c r="MZ63" s="51"/>
      <c r="NA63" s="51"/>
      <c r="NB63" s="51"/>
    </row>
    <row r="64" spans="1:366" hidden="1" x14ac:dyDescent="0.25"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70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</row>
    <row r="65" spans="6:366" hidden="1" x14ac:dyDescent="0.25"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67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  <c r="GR65" s="49"/>
      <c r="GS65" s="49"/>
      <c r="GT65" s="49"/>
      <c r="GU65" s="49"/>
      <c r="GV65" s="49"/>
      <c r="GW65" s="49"/>
      <c r="GX65" s="49"/>
      <c r="GY65" s="49"/>
      <c r="GZ65" s="49"/>
      <c r="HA65" s="49"/>
      <c r="HB65" s="49"/>
      <c r="HC65" s="49"/>
      <c r="HD65" s="49"/>
      <c r="HE65" s="49"/>
      <c r="HF65" s="49"/>
      <c r="HG65" s="49"/>
      <c r="HH65" s="49"/>
      <c r="HI65" s="49"/>
      <c r="HJ65" s="49"/>
      <c r="HK65" s="49"/>
      <c r="HL65" s="49"/>
      <c r="HM65" s="49"/>
      <c r="HN65" s="49"/>
      <c r="HO65" s="49"/>
      <c r="HP65" s="49"/>
      <c r="HQ65" s="49"/>
      <c r="HR65" s="49"/>
      <c r="HS65" s="49"/>
      <c r="HT65" s="49"/>
      <c r="HU65" s="49"/>
      <c r="HV65" s="49"/>
      <c r="HW65" s="49"/>
      <c r="HX65" s="49"/>
      <c r="HY65" s="49"/>
      <c r="HZ65" s="49"/>
      <c r="IA65" s="49"/>
      <c r="IB65" s="49"/>
      <c r="IC65" s="49"/>
      <c r="ID65" s="49"/>
      <c r="IE65" s="49"/>
      <c r="IF65" s="49"/>
      <c r="IG65" s="49"/>
      <c r="IH65" s="49"/>
      <c r="II65" s="49"/>
      <c r="IJ65" s="49"/>
      <c r="IK65" s="49"/>
      <c r="IL65" s="49"/>
      <c r="IM65" s="49"/>
      <c r="IN65" s="49"/>
      <c r="IO65" s="49"/>
      <c r="IP65" s="49"/>
      <c r="IQ65" s="49"/>
      <c r="IR65" s="49"/>
      <c r="IS65" s="49"/>
      <c r="IT65" s="49"/>
      <c r="IU65" s="49"/>
      <c r="IV65" s="49"/>
      <c r="IW65" s="49"/>
      <c r="IX65" s="49"/>
      <c r="IY65" s="49"/>
      <c r="IZ65" s="49"/>
      <c r="JA65" s="49"/>
      <c r="JB65" s="49"/>
      <c r="JC65" s="49"/>
      <c r="JD65" s="49"/>
      <c r="JE65" s="49"/>
      <c r="JF65" s="49"/>
      <c r="JG65" s="49"/>
      <c r="JH65" s="49"/>
      <c r="JI65" s="49"/>
      <c r="JJ65" s="49"/>
      <c r="JK65" s="49"/>
      <c r="JL65" s="49"/>
      <c r="JM65" s="49"/>
      <c r="JN65" s="49"/>
      <c r="JO65" s="49"/>
      <c r="JP65" s="49"/>
      <c r="JQ65" s="49"/>
      <c r="JR65" s="49"/>
      <c r="JS65" s="49"/>
      <c r="JT65" s="49"/>
      <c r="JU65" s="49"/>
      <c r="JV65" s="49"/>
      <c r="JW65" s="49"/>
      <c r="JX65" s="49"/>
      <c r="JY65" s="49"/>
      <c r="JZ65" s="49"/>
      <c r="KA65" s="49"/>
      <c r="KB65" s="49"/>
      <c r="KC65" s="49"/>
      <c r="KD65" s="49"/>
      <c r="KE65" s="49"/>
      <c r="KF65" s="49"/>
      <c r="KG65" s="49"/>
      <c r="KH65" s="49"/>
      <c r="KI65" s="49"/>
      <c r="KJ65" s="49"/>
      <c r="KK65" s="49"/>
      <c r="KL65" s="49"/>
      <c r="KM65" s="49"/>
      <c r="KN65" s="49"/>
      <c r="KO65" s="49"/>
      <c r="KP65" s="49"/>
      <c r="KQ65" s="49"/>
      <c r="KR65" s="49"/>
      <c r="KS65" s="49"/>
      <c r="KT65" s="49"/>
      <c r="KU65" s="49"/>
      <c r="KV65" s="49"/>
      <c r="KW65" s="49"/>
      <c r="KX65" s="49"/>
      <c r="KY65" s="49"/>
      <c r="KZ65" s="49"/>
      <c r="LA65" s="49"/>
      <c r="LB65" s="49"/>
      <c r="LC65" s="49"/>
      <c r="LD65" s="49"/>
      <c r="LE65" s="49"/>
      <c r="LF65" s="49"/>
      <c r="LG65" s="49"/>
      <c r="LH65" s="49"/>
      <c r="LI65" s="49"/>
      <c r="LJ65" s="49"/>
      <c r="LK65" s="49"/>
      <c r="LL65" s="49"/>
      <c r="LM65" s="49"/>
      <c r="LN65" s="49"/>
      <c r="LO65" s="49"/>
      <c r="LP65" s="49"/>
      <c r="LQ65" s="49"/>
      <c r="LR65" s="49"/>
      <c r="LS65" s="49"/>
      <c r="LT65" s="49"/>
      <c r="LU65" s="49"/>
      <c r="LV65" s="49"/>
      <c r="LW65" s="49"/>
      <c r="LX65" s="49"/>
      <c r="LY65" s="49"/>
      <c r="LZ65" s="49"/>
      <c r="MA65" s="49"/>
      <c r="MB65" s="49"/>
      <c r="MC65" s="49"/>
      <c r="MD65" s="49"/>
      <c r="ME65" s="49"/>
      <c r="MF65" s="49"/>
      <c r="MG65" s="49"/>
      <c r="MH65" s="49"/>
      <c r="MI65" s="49"/>
      <c r="MJ65" s="49"/>
      <c r="MK65" s="49"/>
      <c r="ML65" s="49"/>
      <c r="MM65" s="49"/>
      <c r="MN65" s="49"/>
      <c r="MO65" s="49"/>
      <c r="MP65" s="49"/>
      <c r="MQ65" s="49"/>
      <c r="MR65" s="49"/>
      <c r="MS65" s="49"/>
      <c r="MT65" s="49"/>
      <c r="MU65" s="49"/>
      <c r="MV65" s="49"/>
      <c r="MW65" s="49"/>
      <c r="MX65" s="49"/>
      <c r="MY65" s="49"/>
      <c r="MZ65" s="49"/>
      <c r="NA65" s="49"/>
      <c r="NB65" s="49"/>
    </row>
    <row r="66" spans="6:366" hidden="1" x14ac:dyDescent="0.25"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68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0"/>
      <c r="MJ66" s="50"/>
      <c r="MK66" s="50"/>
      <c r="ML66" s="50"/>
      <c r="MM66" s="50"/>
      <c r="MN66" s="50"/>
      <c r="MO66" s="50"/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/>
      <c r="NB66" s="50"/>
    </row>
    <row r="67" spans="6:366" hidden="1" x14ac:dyDescent="0.25"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69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  <c r="IX67" s="51"/>
      <c r="IY67" s="51"/>
      <c r="IZ67" s="51"/>
      <c r="JA67" s="51"/>
      <c r="JB67" s="51"/>
      <c r="JC67" s="51"/>
      <c r="JD67" s="51"/>
      <c r="JE67" s="51"/>
      <c r="JF67" s="51"/>
      <c r="JG67" s="51"/>
      <c r="JH67" s="51"/>
      <c r="JI67" s="51"/>
      <c r="JJ67" s="51"/>
      <c r="JK67" s="51"/>
      <c r="JL67" s="51"/>
      <c r="JM67" s="51"/>
      <c r="JN67" s="51"/>
      <c r="JO67" s="51"/>
      <c r="JP67" s="51"/>
      <c r="JQ67" s="51"/>
      <c r="JR67" s="51"/>
      <c r="JS67" s="51"/>
      <c r="JT67" s="51"/>
      <c r="JU67" s="51"/>
      <c r="JV67" s="51"/>
      <c r="JW67" s="51"/>
      <c r="JX67" s="51"/>
      <c r="JY67" s="51"/>
      <c r="JZ67" s="51"/>
      <c r="KA67" s="51"/>
      <c r="KB67" s="51"/>
      <c r="KC67" s="51"/>
      <c r="KD67" s="51"/>
      <c r="KE67" s="51"/>
      <c r="KF67" s="51"/>
      <c r="KG67" s="51"/>
      <c r="KH67" s="51"/>
      <c r="KI67" s="51"/>
      <c r="KJ67" s="51"/>
      <c r="KK67" s="51"/>
      <c r="KL67" s="51"/>
      <c r="KM67" s="51"/>
      <c r="KN67" s="51"/>
      <c r="KO67" s="51"/>
      <c r="KP67" s="51"/>
      <c r="KQ67" s="51"/>
      <c r="KR67" s="51"/>
      <c r="KS67" s="51"/>
      <c r="KT67" s="51"/>
      <c r="KU67" s="51"/>
      <c r="KV67" s="51"/>
      <c r="KW67" s="51"/>
      <c r="KX67" s="51"/>
      <c r="KY67" s="51"/>
      <c r="KZ67" s="51"/>
      <c r="LA67" s="51"/>
      <c r="LB67" s="51"/>
      <c r="LC67" s="51"/>
      <c r="LD67" s="51"/>
      <c r="LE67" s="51"/>
      <c r="LF67" s="51"/>
      <c r="LG67" s="51"/>
      <c r="LH67" s="51"/>
      <c r="LI67" s="51"/>
      <c r="LJ67" s="51"/>
      <c r="LK67" s="51"/>
      <c r="LL67" s="51"/>
      <c r="LM67" s="51"/>
      <c r="LN67" s="51"/>
      <c r="LO67" s="51"/>
      <c r="LP67" s="51"/>
      <c r="LQ67" s="51"/>
      <c r="LR67" s="51"/>
      <c r="LS67" s="51"/>
      <c r="LT67" s="51"/>
      <c r="LU67" s="51"/>
      <c r="LV67" s="51"/>
      <c r="LW67" s="51"/>
      <c r="LX67" s="51"/>
      <c r="LY67" s="51"/>
      <c r="LZ67" s="51"/>
      <c r="MA67" s="51"/>
      <c r="MB67" s="51"/>
      <c r="MC67" s="51"/>
      <c r="MD67" s="51"/>
      <c r="ME67" s="51"/>
      <c r="MF67" s="51"/>
      <c r="MG67" s="51"/>
      <c r="MH67" s="51"/>
      <c r="MI67" s="51"/>
      <c r="MJ67" s="51"/>
      <c r="MK67" s="51"/>
      <c r="ML67" s="51"/>
      <c r="MM67" s="51"/>
      <c r="MN67" s="51"/>
      <c r="MO67" s="51"/>
      <c r="MP67" s="51"/>
      <c r="MQ67" s="51"/>
      <c r="MR67" s="51"/>
      <c r="MS67" s="51"/>
      <c r="MT67" s="51"/>
      <c r="MU67" s="51"/>
      <c r="MV67" s="51"/>
      <c r="MW67" s="51"/>
      <c r="MX67" s="51"/>
      <c r="MY67" s="51"/>
      <c r="MZ67" s="51"/>
      <c r="NA67" s="51"/>
      <c r="NB67" s="51"/>
    </row>
    <row r="68" spans="6:366" hidden="1" x14ac:dyDescent="0.25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71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8"/>
      <c r="IU68" s="28"/>
      <c r="IV68" s="28"/>
      <c r="IW68" s="28"/>
      <c r="IX68" s="28"/>
      <c r="IY68" s="28"/>
      <c r="IZ68" s="28"/>
      <c r="JA68" s="28"/>
      <c r="JB68" s="28"/>
      <c r="JC68" s="28"/>
      <c r="JD68" s="28"/>
      <c r="JE68" s="28"/>
      <c r="JF68" s="28"/>
      <c r="JG68" s="28"/>
      <c r="JH68" s="28"/>
      <c r="JI68" s="28"/>
      <c r="JJ68" s="28"/>
      <c r="JK68" s="28"/>
      <c r="JL68" s="28"/>
      <c r="JM68" s="28"/>
      <c r="JN68" s="28"/>
      <c r="JO68" s="28"/>
      <c r="JP68" s="28"/>
      <c r="JQ68" s="28"/>
      <c r="JR68" s="28"/>
      <c r="JS68" s="28"/>
      <c r="JT68" s="28"/>
      <c r="JU68" s="28"/>
      <c r="JV68" s="28"/>
      <c r="JW68" s="28"/>
      <c r="JX68" s="28"/>
      <c r="JY68" s="28"/>
      <c r="JZ68" s="28"/>
      <c r="KA68" s="28"/>
      <c r="KB68" s="28"/>
      <c r="KC68" s="28"/>
      <c r="KD68" s="28"/>
      <c r="KE68" s="28"/>
      <c r="KF68" s="28"/>
      <c r="KG68" s="28"/>
      <c r="KH68" s="28"/>
      <c r="KI68" s="28"/>
      <c r="KJ68" s="28"/>
      <c r="KK68" s="28"/>
      <c r="KL68" s="28"/>
      <c r="KM68" s="28"/>
      <c r="KN68" s="28"/>
      <c r="KO68" s="28"/>
      <c r="KP68" s="28"/>
      <c r="KQ68" s="28"/>
      <c r="KR68" s="28"/>
      <c r="KS68" s="28"/>
      <c r="KT68" s="28"/>
      <c r="KU68" s="28"/>
      <c r="KV68" s="28"/>
      <c r="KW68" s="28"/>
      <c r="KX68" s="28"/>
      <c r="KY68" s="28"/>
      <c r="KZ68" s="28"/>
      <c r="LA68" s="28"/>
      <c r="LB68" s="28"/>
      <c r="LC68" s="28"/>
      <c r="LD68" s="28"/>
      <c r="LE68" s="28"/>
      <c r="LF68" s="28"/>
      <c r="LG68" s="28"/>
      <c r="LH68" s="28"/>
      <c r="LI68" s="28"/>
      <c r="LJ68" s="28"/>
      <c r="LK68" s="28"/>
      <c r="LL68" s="28"/>
      <c r="LM68" s="28"/>
      <c r="LN68" s="28"/>
      <c r="LO68" s="28"/>
      <c r="LP68" s="28"/>
      <c r="LQ68" s="28"/>
      <c r="LR68" s="28"/>
      <c r="LS68" s="28"/>
      <c r="LT68" s="28"/>
      <c r="LU68" s="28"/>
      <c r="LV68" s="28"/>
      <c r="LW68" s="28"/>
      <c r="LX68" s="28"/>
      <c r="LY68" s="28"/>
      <c r="LZ68" s="28"/>
      <c r="MA68" s="28"/>
      <c r="MB68" s="28"/>
      <c r="MC68" s="28"/>
      <c r="MD68" s="28"/>
      <c r="ME68" s="28"/>
      <c r="MF68" s="28"/>
      <c r="MG68" s="28"/>
      <c r="MH68" s="28"/>
      <c r="MI68" s="28"/>
      <c r="MJ68" s="28"/>
      <c r="MK68" s="28"/>
      <c r="ML68" s="28"/>
      <c r="MM68" s="28"/>
      <c r="MN68" s="28"/>
      <c r="MO68" s="28"/>
      <c r="MP68" s="28"/>
      <c r="MQ68" s="28"/>
      <c r="MR68" s="28"/>
      <c r="MS68" s="28"/>
      <c r="MT68" s="28"/>
      <c r="MU68" s="28"/>
      <c r="MV68" s="28"/>
      <c r="MW68" s="28"/>
      <c r="MX68" s="28"/>
      <c r="MY68" s="28"/>
      <c r="MZ68" s="28"/>
      <c r="NA68" s="28"/>
      <c r="NB68" s="28"/>
    </row>
    <row r="69" spans="6:366" hidden="1" x14ac:dyDescent="0.25"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72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  <c r="KT69" s="29"/>
      <c r="KU69" s="29"/>
      <c r="KV69" s="29"/>
      <c r="KW69" s="29"/>
      <c r="KX69" s="29"/>
      <c r="KY69" s="29"/>
      <c r="KZ69" s="29"/>
      <c r="LA69" s="29"/>
      <c r="LB69" s="29"/>
      <c r="LC69" s="29"/>
      <c r="LD69" s="29"/>
      <c r="LE69" s="29"/>
      <c r="LF69" s="29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29"/>
      <c r="LX69" s="29"/>
      <c r="LY69" s="29"/>
      <c r="LZ69" s="29"/>
      <c r="MA69" s="29"/>
      <c r="MB69" s="29"/>
      <c r="MC69" s="29"/>
      <c r="MD69" s="29"/>
      <c r="ME69" s="29"/>
      <c r="MF69" s="29"/>
      <c r="MG69" s="29"/>
      <c r="MH69" s="29"/>
      <c r="MI69" s="29"/>
      <c r="MJ69" s="29"/>
      <c r="MK69" s="29"/>
      <c r="ML69" s="29"/>
      <c r="MM69" s="29"/>
      <c r="MN69" s="29"/>
      <c r="MO69" s="29"/>
      <c r="MP69" s="29"/>
      <c r="MQ69" s="29"/>
      <c r="MR69" s="29"/>
      <c r="MS69" s="29"/>
      <c r="MT69" s="29"/>
      <c r="MU69" s="29"/>
      <c r="MV69" s="29"/>
      <c r="MW69" s="29"/>
      <c r="MX69" s="29"/>
      <c r="MY69" s="29"/>
      <c r="MZ69" s="29"/>
      <c r="NA69" s="29"/>
      <c r="NB69" s="29"/>
    </row>
    <row r="70" spans="6:366" hidden="1" x14ac:dyDescent="0.25"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72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  <c r="KT70" s="29"/>
      <c r="KU70" s="29"/>
      <c r="KV70" s="29"/>
      <c r="KW70" s="29"/>
      <c r="KX70" s="29"/>
      <c r="KY70" s="29"/>
      <c r="KZ70" s="29"/>
      <c r="LA70" s="29"/>
      <c r="LB70" s="29"/>
      <c r="LC70" s="29"/>
      <c r="LD70" s="29"/>
      <c r="LE70" s="29"/>
      <c r="LF70" s="29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29"/>
      <c r="LX70" s="29"/>
      <c r="LY70" s="29"/>
      <c r="LZ70" s="29"/>
      <c r="MA70" s="29"/>
      <c r="MB70" s="29"/>
      <c r="MC70" s="29"/>
      <c r="MD70" s="29"/>
      <c r="ME70" s="29"/>
      <c r="MF70" s="29"/>
      <c r="MG70" s="29"/>
      <c r="MH70" s="29"/>
      <c r="MI70" s="29"/>
      <c r="MJ70" s="29"/>
      <c r="MK70" s="29"/>
      <c r="ML70" s="29"/>
      <c r="MM70" s="29"/>
      <c r="MN70" s="29"/>
      <c r="MO70" s="29"/>
      <c r="MP70" s="29"/>
      <c r="MQ70" s="29"/>
      <c r="MR70" s="29"/>
      <c r="MS70" s="29"/>
      <c r="MT70" s="29"/>
      <c r="MU70" s="29"/>
      <c r="MV70" s="29"/>
      <c r="MW70" s="29"/>
      <c r="MX70" s="29"/>
      <c r="MY70" s="29"/>
      <c r="MZ70" s="29"/>
      <c r="NA70" s="29"/>
      <c r="NB70" s="29"/>
    </row>
    <row r="71" spans="6:366" hidden="1" x14ac:dyDescent="0.25"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72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29"/>
      <c r="JC71" s="29"/>
      <c r="JD71" s="29"/>
      <c r="JE71" s="29"/>
      <c r="JF71" s="29"/>
      <c r="JG71" s="29"/>
      <c r="JH71" s="29"/>
      <c r="JI71" s="29"/>
      <c r="JJ71" s="29"/>
      <c r="JK71" s="29"/>
      <c r="JL71" s="29"/>
      <c r="JM71" s="29"/>
      <c r="JN71" s="29"/>
      <c r="JO71" s="29"/>
      <c r="JP71" s="29"/>
      <c r="JQ71" s="29"/>
      <c r="JR71" s="29"/>
      <c r="JS71" s="29"/>
      <c r="JT71" s="29"/>
      <c r="JU71" s="29"/>
      <c r="JV71" s="29"/>
      <c r="JW71" s="29"/>
      <c r="JX71" s="29"/>
      <c r="JY71" s="29"/>
      <c r="JZ71" s="29"/>
      <c r="KA71" s="29"/>
      <c r="KB71" s="29"/>
      <c r="KC71" s="29"/>
      <c r="KD71" s="29"/>
      <c r="KE71" s="29"/>
      <c r="KF71" s="29"/>
      <c r="KG71" s="29"/>
      <c r="KH71" s="29"/>
      <c r="KI71" s="29"/>
      <c r="KJ71" s="29"/>
      <c r="KK71" s="29"/>
      <c r="KL71" s="29"/>
      <c r="KM71" s="29"/>
      <c r="KN71" s="29"/>
      <c r="KO71" s="29"/>
      <c r="KP71" s="29"/>
      <c r="KQ71" s="29"/>
      <c r="KR71" s="29"/>
      <c r="KS71" s="29"/>
      <c r="KT71" s="29"/>
      <c r="KU71" s="29"/>
      <c r="KV71" s="29"/>
      <c r="KW71" s="29"/>
      <c r="KX71" s="29"/>
      <c r="KY71" s="29"/>
      <c r="KZ71" s="29"/>
      <c r="LA71" s="29"/>
      <c r="LB71" s="29"/>
      <c r="LC71" s="29"/>
      <c r="LD71" s="29"/>
      <c r="LE71" s="29"/>
      <c r="LF71" s="29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29"/>
      <c r="LX71" s="29"/>
      <c r="LY71" s="29"/>
      <c r="LZ71" s="29"/>
      <c r="MA71" s="29"/>
      <c r="MB71" s="29"/>
      <c r="MC71" s="29"/>
      <c r="MD71" s="29"/>
      <c r="ME71" s="29"/>
      <c r="MF71" s="29"/>
      <c r="MG71" s="29"/>
      <c r="MH71" s="29"/>
      <c r="MI71" s="29"/>
      <c r="MJ71" s="29"/>
      <c r="MK71" s="29"/>
      <c r="ML71" s="29"/>
      <c r="MM71" s="29"/>
      <c r="MN71" s="29"/>
      <c r="MO71" s="29"/>
      <c r="MP71" s="29"/>
      <c r="MQ71" s="29"/>
      <c r="MR71" s="29"/>
      <c r="MS71" s="29"/>
      <c r="MT71" s="29"/>
      <c r="MU71" s="29"/>
      <c r="MV71" s="29"/>
      <c r="MW71" s="29"/>
      <c r="MX71" s="29"/>
      <c r="MY71" s="29"/>
      <c r="MZ71" s="29"/>
      <c r="NA71" s="29"/>
      <c r="NB71" s="29"/>
    </row>
    <row r="81" spans="13:13" hidden="1" x14ac:dyDescent="0.25">
      <c r="M81">
        <f>K81-J81</f>
        <v>0</v>
      </c>
    </row>
    <row r="105" spans="3:3" hidden="1" x14ac:dyDescent="0.25">
      <c r="C105" t="e">
        <f>HLOOKUP($F$3,Dados!$B$1:$NC$49,28,0)/HLOOKUP($F$3,Dados!$B$1:$NC$49,27,0)</f>
        <v>#N/A</v>
      </c>
    </row>
    <row r="140" spans="6:14" hidden="1" x14ac:dyDescent="0.25">
      <c r="F140">
        <v>0</v>
      </c>
      <c r="G140">
        <v>0</v>
      </c>
      <c r="M140">
        <v>0</v>
      </c>
      <c r="N140">
        <v>0</v>
      </c>
    </row>
    <row r="141" spans="6:14" hidden="1" x14ac:dyDescent="0.25">
      <c r="F141">
        <v>0</v>
      </c>
      <c r="G141">
        <v>0</v>
      </c>
      <c r="M141">
        <v>0</v>
      </c>
      <c r="N141">
        <v>0</v>
      </c>
    </row>
    <row r="142" spans="6:14" hidden="1" x14ac:dyDescent="0.25">
      <c r="F142">
        <v>0</v>
      </c>
      <c r="G142">
        <v>0</v>
      </c>
      <c r="M142">
        <v>0</v>
      </c>
      <c r="N142">
        <v>0</v>
      </c>
    </row>
    <row r="143" spans="6:14" hidden="1" x14ac:dyDescent="0.25">
      <c r="F143">
        <v>0</v>
      </c>
      <c r="G143">
        <v>2325</v>
      </c>
      <c r="M143">
        <v>0</v>
      </c>
      <c r="N143">
        <v>0</v>
      </c>
    </row>
    <row r="144" spans="6:14" hidden="1" x14ac:dyDescent="0.25">
      <c r="F144">
        <v>0</v>
      </c>
      <c r="G144">
        <v>0</v>
      </c>
      <c r="M144">
        <v>0</v>
      </c>
      <c r="N144">
        <v>0</v>
      </c>
    </row>
    <row r="145" spans="6:14" hidden="1" x14ac:dyDescent="0.25">
      <c r="F145">
        <v>0</v>
      </c>
      <c r="G145">
        <v>1440</v>
      </c>
      <c r="M145">
        <v>0</v>
      </c>
      <c r="N145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44"/>
  <sheetViews>
    <sheetView topLeftCell="F1" workbookViewId="0">
      <selection activeCell="F9" sqref="F9"/>
    </sheetView>
  </sheetViews>
  <sheetFormatPr defaultColWidth="0" defaultRowHeight="15" zeroHeight="1" x14ac:dyDescent="0.25"/>
  <cols>
    <col min="1" max="1" width="41" bestFit="1" customWidth="1"/>
    <col min="2" max="2" width="60.28515625" bestFit="1" customWidth="1"/>
    <col min="3" max="3" width="65.42578125" bestFit="1" customWidth="1"/>
    <col min="4" max="4" width="15.140625" bestFit="1" customWidth="1"/>
    <col min="5" max="5" width="55.85546875" bestFit="1" customWidth="1"/>
    <col min="6" max="6" width="155.140625" bestFit="1" customWidth="1"/>
    <col min="7" max="7" width="17.7109375" bestFit="1" customWidth="1"/>
    <col min="8" max="8" width="11.85546875" hidden="1" customWidth="1"/>
    <col min="9" max="16384" width="9.140625" hidden="1"/>
  </cols>
  <sheetData>
    <row r="1" spans="1:7" x14ac:dyDescent="0.25">
      <c r="A1" s="1" t="s">
        <v>130</v>
      </c>
      <c r="B1" s="1" t="s">
        <v>1</v>
      </c>
      <c r="C1" s="1" t="s">
        <v>4</v>
      </c>
      <c r="D1" s="1" t="s">
        <v>156</v>
      </c>
      <c r="E1" s="1" t="s">
        <v>136</v>
      </c>
    </row>
    <row r="2" spans="1:7" x14ac:dyDescent="0.25">
      <c r="A2" s="2" t="s">
        <v>72</v>
      </c>
      <c r="B2" s="2" t="s">
        <v>7</v>
      </c>
      <c r="C2" s="2" t="s">
        <v>14</v>
      </c>
      <c r="D2" s="2" t="s">
        <v>21</v>
      </c>
      <c r="E2" s="3" t="s">
        <v>135</v>
      </c>
      <c r="F2" s="2" t="s">
        <v>168</v>
      </c>
      <c r="G2" s="2"/>
    </row>
    <row r="3" spans="1:7" x14ac:dyDescent="0.25">
      <c r="A3" t="s">
        <v>73</v>
      </c>
      <c r="B3" t="s">
        <v>104</v>
      </c>
      <c r="C3" t="s">
        <v>20</v>
      </c>
      <c r="D3" t="s">
        <v>18</v>
      </c>
    </row>
    <row r="4" spans="1:7" x14ac:dyDescent="0.25">
      <c r="A4" s="2" t="s">
        <v>74</v>
      </c>
      <c r="B4" s="2" t="s">
        <v>12</v>
      </c>
      <c r="C4" s="2" t="s">
        <v>152</v>
      </c>
      <c r="D4" s="2" t="s">
        <v>9</v>
      </c>
      <c r="E4" s="3" t="s">
        <v>157</v>
      </c>
      <c r="F4" s="2" t="s">
        <v>149</v>
      </c>
      <c r="G4" s="2"/>
    </row>
    <row r="5" spans="1:7" x14ac:dyDescent="0.25">
      <c r="A5" t="s">
        <v>75</v>
      </c>
      <c r="B5" t="s">
        <v>11</v>
      </c>
      <c r="C5" t="s">
        <v>15</v>
      </c>
      <c r="D5" t="s">
        <v>9</v>
      </c>
      <c r="E5" s="4" t="s">
        <v>162</v>
      </c>
      <c r="F5" t="s">
        <v>149</v>
      </c>
    </row>
    <row r="6" spans="1:7" x14ac:dyDescent="0.25">
      <c r="A6" s="2" t="s">
        <v>76</v>
      </c>
      <c r="B6" s="2" t="s">
        <v>10</v>
      </c>
      <c r="C6" s="2" t="s">
        <v>150</v>
      </c>
      <c r="D6" s="2" t="s">
        <v>9</v>
      </c>
      <c r="E6" s="3" t="s">
        <v>163</v>
      </c>
      <c r="F6" s="2" t="s">
        <v>149</v>
      </c>
      <c r="G6" s="2"/>
    </row>
    <row r="7" spans="1:7" x14ac:dyDescent="0.25">
      <c r="A7" t="s">
        <v>77</v>
      </c>
      <c r="B7" t="s">
        <v>13</v>
      </c>
      <c r="C7" t="s">
        <v>27</v>
      </c>
      <c r="D7" t="s">
        <v>29</v>
      </c>
      <c r="E7" s="4" t="s">
        <v>141</v>
      </c>
      <c r="F7" t="s">
        <v>146</v>
      </c>
    </row>
    <row r="8" spans="1:7" x14ac:dyDescent="0.25">
      <c r="A8" s="2" t="s">
        <v>78</v>
      </c>
      <c r="B8" s="2" t="s">
        <v>7</v>
      </c>
      <c r="C8" s="2" t="s">
        <v>16</v>
      </c>
      <c r="D8" s="2" t="s">
        <v>17</v>
      </c>
      <c r="E8" s="3" t="s">
        <v>137</v>
      </c>
      <c r="F8" s="2"/>
      <c r="G8" s="2"/>
    </row>
    <row r="9" spans="1:7" x14ac:dyDescent="0.25">
      <c r="A9" t="s">
        <v>19</v>
      </c>
      <c r="B9" t="s">
        <v>13</v>
      </c>
      <c r="C9" t="s">
        <v>23</v>
      </c>
      <c r="D9" t="s">
        <v>22</v>
      </c>
      <c r="E9" s="4" t="s">
        <v>141</v>
      </c>
      <c r="F9" t="s">
        <v>144</v>
      </c>
    </row>
    <row r="10" spans="1:7" x14ac:dyDescent="0.25">
      <c r="A10" s="2" t="s">
        <v>79</v>
      </c>
      <c r="B10" s="2" t="s">
        <v>104</v>
      </c>
      <c r="C10" s="2" t="s">
        <v>24</v>
      </c>
      <c r="D10" s="2" t="s">
        <v>18</v>
      </c>
      <c r="E10" s="3"/>
      <c r="F10" s="2"/>
      <c r="G10" s="2"/>
    </row>
    <row r="11" spans="1:7" x14ac:dyDescent="0.25">
      <c r="A11" t="s">
        <v>36</v>
      </c>
      <c r="B11" t="s">
        <v>104</v>
      </c>
      <c r="C11" t="s">
        <v>128</v>
      </c>
      <c r="D11" t="s">
        <v>125</v>
      </c>
    </row>
    <row r="12" spans="1:7" x14ac:dyDescent="0.25">
      <c r="A12" s="2" t="s">
        <v>80</v>
      </c>
      <c r="B12" s="2" t="s">
        <v>13</v>
      </c>
      <c r="C12" s="2" t="s">
        <v>25</v>
      </c>
      <c r="D12" s="2" t="s">
        <v>22</v>
      </c>
      <c r="E12" s="3" t="s">
        <v>141</v>
      </c>
      <c r="F12" s="2" t="s">
        <v>144</v>
      </c>
      <c r="G12" s="2"/>
    </row>
    <row r="13" spans="1:7" x14ac:dyDescent="0.25">
      <c r="A13" t="s">
        <v>81</v>
      </c>
      <c r="B13" t="s">
        <v>104</v>
      </c>
      <c r="C13" t="s">
        <v>108</v>
      </c>
      <c r="D13" t="s">
        <v>18</v>
      </c>
    </row>
    <row r="14" spans="1:7" x14ac:dyDescent="0.25">
      <c r="A14" s="2" t="s">
        <v>82</v>
      </c>
      <c r="B14" s="2" t="s">
        <v>104</v>
      </c>
      <c r="C14" s="2" t="s">
        <v>26</v>
      </c>
      <c r="D14" s="2" t="s">
        <v>8</v>
      </c>
      <c r="E14" s="3"/>
      <c r="F14" s="2"/>
      <c r="G14" s="2"/>
    </row>
    <row r="15" spans="1:7" x14ac:dyDescent="0.25">
      <c r="A15" t="s">
        <v>126</v>
      </c>
      <c r="B15" t="s">
        <v>104</v>
      </c>
      <c r="C15" t="s">
        <v>127</v>
      </c>
      <c r="D15" t="s">
        <v>18</v>
      </c>
      <c r="E15" s="4" t="s">
        <v>141</v>
      </c>
      <c r="F15" t="s">
        <v>144</v>
      </c>
    </row>
    <row r="16" spans="1:7" x14ac:dyDescent="0.25">
      <c r="A16" s="2" t="s">
        <v>83</v>
      </c>
      <c r="B16" s="2" t="s">
        <v>13</v>
      </c>
      <c r="C16" s="2" t="s">
        <v>105</v>
      </c>
      <c r="D16" s="2" t="s">
        <v>22</v>
      </c>
      <c r="E16" s="3"/>
      <c r="F16" s="2"/>
      <c r="G16" s="2"/>
    </row>
    <row r="17" spans="1:7" x14ac:dyDescent="0.25">
      <c r="A17" t="s">
        <v>84</v>
      </c>
      <c r="B17" t="s">
        <v>104</v>
      </c>
      <c r="C17" t="s">
        <v>107</v>
      </c>
      <c r="D17" t="s">
        <v>18</v>
      </c>
    </row>
    <row r="18" spans="1:7" x14ac:dyDescent="0.25">
      <c r="A18" s="2" t="s">
        <v>85</v>
      </c>
      <c r="B18" s="2" t="s">
        <v>104</v>
      </c>
      <c r="C18" s="2" t="s">
        <v>106</v>
      </c>
      <c r="D18" s="2" t="s">
        <v>8</v>
      </c>
      <c r="E18" s="3"/>
      <c r="F18" s="2"/>
      <c r="G18" s="2"/>
    </row>
    <row r="19" spans="1:7" x14ac:dyDescent="0.25">
      <c r="A19" t="s">
        <v>0</v>
      </c>
      <c r="B19" t="s">
        <v>3</v>
      </c>
      <c r="C19" t="s">
        <v>139</v>
      </c>
      <c r="D19" t="s">
        <v>109</v>
      </c>
      <c r="E19" s="4" t="s">
        <v>138</v>
      </c>
    </row>
    <row r="20" spans="1:7" x14ac:dyDescent="0.25">
      <c r="A20" s="2" t="s">
        <v>86</v>
      </c>
      <c r="B20" s="2" t="s">
        <v>13</v>
      </c>
      <c r="C20" s="2" t="s">
        <v>111</v>
      </c>
      <c r="D20" s="2" t="s">
        <v>6</v>
      </c>
      <c r="E20" s="3" t="s">
        <v>141</v>
      </c>
      <c r="F20" s="2" t="s">
        <v>145</v>
      </c>
      <c r="G20" s="2" t="s">
        <v>164</v>
      </c>
    </row>
    <row r="21" spans="1:7" x14ac:dyDescent="0.25">
      <c r="A21" t="s">
        <v>87</v>
      </c>
      <c r="B21" t="s">
        <v>13</v>
      </c>
      <c r="C21" t="s">
        <v>110</v>
      </c>
      <c r="D21" t="s">
        <v>6</v>
      </c>
      <c r="E21" s="4" t="s">
        <v>141</v>
      </c>
      <c r="F21" t="s">
        <v>145</v>
      </c>
      <c r="G21" t="s">
        <v>164</v>
      </c>
    </row>
    <row r="22" spans="1:7" x14ac:dyDescent="0.25">
      <c r="A22" s="2" t="s">
        <v>88</v>
      </c>
      <c r="B22" s="2" t="s">
        <v>13</v>
      </c>
      <c r="C22" s="2" t="s">
        <v>112</v>
      </c>
      <c r="D22" s="2" t="s">
        <v>6</v>
      </c>
      <c r="E22" s="3" t="s">
        <v>141</v>
      </c>
      <c r="F22" s="2" t="s">
        <v>145</v>
      </c>
      <c r="G22" s="2" t="s">
        <v>164</v>
      </c>
    </row>
    <row r="23" spans="1:7" x14ac:dyDescent="0.25">
      <c r="A23" t="s">
        <v>89</v>
      </c>
      <c r="B23" t="s">
        <v>13</v>
      </c>
      <c r="C23" t="s">
        <v>113</v>
      </c>
      <c r="D23" t="s">
        <v>6</v>
      </c>
      <c r="E23" s="4" t="s">
        <v>141</v>
      </c>
      <c r="F23" t="s">
        <v>145</v>
      </c>
      <c r="G23" t="s">
        <v>164</v>
      </c>
    </row>
    <row r="24" spans="1:7" x14ac:dyDescent="0.25">
      <c r="A24" s="2" t="s">
        <v>154</v>
      </c>
      <c r="B24" s="2" t="s">
        <v>13</v>
      </c>
      <c r="C24" s="2" t="s">
        <v>155</v>
      </c>
      <c r="D24" s="2" t="s">
        <v>6</v>
      </c>
      <c r="E24" s="3" t="s">
        <v>141</v>
      </c>
      <c r="F24" s="2" t="s">
        <v>145</v>
      </c>
      <c r="G24" s="2" t="s">
        <v>164</v>
      </c>
    </row>
    <row r="25" spans="1:7" x14ac:dyDescent="0.25">
      <c r="A25" t="s">
        <v>90</v>
      </c>
      <c r="B25" t="s">
        <v>114</v>
      </c>
      <c r="C25" t="s">
        <v>115</v>
      </c>
      <c r="D25" t="s">
        <v>8</v>
      </c>
    </row>
    <row r="26" spans="1:7" x14ac:dyDescent="0.25">
      <c r="A26" s="2" t="s">
        <v>101</v>
      </c>
      <c r="B26" s="2" t="s">
        <v>114</v>
      </c>
      <c r="C26" s="2" t="s">
        <v>116</v>
      </c>
      <c r="D26" s="2" t="s">
        <v>8</v>
      </c>
      <c r="E26" s="3"/>
      <c r="F26" s="2"/>
      <c r="G26" s="2"/>
    </row>
    <row r="27" spans="1:7" x14ac:dyDescent="0.25">
      <c r="A27" t="s">
        <v>102</v>
      </c>
      <c r="B27" t="s">
        <v>104</v>
      </c>
      <c r="C27" t="s">
        <v>28</v>
      </c>
      <c r="D27" t="s">
        <v>18</v>
      </c>
    </row>
    <row r="28" spans="1:7" x14ac:dyDescent="0.25">
      <c r="A28" s="2" t="s">
        <v>33</v>
      </c>
      <c r="B28" s="2" t="s">
        <v>104</v>
      </c>
      <c r="C28" s="2" t="s">
        <v>129</v>
      </c>
      <c r="D28" s="2" t="s">
        <v>125</v>
      </c>
      <c r="E28" s="3"/>
      <c r="F28" s="2"/>
      <c r="G28" s="2"/>
    </row>
    <row r="29" spans="1:7" x14ac:dyDescent="0.25">
      <c r="A29" t="s">
        <v>103</v>
      </c>
      <c r="B29" t="s">
        <v>104</v>
      </c>
      <c r="C29" t="s">
        <v>124</v>
      </c>
      <c r="D29" t="s">
        <v>123</v>
      </c>
    </row>
    <row r="30" spans="1:7" x14ac:dyDescent="0.25">
      <c r="A30" s="2" t="s">
        <v>91</v>
      </c>
      <c r="B30" s="2" t="s">
        <v>13</v>
      </c>
      <c r="C30" s="2" t="s">
        <v>117</v>
      </c>
      <c r="D30" s="2" t="s">
        <v>8</v>
      </c>
      <c r="E30" s="3" t="s">
        <v>141</v>
      </c>
      <c r="F30" s="2" t="s">
        <v>158</v>
      </c>
      <c r="G30" s="2" t="s">
        <v>151</v>
      </c>
    </row>
    <row r="31" spans="1:7" x14ac:dyDescent="0.25">
      <c r="A31" t="s">
        <v>132</v>
      </c>
      <c r="B31" t="s">
        <v>13</v>
      </c>
      <c r="C31" t="s">
        <v>133</v>
      </c>
      <c r="D31" t="s">
        <v>8</v>
      </c>
      <c r="E31" s="4" t="s">
        <v>141</v>
      </c>
      <c r="F31" t="s">
        <v>158</v>
      </c>
      <c r="G31" t="s">
        <v>151</v>
      </c>
    </row>
    <row r="32" spans="1:7" x14ac:dyDescent="0.25">
      <c r="A32" s="2" t="s">
        <v>131</v>
      </c>
      <c r="B32" s="2" t="s">
        <v>13</v>
      </c>
      <c r="C32" s="2" t="s">
        <v>134</v>
      </c>
      <c r="D32" s="2" t="s">
        <v>8</v>
      </c>
      <c r="E32" s="3" t="s">
        <v>141</v>
      </c>
      <c r="F32" s="2" t="s">
        <v>158</v>
      </c>
      <c r="G32" s="2" t="s">
        <v>151</v>
      </c>
    </row>
    <row r="33" spans="1:7" x14ac:dyDescent="0.25">
      <c r="A33" t="s">
        <v>92</v>
      </c>
      <c r="B33" t="s">
        <v>30</v>
      </c>
      <c r="C33" t="s">
        <v>31</v>
      </c>
      <c r="D33" t="s">
        <v>32</v>
      </c>
      <c r="E33" s="4" t="s">
        <v>140</v>
      </c>
      <c r="F33" t="s">
        <v>148</v>
      </c>
    </row>
    <row r="34" spans="1:7" x14ac:dyDescent="0.25">
      <c r="A34" s="2" t="s">
        <v>93</v>
      </c>
      <c r="B34" s="2" t="s">
        <v>13</v>
      </c>
      <c r="C34" s="2" t="s">
        <v>34</v>
      </c>
      <c r="D34" s="2" t="s">
        <v>32</v>
      </c>
      <c r="E34" s="3" t="s">
        <v>141</v>
      </c>
      <c r="F34" s="2" t="s">
        <v>142</v>
      </c>
      <c r="G34" s="2"/>
    </row>
    <row r="35" spans="1:7" x14ac:dyDescent="0.25">
      <c r="A35" t="s">
        <v>94</v>
      </c>
      <c r="B35" t="s">
        <v>13</v>
      </c>
      <c r="C35" t="s">
        <v>118</v>
      </c>
      <c r="D35" t="s">
        <v>8</v>
      </c>
      <c r="E35" s="4" t="s">
        <v>141</v>
      </c>
      <c r="F35" t="s">
        <v>143</v>
      </c>
    </row>
    <row r="36" spans="1:7" x14ac:dyDescent="0.25">
      <c r="A36" s="2" t="s">
        <v>95</v>
      </c>
      <c r="B36" s="2" t="s">
        <v>71</v>
      </c>
      <c r="C36" s="2" t="s">
        <v>119</v>
      </c>
      <c r="D36" s="2" t="s">
        <v>8</v>
      </c>
      <c r="E36" s="3"/>
      <c r="F36" s="2"/>
      <c r="G36" s="2"/>
    </row>
    <row r="37" spans="1:7" x14ac:dyDescent="0.25">
      <c r="A37" t="s">
        <v>96</v>
      </c>
      <c r="B37" t="s">
        <v>120</v>
      </c>
      <c r="C37" t="s">
        <v>165</v>
      </c>
      <c r="D37" t="s">
        <v>8</v>
      </c>
    </row>
    <row r="38" spans="1:7" x14ac:dyDescent="0.25">
      <c r="A38" s="2" t="s">
        <v>97</v>
      </c>
      <c r="B38" s="2" t="s">
        <v>120</v>
      </c>
      <c r="C38" s="2" t="s">
        <v>166</v>
      </c>
      <c r="D38" s="2" t="s">
        <v>8</v>
      </c>
      <c r="E38" s="3"/>
      <c r="F38" s="2"/>
      <c r="G38" s="2"/>
    </row>
    <row r="39" spans="1:7" x14ac:dyDescent="0.25">
      <c r="A39" t="s">
        <v>98</v>
      </c>
      <c r="B39" t="s">
        <v>120</v>
      </c>
      <c r="C39" t="s">
        <v>167</v>
      </c>
      <c r="D39" t="s">
        <v>8</v>
      </c>
    </row>
    <row r="40" spans="1:7" x14ac:dyDescent="0.25">
      <c r="A40" s="2" t="s">
        <v>153</v>
      </c>
      <c r="B40" s="2" t="s">
        <v>120</v>
      </c>
      <c r="C40" s="2" t="s">
        <v>159</v>
      </c>
      <c r="D40" s="2" t="s">
        <v>8</v>
      </c>
      <c r="E40" s="3"/>
      <c r="F40" s="2"/>
      <c r="G40" s="2"/>
    </row>
    <row r="41" spans="1:7" x14ac:dyDescent="0.25">
      <c r="A41" t="s">
        <v>160</v>
      </c>
      <c r="B41" t="s">
        <v>7</v>
      </c>
      <c r="C41" t="s">
        <v>35</v>
      </c>
      <c r="D41" t="s">
        <v>18</v>
      </c>
      <c r="E41" t="s">
        <v>137</v>
      </c>
      <c r="F41" t="s">
        <v>169</v>
      </c>
    </row>
    <row r="42" spans="1:7" x14ac:dyDescent="0.25">
      <c r="A42" s="2"/>
      <c r="B42" s="2"/>
      <c r="C42" s="2"/>
      <c r="D42" s="2"/>
      <c r="E42" s="3"/>
      <c r="F42" s="2"/>
      <c r="G42" s="2"/>
    </row>
    <row r="43" spans="1:7" x14ac:dyDescent="0.25">
      <c r="A43" t="s">
        <v>99</v>
      </c>
      <c r="B43" t="s">
        <v>2</v>
      </c>
      <c r="C43" t="s">
        <v>121</v>
      </c>
      <c r="D43" t="s">
        <v>5</v>
      </c>
    </row>
    <row r="44" spans="1:7" x14ac:dyDescent="0.25">
      <c r="A44" s="2" t="s">
        <v>100</v>
      </c>
      <c r="B44" s="2" t="s">
        <v>2</v>
      </c>
      <c r="C44" s="2" t="s">
        <v>122</v>
      </c>
      <c r="D44" s="2" t="s">
        <v>5</v>
      </c>
      <c r="E44" s="3"/>
      <c r="F44" s="2"/>
      <c r="G44" s="2"/>
    </row>
  </sheetData>
  <autoFilter ref="A1:H44"/>
  <hyperlinks>
    <hyperlink ref="E41" r:id="rId1"/>
    <hyperlink ref="E8" r:id="rId2"/>
    <hyperlink ref="E2" r:id="rId3"/>
    <hyperlink ref="E7" r:id="rId4"/>
    <hyperlink ref="E19" r:id="rId5"/>
    <hyperlink ref="E35" r:id="rId6"/>
    <hyperlink ref="E33" r:id="rId7"/>
    <hyperlink ref="E4" r:id="rId8"/>
    <hyperlink ref="E31" r:id="rId9"/>
    <hyperlink ref="E23" r:id="rId10"/>
    <hyperlink ref="E9" r:id="rId11"/>
    <hyperlink ref="E15" r:id="rId12"/>
    <hyperlink ref="E21" r:id="rId13"/>
    <hyperlink ref="E20" r:id="rId14"/>
    <hyperlink ref="E34" r:id="rId15"/>
    <hyperlink ref="E5" r:id="rId16"/>
    <hyperlink ref="E6" r:id="rId17"/>
    <hyperlink ref="E12" r:id="rId18"/>
    <hyperlink ref="E24" r:id="rId19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1:J24"/>
  <sheetViews>
    <sheetView workbookViewId="0">
      <selection activeCell="G7" sqref="G7:I16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5" max="9" width="9.140625" customWidth="1"/>
    <col min="10" max="10" width="9.5703125" customWidth="1"/>
  </cols>
  <sheetData>
    <row r="1" spans="2:10" s="5" customFormat="1" ht="15.75" thickBot="1" x14ac:dyDescent="0.3"/>
    <row r="2" spans="2:10" s="5" customFormat="1" ht="15.75" thickBot="1" x14ac:dyDescent="0.3">
      <c r="B2" s="109" t="s">
        <v>37</v>
      </c>
      <c r="C2" s="110"/>
      <c r="D2" s="111"/>
    </row>
    <row r="3" spans="2:10" s="5" customFormat="1" x14ac:dyDescent="0.25">
      <c r="B3" s="7" t="s">
        <v>38</v>
      </c>
      <c r="C3" s="8" t="s">
        <v>39</v>
      </c>
      <c r="D3" s="9" t="s">
        <v>40</v>
      </c>
    </row>
    <row r="4" spans="2:10" s="5" customFormat="1" x14ac:dyDescent="0.25">
      <c r="B4" s="7" t="s">
        <v>41</v>
      </c>
      <c r="C4" s="8" t="s">
        <v>42</v>
      </c>
      <c r="D4" s="9" t="s">
        <v>43</v>
      </c>
    </row>
    <row r="5" spans="2:10" s="5" customFormat="1" x14ac:dyDescent="0.25">
      <c r="B5" s="7" t="s">
        <v>44</v>
      </c>
      <c r="C5" s="8" t="s">
        <v>45</v>
      </c>
      <c r="D5" s="9"/>
    </row>
    <row r="6" spans="2:10" s="5" customFormat="1" x14ac:dyDescent="0.25">
      <c r="B6" s="7" t="s">
        <v>46</v>
      </c>
      <c r="C6" s="8" t="s">
        <v>47</v>
      </c>
      <c r="D6" s="9"/>
    </row>
    <row r="7" spans="2:10" s="5" customFormat="1" ht="15.75" thickBot="1" x14ac:dyDescent="0.3">
      <c r="B7" s="10"/>
      <c r="D7" s="11"/>
    </row>
    <row r="8" spans="2:10" s="5" customFormat="1" ht="15" customHeight="1" thickBot="1" x14ac:dyDescent="0.3">
      <c r="B8" s="109" t="s">
        <v>48</v>
      </c>
      <c r="C8" s="110"/>
      <c r="D8" s="111"/>
      <c r="J8" s="6"/>
    </row>
    <row r="9" spans="2:10" s="5" customFormat="1" x14ac:dyDescent="0.25">
      <c r="B9" s="7" t="s">
        <v>49</v>
      </c>
      <c r="C9" s="8" t="s">
        <v>50</v>
      </c>
      <c r="D9" s="11"/>
      <c r="J9" s="6"/>
    </row>
    <row r="10" spans="2:10" s="5" customFormat="1" x14ac:dyDescent="0.25">
      <c r="B10" s="7" t="s">
        <v>51</v>
      </c>
      <c r="C10" s="8" t="s">
        <v>52</v>
      </c>
      <c r="D10" s="11"/>
      <c r="J10" s="6"/>
    </row>
    <row r="11" spans="2:10" s="5" customFormat="1" x14ac:dyDescent="0.25">
      <c r="B11" s="7" t="s">
        <v>53</v>
      </c>
      <c r="C11" s="8" t="s">
        <v>54</v>
      </c>
      <c r="D11" s="11"/>
      <c r="J11" s="6"/>
    </row>
    <row r="12" spans="2:10" s="5" customFormat="1" x14ac:dyDescent="0.25">
      <c r="B12" s="7" t="s">
        <v>55</v>
      </c>
      <c r="C12" s="8" t="s">
        <v>56</v>
      </c>
      <c r="D12" s="11"/>
      <c r="G12" s="33"/>
      <c r="J12" s="6"/>
    </row>
    <row r="13" spans="2:10" s="5" customFormat="1" x14ac:dyDescent="0.25">
      <c r="B13" s="7" t="s">
        <v>55</v>
      </c>
      <c r="C13" s="8" t="s">
        <v>57</v>
      </c>
      <c r="D13" s="11"/>
      <c r="J13" s="6"/>
    </row>
    <row r="14" spans="2:10" s="5" customFormat="1" x14ac:dyDescent="0.25">
      <c r="B14" s="7" t="s">
        <v>58</v>
      </c>
      <c r="C14" s="8" t="s">
        <v>59</v>
      </c>
      <c r="D14" s="11"/>
      <c r="J14" s="6"/>
    </row>
    <row r="15" spans="2:10" s="5" customFormat="1" ht="17.25" x14ac:dyDescent="0.25">
      <c r="B15" s="7" t="s">
        <v>58</v>
      </c>
      <c r="C15" s="8" t="s">
        <v>60</v>
      </c>
      <c r="D15" s="11"/>
    </row>
    <row r="16" spans="2:10" s="5" customFormat="1" x14ac:dyDescent="0.25">
      <c r="B16" s="7" t="s">
        <v>61</v>
      </c>
      <c r="C16" s="8" t="s">
        <v>62</v>
      </c>
      <c r="D16" s="11"/>
    </row>
    <row r="17" spans="2:4" s="5" customFormat="1" ht="15.75" thickBot="1" x14ac:dyDescent="0.3">
      <c r="B17" s="10"/>
      <c r="D17" s="11"/>
    </row>
    <row r="18" spans="2:4" s="5" customFormat="1" ht="15.75" thickBot="1" x14ac:dyDescent="0.3">
      <c r="B18" s="109" t="s">
        <v>63</v>
      </c>
      <c r="C18" s="110"/>
      <c r="D18" s="111"/>
    </row>
    <row r="19" spans="2:4" s="5" customFormat="1" x14ac:dyDescent="0.25">
      <c r="B19" s="7" t="s">
        <v>64</v>
      </c>
      <c r="C19" s="8" t="s">
        <v>65</v>
      </c>
      <c r="D19" s="9" t="s">
        <v>66</v>
      </c>
    </row>
    <row r="20" spans="2:4" s="5" customFormat="1" x14ac:dyDescent="0.25">
      <c r="B20" s="7" t="s">
        <v>67</v>
      </c>
      <c r="C20" s="8" t="s">
        <v>42</v>
      </c>
      <c r="D20" s="9" t="s">
        <v>68</v>
      </c>
    </row>
    <row r="21" spans="2:4" s="5" customFormat="1" x14ac:dyDescent="0.25">
      <c r="B21" s="7" t="s">
        <v>44</v>
      </c>
      <c r="C21" s="8" t="s">
        <v>69</v>
      </c>
      <c r="D21" s="9"/>
    </row>
    <row r="22" spans="2:4" s="5" customFormat="1" x14ac:dyDescent="0.25">
      <c r="B22" s="7" t="s">
        <v>46</v>
      </c>
      <c r="C22" s="8" t="s">
        <v>70</v>
      </c>
      <c r="D22" s="9"/>
    </row>
    <row r="23" spans="2:4" s="5" customFormat="1" ht="15.75" thickBot="1" x14ac:dyDescent="0.3">
      <c r="B23" s="12"/>
      <c r="C23" s="13"/>
      <c r="D23" s="14"/>
    </row>
    <row r="24" spans="2:4" s="5" customFormat="1" x14ac:dyDescent="0.25"/>
  </sheetData>
  <mergeCells count="3">
    <mergeCell ref="B2:D2"/>
    <mergeCell ref="B18:D18"/>
    <mergeCell ref="B8:D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Dados</vt:lpstr>
      <vt:lpstr>Fontes</vt:lpstr>
      <vt:lpstr>Tabela de Conversões</vt:lpstr>
      <vt:lpstr>Gráfico1</vt:lpstr>
      <vt:lpstr>Gráfico2</vt:lpstr>
      <vt:lpstr>Gráfico3</vt:lpstr>
      <vt:lpstr>Gráfico4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de Oliveira</dc:creator>
  <cp:lastModifiedBy>Victoria Ellwanger Pires</cp:lastModifiedBy>
  <cp:lastPrinted>2016-02-17T17:50:32Z</cp:lastPrinted>
  <dcterms:created xsi:type="dcterms:W3CDTF">2014-06-17T13:26:33Z</dcterms:created>
  <dcterms:modified xsi:type="dcterms:W3CDTF">2022-03-08T21:36:25Z</dcterms:modified>
</cp:coreProperties>
</file>