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X:\Biodiesel\Inteligência Competitiva\Informações Mercado\"/>
    </mc:Choice>
  </mc:AlternateContent>
  <xr:revisionPtr revIDLastSave="0" documentId="13_ncr:1_{D1CDF7F9-798E-4160-8CB9-A1729F946B6E}" xr6:coauthVersionLast="47" xr6:coauthVersionMax="47" xr10:uidLastSave="{00000000-0000-0000-0000-000000000000}"/>
  <bookViews>
    <workbookView xWindow="-120" yWindow="-120" windowWidth="19440" windowHeight="10440" tabRatio="739" xr2:uid="{00000000-000D-0000-FFFF-FFFF00000000}"/>
  </bookViews>
  <sheets>
    <sheet name="Dados" sheetId="30" r:id="rId1"/>
    <sheet name="Fontes" sheetId="3" state="hidden" r:id="rId2"/>
    <sheet name="Tabela de Conversões" sheetId="18" r:id="rId3"/>
    <sheet name="Gráfico1" sheetId="19" state="hidden" r:id="rId4"/>
    <sheet name="Gráfico2" sheetId="20" state="hidden" r:id="rId5"/>
    <sheet name="Gráfico3" sheetId="21" state="hidden" r:id="rId6"/>
    <sheet name="Gráfico4" sheetId="29" state="hidden" r:id="rId7"/>
  </sheets>
  <externalReferences>
    <externalReference r:id="rId8"/>
  </externalReferences>
  <definedNames>
    <definedName name="_xlnm._FilterDatabase" localSheetId="1" hidden="1">Fontes!$A$1:$H$44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A8" i="30" l="1"/>
  <c r="MZ8" i="30"/>
  <c r="MZ37" i="30"/>
  <c r="NA37" i="30"/>
  <c r="NB27" i="30"/>
  <c r="NB28" i="30"/>
  <c r="MY8" i="30"/>
  <c r="MY37" i="30"/>
  <c r="MX8" i="30" l="1"/>
  <c r="MX37" i="30"/>
  <c r="MW18" i="30"/>
  <c r="MW8" i="30"/>
  <c r="MW37" i="30"/>
  <c r="MT8" i="30"/>
  <c r="MT37" i="30"/>
  <c r="MS8" i="30"/>
  <c r="MS37" i="30"/>
  <c r="MR8" i="30"/>
  <c r="MR37" i="30"/>
  <c r="MR3" i="30"/>
  <c r="MQ37" i="30" l="1"/>
  <c r="MQ18" i="30"/>
  <c r="MQ8" i="30"/>
  <c r="MP8" i="30"/>
  <c r="MP37" i="30"/>
  <c r="MM8" i="30"/>
  <c r="MM37" i="30"/>
  <c r="ML37" i="30"/>
  <c r="ML8" i="30"/>
  <c r="MK8" i="30"/>
  <c r="MK37" i="30"/>
  <c r="MJ8" i="30"/>
  <c r="MJ37" i="30"/>
  <c r="MI8" i="30"/>
  <c r="MI37" i="30"/>
  <c r="MF8" i="30"/>
  <c r="ME8" i="30"/>
  <c r="MF37" i="30"/>
  <c r="ME37" i="30"/>
  <c r="MD8" i="30"/>
  <c r="MD37" i="30"/>
  <c r="MC8" i="30"/>
  <c r="MC37" i="30"/>
  <c r="MB8" i="30"/>
  <c r="MB37" i="30"/>
  <c r="LW8" i="30"/>
  <c r="LX8" i="30"/>
  <c r="LY8" i="30"/>
  <c r="LW37" i="30"/>
  <c r="LX37" i="30"/>
  <c r="LY37" i="30"/>
  <c r="LV8" i="30"/>
  <c r="LV37" i="30"/>
  <c r="LU8" i="30"/>
  <c r="LU37" i="30"/>
  <c r="LR8" i="30"/>
  <c r="LR37" i="30"/>
  <c r="LQ11" i="30"/>
  <c r="LQ8" i="30"/>
  <c r="LQ37" i="30"/>
  <c r="LP8" i="30"/>
  <c r="LP37" i="30"/>
  <c r="LO8" i="30"/>
  <c r="LO37" i="30"/>
  <c r="LN8" i="30"/>
  <c r="LN37" i="30"/>
  <c r="LK8" i="30"/>
  <c r="LK37" i="30"/>
  <c r="LJ8" i="30"/>
  <c r="LJ37" i="30"/>
  <c r="LI37" i="30"/>
  <c r="LI8" i="30"/>
  <c r="LD8" i="30"/>
  <c r="LG8" i="30"/>
  <c r="LH8" i="30"/>
  <c r="LH37" i="30"/>
  <c r="LG37" i="30"/>
  <c r="LD37" i="30"/>
  <c r="LC8" i="30"/>
  <c r="LC37" i="30"/>
  <c r="KW8" i="30"/>
  <c r="KZ8" i="30"/>
  <c r="LA8" i="30"/>
  <c r="LB8" i="30"/>
  <c r="LB37" i="30"/>
  <c r="LA37" i="30"/>
  <c r="KZ37" i="30"/>
  <c r="KW37" i="30"/>
  <c r="KV8" i="30"/>
  <c r="KV37" i="30"/>
  <c r="KT8" i="30"/>
  <c r="KT37" i="30"/>
  <c r="KS8" i="30" l="1"/>
  <c r="KS37" i="30"/>
  <c r="KP8" i="30" l="1"/>
  <c r="KP37" i="30"/>
  <c r="KO8" i="30"/>
  <c r="KO37" i="30"/>
  <c r="KN8" i="30"/>
  <c r="KN37" i="30"/>
  <c r="KM8" i="30"/>
  <c r="KM37" i="30"/>
  <c r="KL8" i="30"/>
  <c r="KL37" i="30"/>
  <c r="KI8" i="30"/>
  <c r="KI37" i="30"/>
  <c r="KH8" i="30"/>
  <c r="KH37" i="30"/>
  <c r="KG8" i="30"/>
  <c r="KG37" i="30"/>
  <c r="KF8" i="30"/>
  <c r="KF37" i="30"/>
  <c r="KE37" i="30" l="1"/>
  <c r="KE8" i="30"/>
  <c r="KB8" i="30" l="1"/>
  <c r="KB37" i="30" l="1"/>
  <c r="KA8" i="30"/>
  <c r="KA37" i="30"/>
  <c r="JY8" i="30"/>
  <c r="JY37" i="30"/>
  <c r="JX8" i="30" l="1"/>
  <c r="JX37" i="30"/>
  <c r="JU8" i="30" l="1"/>
  <c r="JU37" i="30"/>
  <c r="JT8" i="30" l="1"/>
  <c r="JT37" i="30"/>
  <c r="JS8" i="30"/>
  <c r="JS37" i="30"/>
  <c r="JR8" i="30"/>
  <c r="JR37" i="30"/>
  <c r="JQ37" i="30"/>
  <c r="JQ8" i="30"/>
  <c r="JM8" i="30"/>
  <c r="JN8" i="30"/>
  <c r="JM37" i="30"/>
  <c r="JN37" i="30"/>
  <c r="JL8" i="30"/>
  <c r="JL37" i="30"/>
  <c r="JK8" i="30"/>
  <c r="JK37" i="30"/>
  <c r="JJ8" i="30"/>
  <c r="JJ37" i="30"/>
  <c r="JG8" i="30"/>
  <c r="JG37" i="30"/>
  <c r="JF8" i="30"/>
  <c r="JF37" i="30"/>
  <c r="JE37" i="30" l="1"/>
  <c r="JE8" i="30"/>
  <c r="JD8" i="30" l="1"/>
  <c r="JC8" i="30"/>
  <c r="JD37" i="30"/>
  <c r="JC37" i="30"/>
  <c r="IZ37" i="30"/>
  <c r="IZ8" i="30"/>
  <c r="IY8" i="30" l="1"/>
  <c r="IY37" i="30"/>
  <c r="IX37" i="30"/>
  <c r="IX8" i="30"/>
  <c r="IW37" i="30" l="1"/>
  <c r="IW8" i="30"/>
  <c r="IV8" i="30"/>
  <c r="IV37" i="30"/>
  <c r="IS8" i="30" l="1"/>
  <c r="IS37" i="30"/>
  <c r="IR8" i="30"/>
  <c r="IR37" i="30"/>
  <c r="IP8" i="30" l="1"/>
  <c r="IP37" i="30"/>
  <c r="IO8" i="30" l="1"/>
  <c r="IO37" i="30" l="1"/>
  <c r="IJ8" i="30" l="1"/>
  <c r="IK8" i="30"/>
  <c r="IL8" i="30"/>
  <c r="IK37" i="30"/>
  <c r="IL37" i="30"/>
  <c r="IJ37" i="30"/>
  <c r="IK9" i="30"/>
  <c r="II37" i="30"/>
  <c r="II8" i="30"/>
  <c r="IH8" i="30"/>
  <c r="IH37" i="30"/>
  <c r="IE37" i="30" l="1"/>
  <c r="IE8" i="30"/>
  <c r="ID8" i="30"/>
  <c r="ID37" i="30"/>
  <c r="IC8" i="30"/>
  <c r="IC37" i="30"/>
  <c r="IB8" i="30" l="1"/>
  <c r="IB37" i="30"/>
  <c r="IA8" i="30"/>
  <c r="IA37" i="30"/>
  <c r="HX8" i="30"/>
  <c r="HX37" i="30"/>
  <c r="HW8" i="30" l="1"/>
  <c r="HW37" i="30"/>
  <c r="HV8" i="30"/>
  <c r="HV37" i="30" l="1"/>
  <c r="HU8" i="30"/>
  <c r="HU37" i="30"/>
  <c r="HT8" i="30" l="1"/>
  <c r="HT37" i="30"/>
  <c r="HQ8" i="30" l="1"/>
  <c r="HQ37" i="30"/>
  <c r="HP8" i="30" l="1"/>
  <c r="HP37" i="30"/>
  <c r="HO8" i="30"/>
  <c r="HO37" i="30"/>
  <c r="HN8" i="30"/>
  <c r="HN37" i="30"/>
  <c r="HM8" i="30" l="1"/>
  <c r="HM37" i="30"/>
  <c r="HJ8" i="30" l="1"/>
  <c r="HJ37" i="30"/>
  <c r="HI54" i="30"/>
  <c r="HI8" i="30"/>
  <c r="HI37" i="30"/>
  <c r="HH8" i="30" l="1"/>
  <c r="HH37" i="30"/>
  <c r="HG53" i="30" l="1"/>
  <c r="HG8" i="30"/>
  <c r="HG37" i="30"/>
  <c r="HF11" i="30"/>
  <c r="HF8" i="30"/>
  <c r="HF37" i="30"/>
  <c r="HC37" i="30" l="1"/>
  <c r="HC8" i="30"/>
  <c r="HA8" i="30"/>
  <c r="HB8" i="30"/>
  <c r="HB37" i="30"/>
  <c r="HA54" i="30" l="1"/>
  <c r="HA53" i="30"/>
  <c r="HA37" i="30"/>
  <c r="GZ8" i="30"/>
  <c r="GZ37" i="30"/>
  <c r="GY8" i="30"/>
  <c r="GY37" i="30"/>
  <c r="GV8" i="30" l="1"/>
  <c r="GV37" i="30"/>
  <c r="GU8" i="30"/>
  <c r="GU37" i="30"/>
  <c r="GT8" i="30"/>
  <c r="GT37" i="30"/>
  <c r="GS37" i="30"/>
  <c r="GS8" i="30"/>
  <c r="GR8" i="30" l="1"/>
  <c r="GR37" i="30"/>
  <c r="GO8" i="30"/>
  <c r="GO37" i="30"/>
  <c r="GN37" i="30"/>
  <c r="GN8" i="30"/>
  <c r="GM8" i="30"/>
  <c r="GM37" i="30"/>
  <c r="GL37" i="30"/>
  <c r="GL8" i="30"/>
  <c r="GK54" i="30" l="1"/>
  <c r="GK53" i="30"/>
  <c r="GK8" i="30"/>
  <c r="GK37" i="30"/>
  <c r="GH8" i="30"/>
  <c r="GH37" i="30"/>
  <c r="GG54" i="30"/>
  <c r="GG53" i="30"/>
  <c r="GG8" i="30"/>
  <c r="GG37" i="30"/>
  <c r="GF54" i="30"/>
  <c r="GF53" i="30"/>
  <c r="GF8" i="30"/>
  <c r="GF37" i="30"/>
  <c r="GE54" i="30"/>
  <c r="GD54" i="30"/>
  <c r="GE53" i="30"/>
  <c r="GD53" i="30"/>
  <c r="GE8" i="30"/>
  <c r="GE37" i="30"/>
  <c r="GD8" i="30"/>
  <c r="GD37" i="30" l="1"/>
  <c r="GA54" i="30"/>
  <c r="GA53" i="30"/>
  <c r="GA8" i="30"/>
  <c r="GA37" i="30"/>
  <c r="FZ54" i="30"/>
  <c r="FZ53" i="30"/>
  <c r="FZ8" i="30"/>
  <c r="FZ37" i="30"/>
  <c r="FY54" i="30"/>
  <c r="FY53" i="30"/>
  <c r="FY8" i="30" l="1"/>
  <c r="FY37" i="30"/>
  <c r="FX54" i="30"/>
  <c r="FX53" i="30"/>
  <c r="FX8" i="30"/>
  <c r="FX37" i="30"/>
  <c r="FW54" i="30"/>
  <c r="FW53" i="30"/>
  <c r="FT53" i="30"/>
  <c r="FW8" i="30"/>
  <c r="FW37" i="30"/>
  <c r="FT37" i="30"/>
  <c r="FT54" i="30"/>
  <c r="FT8" i="30" l="1"/>
  <c r="FS54" i="30"/>
  <c r="FS53" i="30"/>
  <c r="FS8" i="30"/>
  <c r="FS37" i="30"/>
  <c r="FR37" i="30"/>
  <c r="FQ53" i="30"/>
  <c r="FQ54" i="30"/>
  <c r="FR54" i="30"/>
  <c r="FR53" i="30"/>
  <c r="FR8" i="30"/>
  <c r="FQ8" i="30"/>
  <c r="FQ37" i="30"/>
  <c r="FP53" i="30"/>
  <c r="FP54" i="30"/>
  <c r="FP8" i="30"/>
  <c r="FP37" i="30"/>
  <c r="FM53" i="30"/>
  <c r="FM54" i="30"/>
  <c r="FM37" i="30"/>
  <c r="FM8" i="30"/>
  <c r="FL54" i="30" l="1"/>
  <c r="FL53" i="30"/>
  <c r="FK54" i="30"/>
  <c r="FK53" i="30"/>
  <c r="FJ54" i="30"/>
  <c r="FJ53" i="30"/>
  <c r="FJ37" i="30"/>
  <c r="FL37" i="30"/>
  <c r="FK37" i="30"/>
  <c r="FL8" i="30"/>
  <c r="FK8" i="30"/>
  <c r="FJ8" i="30"/>
  <c r="FI54" i="30"/>
  <c r="FI53" i="30"/>
  <c r="FI37" i="30"/>
  <c r="FI8" i="30"/>
  <c r="FF53" i="30"/>
  <c r="FF54" i="30"/>
  <c r="FF8" i="30"/>
  <c r="FF37" i="30"/>
  <c r="FE53" i="30"/>
  <c r="FE54" i="30"/>
  <c r="FE8" i="30"/>
  <c r="FE37" i="30"/>
  <c r="FD54" i="30"/>
  <c r="FD53" i="30"/>
  <c r="FD8" i="30"/>
  <c r="FD37" i="30"/>
  <c r="FC54" i="30"/>
  <c r="FC53" i="30"/>
  <c r="FC8" i="30"/>
  <c r="FC37" i="30"/>
  <c r="FB54" i="30"/>
  <c r="FB53" i="30"/>
  <c r="FB8" i="30"/>
  <c r="FB37" i="30"/>
  <c r="EY54" i="30"/>
  <c r="EY53" i="30"/>
  <c r="EY37" i="30"/>
  <c r="EX8" i="30"/>
  <c r="EX54" i="30"/>
  <c r="EX53" i="30"/>
  <c r="EX37" i="30"/>
  <c r="EW54" i="30"/>
  <c r="EW53" i="30"/>
  <c r="EW8" i="30"/>
  <c r="EW37" i="30"/>
  <c r="EV54" i="30"/>
  <c r="EV53" i="30"/>
  <c r="EV37" i="30"/>
  <c r="EV8" i="30"/>
  <c r="EU53" i="30"/>
  <c r="EU54" i="30"/>
  <c r="EU37" i="30"/>
  <c r="EU8" i="30"/>
  <c r="ER54" i="30"/>
  <c r="ER53" i="30"/>
  <c r="ER37" i="30"/>
  <c r="ER8" i="30"/>
  <c r="EQ54" i="30"/>
  <c r="EQ53" i="30"/>
  <c r="EQ8" i="30"/>
  <c r="EQ37" i="30"/>
  <c r="EP54" i="30"/>
  <c r="EP53" i="30"/>
  <c r="EP8" i="30"/>
  <c r="EP37" i="30"/>
  <c r="EN54" i="30"/>
  <c r="EN53" i="30"/>
  <c r="EO54" i="30"/>
  <c r="EO53" i="30"/>
  <c r="EO8" i="30"/>
  <c r="EO37" i="30"/>
  <c r="DL54" i="30"/>
  <c r="DI54" i="30"/>
  <c r="DH54" i="30"/>
  <c r="DG54" i="30"/>
  <c r="DF54" i="30"/>
  <c r="DE54" i="30"/>
  <c r="DB54" i="30"/>
  <c r="DA54" i="30"/>
  <c r="CZ54" i="30"/>
  <c r="CY54" i="30"/>
  <c r="CX54" i="30"/>
  <c r="D54" i="30"/>
  <c r="D53" i="30"/>
  <c r="EN8" i="30"/>
  <c r="EN37" i="30"/>
  <c r="EK54" i="30"/>
  <c r="EK53" i="30"/>
  <c r="EK8" i="30"/>
  <c r="EK37" i="30"/>
  <c r="EJ54" i="30"/>
  <c r="EJ53" i="30"/>
  <c r="EJ8" i="30"/>
  <c r="EJ37" i="30"/>
  <c r="EI54" i="30"/>
  <c r="EI53" i="30"/>
  <c r="EI8" i="30"/>
  <c r="EI37" i="30"/>
  <c r="EH54" i="30"/>
  <c r="EH53" i="30"/>
  <c r="EH8" i="30"/>
  <c r="EH37" i="30"/>
  <c r="EG54" i="30"/>
  <c r="EG53" i="30"/>
  <c r="EG8" i="30"/>
  <c r="EG37" i="30"/>
  <c r="ED8" i="30"/>
  <c r="ED37" i="30"/>
  <c r="ED54" i="30"/>
  <c r="ED53" i="30"/>
  <c r="EC54" i="30"/>
  <c r="EC53" i="30"/>
  <c r="EC8" i="30"/>
  <c r="EC37" i="30"/>
  <c r="EB37" i="30"/>
  <c r="EB8" i="30"/>
  <c r="EB54" i="30"/>
  <c r="EB53" i="30"/>
  <c r="EA54" i="30"/>
  <c r="EA53" i="30"/>
  <c r="EA8" i="30"/>
  <c r="EA37" i="30"/>
  <c r="DZ54" i="30" l="1"/>
  <c r="DZ53" i="30"/>
  <c r="DZ37" i="30"/>
  <c r="DZ8" i="30"/>
  <c r="DV54" i="30" l="1"/>
  <c r="DV53" i="30"/>
  <c r="DW54" i="30"/>
  <c r="DW53" i="30"/>
  <c r="DV8" i="30" l="1"/>
  <c r="DW8" i="30"/>
  <c r="DW37" i="30"/>
  <c r="DV37" i="30"/>
  <c r="DU54" i="30" l="1"/>
  <c r="DU53" i="30"/>
  <c r="DU8" i="30" l="1"/>
  <c r="DU37" i="30"/>
  <c r="DT53" i="30" l="1"/>
  <c r="DT54" i="30"/>
  <c r="DT8" i="30"/>
  <c r="DT37" i="30"/>
  <c r="DS54" i="30" l="1"/>
  <c r="DS53" i="30"/>
  <c r="DS37" i="30"/>
  <c r="DS8" i="30"/>
  <c r="DP53" i="30" l="1"/>
  <c r="DP54" i="30"/>
  <c r="DP37" i="30"/>
  <c r="DP8" i="30"/>
  <c r="DO54" i="30" l="1"/>
  <c r="DO53" i="30"/>
  <c r="DO8" i="30"/>
  <c r="DO37" i="30"/>
  <c r="DN54" i="30" l="1"/>
  <c r="DN53" i="30"/>
  <c r="DN8" i="30"/>
  <c r="DN37" i="30"/>
  <c r="DM54" i="30" l="1"/>
  <c r="DM53" i="30"/>
  <c r="DM8" i="30"/>
  <c r="DM37" i="30"/>
  <c r="DL8" i="30" l="1"/>
  <c r="DL37" i="30"/>
  <c r="DI37" i="30" l="1"/>
  <c r="DH31" i="30" l="1"/>
  <c r="DI8" i="30"/>
  <c r="DF8" i="30" l="1"/>
  <c r="DF37" i="30"/>
  <c r="DE8" i="30" l="1"/>
  <c r="DE37" i="30" l="1"/>
  <c r="DB37" i="30" l="1"/>
  <c r="DB29" i="30"/>
  <c r="DB18" i="30"/>
  <c r="DB19" i="30" s="1"/>
  <c r="DB16" i="30"/>
  <c r="DB14" i="30"/>
  <c r="DB15" i="30" s="1"/>
  <c r="DB11" i="30"/>
  <c r="DB12" i="30" s="1"/>
  <c r="DB8" i="30"/>
  <c r="DB3" i="30"/>
  <c r="DA37" i="30"/>
  <c r="DA8" i="30"/>
  <c r="DB30" i="30" l="1"/>
  <c r="CZ8" i="30"/>
  <c r="CZ37" i="30"/>
  <c r="CY37" i="30" l="1"/>
  <c r="CY8" i="30"/>
  <c r="NA29" i="30" l="1"/>
  <c r="MZ29" i="30"/>
  <c r="MZ30" i="30" s="1"/>
  <c r="MY29" i="30"/>
  <c r="MY30" i="30" s="1"/>
  <c r="MX29" i="30"/>
  <c r="MW29" i="30"/>
  <c r="NA18" i="30"/>
  <c r="NA19" i="30" s="1"/>
  <c r="MZ18" i="30"/>
  <c r="MZ19" i="30" s="1"/>
  <c r="MY18" i="30"/>
  <c r="MY19" i="30" s="1"/>
  <c r="MX18" i="30"/>
  <c r="MX19" i="30" s="1"/>
  <c r="MW19" i="30"/>
  <c r="NA16" i="30"/>
  <c r="MZ16" i="30"/>
  <c r="MY16" i="30"/>
  <c r="MX16" i="30"/>
  <c r="MW16" i="30"/>
  <c r="NA14" i="30"/>
  <c r="NA15" i="30" s="1"/>
  <c r="MZ14" i="30"/>
  <c r="MZ15" i="30" s="1"/>
  <c r="MY14" i="30"/>
  <c r="MY15" i="30" s="1"/>
  <c r="MX14" i="30"/>
  <c r="MX15" i="30" s="1"/>
  <c r="MW14" i="30"/>
  <c r="MW15" i="30" s="1"/>
  <c r="NA11" i="30"/>
  <c r="NA12" i="30" s="1"/>
  <c r="MZ11" i="30"/>
  <c r="MZ12" i="30" s="1"/>
  <c r="MY11" i="30"/>
  <c r="MY12" i="30" s="1"/>
  <c r="MX11" i="30"/>
  <c r="MX12" i="30" s="1"/>
  <c r="MW11" i="30"/>
  <c r="MW12" i="30" s="1"/>
  <c r="NA3" i="30"/>
  <c r="MZ3" i="30"/>
  <c r="MY3" i="30"/>
  <c r="MX3" i="30"/>
  <c r="MW3" i="30"/>
  <c r="MT29" i="30"/>
  <c r="MS29" i="30"/>
  <c r="MR29" i="30"/>
  <c r="MQ29" i="30"/>
  <c r="MP29" i="30"/>
  <c r="MM29" i="30"/>
  <c r="ML29" i="30"/>
  <c r="MK29" i="30"/>
  <c r="MJ29" i="30"/>
  <c r="MI29" i="30"/>
  <c r="MF29" i="30"/>
  <c r="ME29" i="30"/>
  <c r="MD29" i="30"/>
  <c r="MC29" i="30"/>
  <c r="MB29" i="30"/>
  <c r="LY29" i="30"/>
  <c r="LX29" i="30"/>
  <c r="LW29" i="30"/>
  <c r="LV29" i="30"/>
  <c r="LU29" i="30"/>
  <c r="MT18" i="30"/>
  <c r="MT19" i="30" s="1"/>
  <c r="MS18" i="30"/>
  <c r="MS19" i="30" s="1"/>
  <c r="MR18" i="30"/>
  <c r="MR19" i="30" s="1"/>
  <c r="MQ19" i="30"/>
  <c r="MP18" i="30"/>
  <c r="MP19" i="30" s="1"/>
  <c r="MM18" i="30"/>
  <c r="MM19" i="30" s="1"/>
  <c r="ML18" i="30"/>
  <c r="ML19" i="30" s="1"/>
  <c r="MK18" i="30"/>
  <c r="MK19" i="30" s="1"/>
  <c r="MJ18" i="30"/>
  <c r="MJ19" i="30" s="1"/>
  <c r="MI18" i="30"/>
  <c r="MI19" i="30" s="1"/>
  <c r="MF18" i="30"/>
  <c r="MF19" i="30" s="1"/>
  <c r="ME18" i="30"/>
  <c r="ME19" i="30" s="1"/>
  <c r="MD18" i="30"/>
  <c r="MD19" i="30" s="1"/>
  <c r="MC18" i="30"/>
  <c r="MC19" i="30" s="1"/>
  <c r="MB18" i="30"/>
  <c r="MB19" i="30" s="1"/>
  <c r="LY18" i="30"/>
  <c r="LY19" i="30" s="1"/>
  <c r="LX18" i="30"/>
  <c r="LX19" i="30" s="1"/>
  <c r="LW18" i="30"/>
  <c r="LW19" i="30" s="1"/>
  <c r="LV18" i="30"/>
  <c r="LV19" i="30" s="1"/>
  <c r="LU18" i="30"/>
  <c r="LU19" i="30" s="1"/>
  <c r="MT16" i="30"/>
  <c r="MS16" i="30"/>
  <c r="MR16" i="30"/>
  <c r="MQ16" i="30"/>
  <c r="MP16" i="30"/>
  <c r="MM16" i="30"/>
  <c r="ML16" i="30"/>
  <c r="MK16" i="30"/>
  <c r="MJ16" i="30"/>
  <c r="MI16" i="30"/>
  <c r="MF16" i="30"/>
  <c r="ME16" i="30"/>
  <c r="MD16" i="30"/>
  <c r="MC16" i="30"/>
  <c r="MB16" i="30"/>
  <c r="LY16" i="30"/>
  <c r="LX16" i="30"/>
  <c r="LW16" i="30"/>
  <c r="LV16" i="30"/>
  <c r="LU16" i="30"/>
  <c r="MT14" i="30"/>
  <c r="MT15" i="30" s="1"/>
  <c r="MS14" i="30"/>
  <c r="MS15" i="30" s="1"/>
  <c r="MR14" i="30"/>
  <c r="MR15" i="30" s="1"/>
  <c r="MQ14" i="30"/>
  <c r="MQ15" i="30" s="1"/>
  <c r="MP14" i="30"/>
  <c r="MP15" i="30" s="1"/>
  <c r="MM14" i="30"/>
  <c r="MM15" i="30" s="1"/>
  <c r="ML14" i="30"/>
  <c r="ML15" i="30" s="1"/>
  <c r="MK14" i="30"/>
  <c r="MK15" i="30" s="1"/>
  <c r="MJ14" i="30"/>
  <c r="MJ15" i="30" s="1"/>
  <c r="MI14" i="30"/>
  <c r="MI15" i="30" s="1"/>
  <c r="MF14" i="30"/>
  <c r="MF15" i="30" s="1"/>
  <c r="ME14" i="30"/>
  <c r="ME15" i="30" s="1"/>
  <c r="MD14" i="30"/>
  <c r="MD15" i="30" s="1"/>
  <c r="MC14" i="30"/>
  <c r="MC15" i="30" s="1"/>
  <c r="MB14" i="30"/>
  <c r="MB15" i="30" s="1"/>
  <c r="LY14" i="30"/>
  <c r="LY15" i="30" s="1"/>
  <c r="LX14" i="30"/>
  <c r="LX15" i="30" s="1"/>
  <c r="LW14" i="30"/>
  <c r="LW15" i="30" s="1"/>
  <c r="LV14" i="30"/>
  <c r="LV15" i="30" s="1"/>
  <c r="LU14" i="30"/>
  <c r="LU15" i="30" s="1"/>
  <c r="MT11" i="30"/>
  <c r="MT12" i="30" s="1"/>
  <c r="MS11" i="30"/>
  <c r="MS12" i="30" s="1"/>
  <c r="MR11" i="30"/>
  <c r="MR12" i="30" s="1"/>
  <c r="MQ11" i="30"/>
  <c r="MQ12" i="30" s="1"/>
  <c r="MP11" i="30"/>
  <c r="MP12" i="30" s="1"/>
  <c r="MM11" i="30"/>
  <c r="MM12" i="30" s="1"/>
  <c r="ML11" i="30"/>
  <c r="ML12" i="30" s="1"/>
  <c r="MK11" i="30"/>
  <c r="MK12" i="30" s="1"/>
  <c r="MJ11" i="30"/>
  <c r="MJ12" i="30" s="1"/>
  <c r="MI11" i="30"/>
  <c r="MI12" i="30" s="1"/>
  <c r="MF11" i="30"/>
  <c r="MF12" i="30" s="1"/>
  <c r="ME11" i="30"/>
  <c r="ME12" i="30" s="1"/>
  <c r="MD11" i="30"/>
  <c r="MD12" i="30" s="1"/>
  <c r="MC11" i="30"/>
  <c r="MC12" i="30" s="1"/>
  <c r="MB11" i="30"/>
  <c r="MB12" i="30" s="1"/>
  <c r="LY11" i="30"/>
  <c r="LY12" i="30" s="1"/>
  <c r="LX11" i="30"/>
  <c r="LX12" i="30" s="1"/>
  <c r="LW11" i="30"/>
  <c r="LW12" i="30" s="1"/>
  <c r="LV11" i="30"/>
  <c r="LV12" i="30" s="1"/>
  <c r="LU11" i="30"/>
  <c r="LU12" i="30" s="1"/>
  <c r="MT3" i="30"/>
  <c r="MS3" i="30"/>
  <c r="MQ3" i="30"/>
  <c r="MP3" i="30"/>
  <c r="MM3" i="30"/>
  <c r="ML3" i="30"/>
  <c r="MK3" i="30"/>
  <c r="MJ3" i="30"/>
  <c r="MI3" i="30"/>
  <c r="MF3" i="30"/>
  <c r="ME3" i="30"/>
  <c r="MD3" i="30"/>
  <c r="MC3" i="30"/>
  <c r="MB3" i="30"/>
  <c r="LY3" i="30"/>
  <c r="LX3" i="30"/>
  <c r="LW3" i="30"/>
  <c r="LV3" i="30"/>
  <c r="LU3" i="30"/>
  <c r="LR29" i="30"/>
  <c r="LQ29" i="30"/>
  <c r="LP29" i="30"/>
  <c r="LO29" i="30"/>
  <c r="LN29" i="30"/>
  <c r="LK29" i="30"/>
  <c r="LJ29" i="30"/>
  <c r="LI29" i="30"/>
  <c r="LH29" i="30"/>
  <c r="LG29" i="30"/>
  <c r="LD29" i="30"/>
  <c r="LC29" i="30"/>
  <c r="LB29" i="30"/>
  <c r="LA29" i="30"/>
  <c r="KZ29" i="30"/>
  <c r="KW29" i="30"/>
  <c r="KV29" i="30"/>
  <c r="KT29" i="30"/>
  <c r="LR18" i="30"/>
  <c r="LR19" i="30" s="1"/>
  <c r="LQ18" i="30"/>
  <c r="LQ19" i="30" s="1"/>
  <c r="LP18" i="30"/>
  <c r="LP19" i="30" s="1"/>
  <c r="LO18" i="30"/>
  <c r="LO19" i="30" s="1"/>
  <c r="LN18" i="30"/>
  <c r="LN19" i="30" s="1"/>
  <c r="LK18" i="30"/>
  <c r="LK19" i="30" s="1"/>
  <c r="LJ18" i="30"/>
  <c r="LJ19" i="30" s="1"/>
  <c r="LI18" i="30"/>
  <c r="LI19" i="30" s="1"/>
  <c r="LH18" i="30"/>
  <c r="LH19" i="30" s="1"/>
  <c r="LG18" i="30"/>
  <c r="LG19" i="30" s="1"/>
  <c r="LD18" i="30"/>
  <c r="LD19" i="30" s="1"/>
  <c r="LC18" i="30"/>
  <c r="LC19" i="30" s="1"/>
  <c r="LB18" i="30"/>
  <c r="LB19" i="30" s="1"/>
  <c r="LA18" i="30"/>
  <c r="LA19" i="30" s="1"/>
  <c r="KZ18" i="30"/>
  <c r="KZ19" i="30" s="1"/>
  <c r="KW18" i="30"/>
  <c r="KW19" i="30" s="1"/>
  <c r="KV18" i="30"/>
  <c r="KV19" i="30" s="1"/>
  <c r="KT18" i="30"/>
  <c r="KT19" i="30" s="1"/>
  <c r="KS18" i="30"/>
  <c r="KS19" i="30" s="1"/>
  <c r="LR16" i="30"/>
  <c r="LQ16" i="30"/>
  <c r="LP16" i="30"/>
  <c r="LO16" i="30"/>
  <c r="LN16" i="30"/>
  <c r="LK16" i="30"/>
  <c r="LJ16" i="30"/>
  <c r="LI16" i="30"/>
  <c r="LH16" i="30"/>
  <c r="LG16" i="30"/>
  <c r="LD16" i="30"/>
  <c r="LC16" i="30"/>
  <c r="LB16" i="30"/>
  <c r="LA16" i="30"/>
  <c r="KZ16" i="30"/>
  <c r="KW16" i="30"/>
  <c r="KV16" i="30"/>
  <c r="KT16" i="30"/>
  <c r="KS16" i="30"/>
  <c r="LR14" i="30"/>
  <c r="LR15" i="30" s="1"/>
  <c r="LQ14" i="30"/>
  <c r="LQ15" i="30" s="1"/>
  <c r="LP14" i="30"/>
  <c r="LP15" i="30" s="1"/>
  <c r="LO14" i="30"/>
  <c r="LO15" i="30" s="1"/>
  <c r="LN14" i="30"/>
  <c r="LN15" i="30" s="1"/>
  <c r="LK14" i="30"/>
  <c r="LK15" i="30" s="1"/>
  <c r="LJ14" i="30"/>
  <c r="LJ15" i="30" s="1"/>
  <c r="LI14" i="30"/>
  <c r="LI15" i="30" s="1"/>
  <c r="LH14" i="30"/>
  <c r="LH15" i="30" s="1"/>
  <c r="LG14" i="30"/>
  <c r="LG15" i="30" s="1"/>
  <c r="LD14" i="30"/>
  <c r="LD15" i="30" s="1"/>
  <c r="LC14" i="30"/>
  <c r="LC15" i="30" s="1"/>
  <c r="LB14" i="30"/>
  <c r="LB15" i="30" s="1"/>
  <c r="LA14" i="30"/>
  <c r="LA15" i="30" s="1"/>
  <c r="KZ14" i="30"/>
  <c r="KZ15" i="30" s="1"/>
  <c r="KW14" i="30"/>
  <c r="KW15" i="30" s="1"/>
  <c r="KV14" i="30"/>
  <c r="KV15" i="30" s="1"/>
  <c r="KT14" i="30"/>
  <c r="KT15" i="30" s="1"/>
  <c r="KS14" i="30"/>
  <c r="KS15" i="30" s="1"/>
  <c r="LR11" i="30"/>
  <c r="LR12" i="30" s="1"/>
  <c r="LQ12" i="30"/>
  <c r="LP11" i="30"/>
  <c r="LP12" i="30" s="1"/>
  <c r="LO11" i="30"/>
  <c r="LO12" i="30" s="1"/>
  <c r="LN11" i="30"/>
  <c r="LN12" i="30" s="1"/>
  <c r="LK11" i="30"/>
  <c r="LK12" i="30" s="1"/>
  <c r="LJ11" i="30"/>
  <c r="LJ12" i="30" s="1"/>
  <c r="LI11" i="30"/>
  <c r="LI12" i="30" s="1"/>
  <c r="LH11" i="30"/>
  <c r="LH12" i="30" s="1"/>
  <c r="LG11" i="30"/>
  <c r="LG12" i="30" s="1"/>
  <c r="LD11" i="30"/>
  <c r="LD12" i="30" s="1"/>
  <c r="LC11" i="30"/>
  <c r="LC12" i="30" s="1"/>
  <c r="LB11" i="30"/>
  <c r="LB12" i="30" s="1"/>
  <c r="LA11" i="30"/>
  <c r="LA12" i="30" s="1"/>
  <c r="KZ11" i="30"/>
  <c r="KZ12" i="30" s="1"/>
  <c r="KW11" i="30"/>
  <c r="KW12" i="30" s="1"/>
  <c r="KV11" i="30"/>
  <c r="KV12" i="30" s="1"/>
  <c r="KT11" i="30"/>
  <c r="KT12" i="30" s="1"/>
  <c r="KS11" i="30"/>
  <c r="LR3" i="30"/>
  <c r="LQ3" i="30"/>
  <c r="LP3" i="30"/>
  <c r="LO3" i="30"/>
  <c r="LN3" i="30"/>
  <c r="LK3" i="30"/>
  <c r="LJ3" i="30"/>
  <c r="LI3" i="30"/>
  <c r="LH3" i="30"/>
  <c r="LG3" i="30"/>
  <c r="LD3" i="30"/>
  <c r="LC3" i="30"/>
  <c r="LB3" i="30"/>
  <c r="LA3" i="30"/>
  <c r="KZ3" i="30"/>
  <c r="KW3" i="30"/>
  <c r="KV3" i="30"/>
  <c r="KT3" i="30"/>
  <c r="KS3" i="30"/>
  <c r="KP29" i="30"/>
  <c r="KO29" i="30"/>
  <c r="KN29" i="30"/>
  <c r="KM29" i="30"/>
  <c r="KL29" i="30"/>
  <c r="KI29" i="30"/>
  <c r="KH29" i="30"/>
  <c r="KG29" i="30"/>
  <c r="KF29" i="30"/>
  <c r="KE29" i="30"/>
  <c r="KB29" i="30"/>
  <c r="KA29" i="30"/>
  <c r="JY29" i="30"/>
  <c r="JX29" i="30"/>
  <c r="JU29" i="30"/>
  <c r="JT29" i="30"/>
  <c r="JS29" i="30"/>
  <c r="JR29" i="30"/>
  <c r="JQ29" i="30"/>
  <c r="KP18" i="30"/>
  <c r="KP19" i="30" s="1"/>
  <c r="KO18" i="30"/>
  <c r="KO19" i="30" s="1"/>
  <c r="KN18" i="30"/>
  <c r="KN19" i="30" s="1"/>
  <c r="KM18" i="30"/>
  <c r="KM19" i="30" s="1"/>
  <c r="KL18" i="30"/>
  <c r="KL19" i="30" s="1"/>
  <c r="KI18" i="30"/>
  <c r="KI19" i="30" s="1"/>
  <c r="KH18" i="30"/>
  <c r="KH19" i="30" s="1"/>
  <c r="KG18" i="30"/>
  <c r="KG19" i="30" s="1"/>
  <c r="KF18" i="30"/>
  <c r="KF19" i="30" s="1"/>
  <c r="KE18" i="30"/>
  <c r="KE19" i="30" s="1"/>
  <c r="KB18" i="30"/>
  <c r="KB19" i="30" s="1"/>
  <c r="KA18" i="30"/>
  <c r="KA19" i="30" s="1"/>
  <c r="JY18" i="30"/>
  <c r="JY19" i="30" s="1"/>
  <c r="JX18" i="30"/>
  <c r="JX19" i="30" s="1"/>
  <c r="JU18" i="30"/>
  <c r="JU19" i="30" s="1"/>
  <c r="JT18" i="30"/>
  <c r="JT19" i="30" s="1"/>
  <c r="JS18" i="30"/>
  <c r="JS19" i="30" s="1"/>
  <c r="JR18" i="30"/>
  <c r="JR19" i="30" s="1"/>
  <c r="JQ18" i="30"/>
  <c r="JQ19" i="30" s="1"/>
  <c r="KP16" i="30"/>
  <c r="KO16" i="30"/>
  <c r="KN16" i="30"/>
  <c r="KM16" i="30"/>
  <c r="KL16" i="30"/>
  <c r="KI16" i="30"/>
  <c r="KH16" i="30"/>
  <c r="KG16" i="30"/>
  <c r="KF16" i="30"/>
  <c r="KE16" i="30"/>
  <c r="KB16" i="30"/>
  <c r="KA16" i="30"/>
  <c r="JY16" i="30"/>
  <c r="JX16" i="30"/>
  <c r="JU16" i="30"/>
  <c r="JT16" i="30"/>
  <c r="JS16" i="30"/>
  <c r="JR16" i="30"/>
  <c r="JQ16" i="30"/>
  <c r="KP14" i="30"/>
  <c r="KP15" i="30" s="1"/>
  <c r="KO14" i="30"/>
  <c r="KO15" i="30" s="1"/>
  <c r="KN14" i="30"/>
  <c r="KN15" i="30" s="1"/>
  <c r="KM14" i="30"/>
  <c r="KM15" i="30" s="1"/>
  <c r="KL14" i="30"/>
  <c r="KL15" i="30" s="1"/>
  <c r="KI14" i="30"/>
  <c r="KI15" i="30" s="1"/>
  <c r="KH14" i="30"/>
  <c r="KH15" i="30" s="1"/>
  <c r="KG14" i="30"/>
  <c r="KG15" i="30" s="1"/>
  <c r="KF14" i="30"/>
  <c r="KF15" i="30" s="1"/>
  <c r="KE14" i="30"/>
  <c r="KE15" i="30" s="1"/>
  <c r="KB14" i="30"/>
  <c r="KB15" i="30" s="1"/>
  <c r="KA14" i="30"/>
  <c r="KA15" i="30" s="1"/>
  <c r="JY14" i="30"/>
  <c r="JY15" i="30" s="1"/>
  <c r="JX14" i="30"/>
  <c r="JX15" i="30" s="1"/>
  <c r="JU14" i="30"/>
  <c r="JU15" i="30" s="1"/>
  <c r="JT14" i="30"/>
  <c r="JT15" i="30" s="1"/>
  <c r="JS14" i="30"/>
  <c r="JS15" i="30" s="1"/>
  <c r="JR14" i="30"/>
  <c r="JR15" i="30" s="1"/>
  <c r="JQ14" i="30"/>
  <c r="JQ15" i="30" s="1"/>
  <c r="KP11" i="30"/>
  <c r="KP12" i="30" s="1"/>
  <c r="KO11" i="30"/>
  <c r="KO12" i="30" s="1"/>
  <c r="KN11" i="30"/>
  <c r="KN12" i="30" s="1"/>
  <c r="KM11" i="30"/>
  <c r="KM12" i="30" s="1"/>
  <c r="KL11" i="30"/>
  <c r="KL12" i="30" s="1"/>
  <c r="KI11" i="30"/>
  <c r="KI12" i="30" s="1"/>
  <c r="KH11" i="30"/>
  <c r="KH12" i="30" s="1"/>
  <c r="KG11" i="30"/>
  <c r="KG12" i="30" s="1"/>
  <c r="KF11" i="30"/>
  <c r="KF12" i="30" s="1"/>
  <c r="KE11" i="30"/>
  <c r="KE12" i="30" s="1"/>
  <c r="KB11" i="30"/>
  <c r="KB12" i="30" s="1"/>
  <c r="KA11" i="30"/>
  <c r="KA12" i="30" s="1"/>
  <c r="JY11" i="30"/>
  <c r="JY12" i="30" s="1"/>
  <c r="JX11" i="30"/>
  <c r="JX12" i="30" s="1"/>
  <c r="JU11" i="30"/>
  <c r="JU12" i="30" s="1"/>
  <c r="JT11" i="30"/>
  <c r="JT12" i="30" s="1"/>
  <c r="JS11" i="30"/>
  <c r="JS12" i="30" s="1"/>
  <c r="JR11" i="30"/>
  <c r="JR12" i="30" s="1"/>
  <c r="JQ11" i="30"/>
  <c r="JQ12" i="30" s="1"/>
  <c r="KP3" i="30"/>
  <c r="KO3" i="30"/>
  <c r="KN3" i="30"/>
  <c r="KM3" i="30"/>
  <c r="KL3" i="30"/>
  <c r="KI3" i="30"/>
  <c r="KH3" i="30"/>
  <c r="KG3" i="30"/>
  <c r="KF3" i="30"/>
  <c r="KE3" i="30"/>
  <c r="KB3" i="30"/>
  <c r="KA3" i="30"/>
  <c r="JY3" i="30"/>
  <c r="JX3" i="30"/>
  <c r="JU3" i="30"/>
  <c r="JT3" i="30"/>
  <c r="JS3" i="30"/>
  <c r="JR3" i="30"/>
  <c r="JQ3" i="30"/>
  <c r="JN29" i="30"/>
  <c r="JM29" i="30"/>
  <c r="JL29" i="30"/>
  <c r="JK29" i="30"/>
  <c r="JJ29" i="30"/>
  <c r="JG29" i="30"/>
  <c r="JF29" i="30"/>
  <c r="JE29" i="30"/>
  <c r="JD29" i="30"/>
  <c r="JC29" i="30"/>
  <c r="IZ29" i="30"/>
  <c r="IY29" i="30"/>
  <c r="IW29" i="30"/>
  <c r="IV29" i="30"/>
  <c r="IS29" i="30"/>
  <c r="IR29" i="30"/>
  <c r="IP29" i="30"/>
  <c r="IO29" i="30"/>
  <c r="JN18" i="30"/>
  <c r="JN19" i="30" s="1"/>
  <c r="JM18" i="30"/>
  <c r="JM19" i="30" s="1"/>
  <c r="JL18" i="30"/>
  <c r="JL19" i="30" s="1"/>
  <c r="JK18" i="30"/>
  <c r="JK19" i="30" s="1"/>
  <c r="JJ18" i="30"/>
  <c r="JJ19" i="30" s="1"/>
  <c r="JG18" i="30"/>
  <c r="JG19" i="30" s="1"/>
  <c r="JF18" i="30"/>
  <c r="JF19" i="30" s="1"/>
  <c r="JE18" i="30"/>
  <c r="JE19" i="30" s="1"/>
  <c r="JD18" i="30"/>
  <c r="JD19" i="30" s="1"/>
  <c r="JC18" i="30"/>
  <c r="JC19" i="30" s="1"/>
  <c r="IZ18" i="30"/>
  <c r="IZ19" i="30" s="1"/>
  <c r="IY18" i="30"/>
  <c r="IY19" i="30" s="1"/>
  <c r="IX18" i="30"/>
  <c r="IX19" i="30" s="1"/>
  <c r="IW18" i="30"/>
  <c r="IW19" i="30" s="1"/>
  <c r="IV18" i="30"/>
  <c r="IV19" i="30" s="1"/>
  <c r="IS18" i="30"/>
  <c r="IS19" i="30" s="1"/>
  <c r="IR18" i="30"/>
  <c r="IR19" i="30" s="1"/>
  <c r="IP18" i="30"/>
  <c r="IP19" i="30" s="1"/>
  <c r="IO18" i="30"/>
  <c r="IO19" i="30" s="1"/>
  <c r="JN16" i="30"/>
  <c r="JM16" i="30"/>
  <c r="JL16" i="30"/>
  <c r="JK16" i="30"/>
  <c r="JJ16" i="30"/>
  <c r="JG16" i="30"/>
  <c r="JF16" i="30"/>
  <c r="JE16" i="30"/>
  <c r="JD16" i="30"/>
  <c r="JC16" i="30"/>
  <c r="IZ16" i="30"/>
  <c r="IY16" i="30"/>
  <c r="IX16" i="30"/>
  <c r="IW16" i="30"/>
  <c r="IV16" i="30"/>
  <c r="IS16" i="30"/>
  <c r="IR16" i="30"/>
  <c r="IP16" i="30"/>
  <c r="IO16" i="30"/>
  <c r="JN14" i="30"/>
  <c r="JN15" i="30" s="1"/>
  <c r="JM14" i="30"/>
  <c r="JM15" i="30" s="1"/>
  <c r="JL14" i="30"/>
  <c r="JL15" i="30" s="1"/>
  <c r="JK14" i="30"/>
  <c r="JK15" i="30" s="1"/>
  <c r="JJ14" i="30"/>
  <c r="JJ15" i="30" s="1"/>
  <c r="JG14" i="30"/>
  <c r="JG15" i="30" s="1"/>
  <c r="JF14" i="30"/>
  <c r="JF15" i="30" s="1"/>
  <c r="JE14" i="30"/>
  <c r="JE15" i="30" s="1"/>
  <c r="JD14" i="30"/>
  <c r="JD15" i="30" s="1"/>
  <c r="JC14" i="30"/>
  <c r="JC15" i="30" s="1"/>
  <c r="IZ14" i="30"/>
  <c r="IZ15" i="30" s="1"/>
  <c r="IY14" i="30"/>
  <c r="IY15" i="30" s="1"/>
  <c r="IX14" i="30"/>
  <c r="IX15" i="30" s="1"/>
  <c r="IW14" i="30"/>
  <c r="IW15" i="30" s="1"/>
  <c r="IV14" i="30"/>
  <c r="IV15" i="30" s="1"/>
  <c r="IS14" i="30"/>
  <c r="IS15" i="30" s="1"/>
  <c r="IR14" i="30"/>
  <c r="IR15" i="30" s="1"/>
  <c r="IP14" i="30"/>
  <c r="IP15" i="30" s="1"/>
  <c r="IO14" i="30"/>
  <c r="IO15" i="30" s="1"/>
  <c r="JN11" i="30"/>
  <c r="JN12" i="30" s="1"/>
  <c r="JM11" i="30"/>
  <c r="JM12" i="30" s="1"/>
  <c r="JL11" i="30"/>
  <c r="JL12" i="30" s="1"/>
  <c r="JK11" i="30"/>
  <c r="JK12" i="30" s="1"/>
  <c r="JJ11" i="30"/>
  <c r="JJ12" i="30" s="1"/>
  <c r="JG11" i="30"/>
  <c r="JG12" i="30" s="1"/>
  <c r="JF11" i="30"/>
  <c r="JF12" i="30" s="1"/>
  <c r="JE11" i="30"/>
  <c r="JE12" i="30" s="1"/>
  <c r="JD11" i="30"/>
  <c r="JD12" i="30" s="1"/>
  <c r="JC11" i="30"/>
  <c r="JC12" i="30" s="1"/>
  <c r="IZ11" i="30"/>
  <c r="IZ12" i="30" s="1"/>
  <c r="IY11" i="30"/>
  <c r="IY12" i="30" s="1"/>
  <c r="IX11" i="30"/>
  <c r="IW11" i="30"/>
  <c r="IW12" i="30" s="1"/>
  <c r="IV11" i="30"/>
  <c r="IV12" i="30" s="1"/>
  <c r="IS11" i="30"/>
  <c r="IS12" i="30" s="1"/>
  <c r="IR11" i="30"/>
  <c r="IR12" i="30" s="1"/>
  <c r="IP11" i="30"/>
  <c r="IP12" i="30" s="1"/>
  <c r="IO11" i="30"/>
  <c r="IO12" i="30" s="1"/>
  <c r="JN3" i="30"/>
  <c r="JM3" i="30"/>
  <c r="JL3" i="30"/>
  <c r="JK3" i="30"/>
  <c r="JJ3" i="30"/>
  <c r="JG3" i="30"/>
  <c r="JF3" i="30"/>
  <c r="JE3" i="30"/>
  <c r="JD3" i="30"/>
  <c r="JC3" i="30"/>
  <c r="IZ3" i="30"/>
  <c r="IY3" i="30"/>
  <c r="IX3" i="30"/>
  <c r="IW3" i="30"/>
  <c r="IV3" i="30"/>
  <c r="IS3" i="30"/>
  <c r="IR3" i="30"/>
  <c r="IP3" i="30"/>
  <c r="IO3" i="30"/>
  <c r="IL29" i="30"/>
  <c r="IK29" i="30"/>
  <c r="IJ29" i="30"/>
  <c r="II29" i="30"/>
  <c r="IH29" i="30"/>
  <c r="IE29" i="30"/>
  <c r="ID29" i="30"/>
  <c r="IC29" i="30"/>
  <c r="IB29" i="30"/>
  <c r="IA29" i="30"/>
  <c r="HX29" i="30"/>
  <c r="HW29" i="30"/>
  <c r="HU29" i="30"/>
  <c r="HT29" i="30"/>
  <c r="HQ29" i="30"/>
  <c r="HP29" i="30"/>
  <c r="HO29" i="30"/>
  <c r="HN29" i="30"/>
  <c r="IL18" i="30"/>
  <c r="IL19" i="30" s="1"/>
  <c r="IK18" i="30"/>
  <c r="IK19" i="30" s="1"/>
  <c r="IJ18" i="30"/>
  <c r="IJ19" i="30" s="1"/>
  <c r="II18" i="30"/>
  <c r="II19" i="30" s="1"/>
  <c r="IH18" i="30"/>
  <c r="IH19" i="30" s="1"/>
  <c r="IE18" i="30"/>
  <c r="IE19" i="30" s="1"/>
  <c r="ID18" i="30"/>
  <c r="ID19" i="30" s="1"/>
  <c r="IC18" i="30"/>
  <c r="IC19" i="30" s="1"/>
  <c r="IB18" i="30"/>
  <c r="IB19" i="30" s="1"/>
  <c r="IA18" i="30"/>
  <c r="IA19" i="30" s="1"/>
  <c r="HX18" i="30"/>
  <c r="HX19" i="30" s="1"/>
  <c r="HW18" i="30"/>
  <c r="HW19" i="30" s="1"/>
  <c r="HV18" i="30"/>
  <c r="HV19" i="30" s="1"/>
  <c r="HU18" i="30"/>
  <c r="HU19" i="30" s="1"/>
  <c r="HT18" i="30"/>
  <c r="HT19" i="30" s="1"/>
  <c r="HQ18" i="30"/>
  <c r="HQ19" i="30" s="1"/>
  <c r="HP18" i="30"/>
  <c r="HP19" i="30" s="1"/>
  <c r="HO18" i="30"/>
  <c r="HO19" i="30" s="1"/>
  <c r="HN18" i="30"/>
  <c r="HN19" i="30" s="1"/>
  <c r="HM18" i="30"/>
  <c r="HM19" i="30" s="1"/>
  <c r="IL16" i="30"/>
  <c r="IK16" i="30"/>
  <c r="IJ16" i="30"/>
  <c r="II16" i="30"/>
  <c r="IH16" i="30"/>
  <c r="IE16" i="30"/>
  <c r="ID16" i="30"/>
  <c r="IC16" i="30"/>
  <c r="IB16" i="30"/>
  <c r="IA16" i="30"/>
  <c r="HX16" i="30"/>
  <c r="HW16" i="30"/>
  <c r="HV16" i="30"/>
  <c r="HU16" i="30"/>
  <c r="HT16" i="30"/>
  <c r="HQ16" i="30"/>
  <c r="HP16" i="30"/>
  <c r="HO16" i="30"/>
  <c r="HN16" i="30"/>
  <c r="HM16" i="30"/>
  <c r="IL14" i="30"/>
  <c r="IL15" i="30" s="1"/>
  <c r="IK14" i="30"/>
  <c r="IK15" i="30" s="1"/>
  <c r="IJ14" i="30"/>
  <c r="IJ15" i="30" s="1"/>
  <c r="II14" i="30"/>
  <c r="II15" i="30" s="1"/>
  <c r="IH14" i="30"/>
  <c r="IH15" i="30" s="1"/>
  <c r="IE14" i="30"/>
  <c r="IE15" i="30" s="1"/>
  <c r="ID14" i="30"/>
  <c r="ID15" i="30" s="1"/>
  <c r="IC14" i="30"/>
  <c r="IC15" i="30" s="1"/>
  <c r="IB14" i="30"/>
  <c r="IB15" i="30" s="1"/>
  <c r="IA14" i="30"/>
  <c r="IA15" i="30" s="1"/>
  <c r="HX14" i="30"/>
  <c r="HX15" i="30" s="1"/>
  <c r="HW14" i="30"/>
  <c r="HW15" i="30" s="1"/>
  <c r="HV14" i="30"/>
  <c r="HV15" i="30" s="1"/>
  <c r="HU14" i="30"/>
  <c r="HU15" i="30" s="1"/>
  <c r="HT14" i="30"/>
  <c r="HT15" i="30" s="1"/>
  <c r="HQ14" i="30"/>
  <c r="HQ15" i="30" s="1"/>
  <c r="HP14" i="30"/>
  <c r="HP15" i="30" s="1"/>
  <c r="HO14" i="30"/>
  <c r="HO15" i="30" s="1"/>
  <c r="HN14" i="30"/>
  <c r="HN15" i="30" s="1"/>
  <c r="HM14" i="30"/>
  <c r="HM15" i="30" s="1"/>
  <c r="IL11" i="30"/>
  <c r="IL12" i="30" s="1"/>
  <c r="IK11" i="30"/>
  <c r="IK12" i="30" s="1"/>
  <c r="IJ11" i="30"/>
  <c r="IJ12" i="30" s="1"/>
  <c r="II11" i="30"/>
  <c r="II12" i="30" s="1"/>
  <c r="IH11" i="30"/>
  <c r="IE11" i="30"/>
  <c r="IE12" i="30" s="1"/>
  <c r="ID11" i="30"/>
  <c r="ID12" i="30" s="1"/>
  <c r="IC11" i="30"/>
  <c r="IC12" i="30" s="1"/>
  <c r="IB11" i="30"/>
  <c r="IB12" i="30" s="1"/>
  <c r="IA11" i="30"/>
  <c r="IA12" i="30" s="1"/>
  <c r="HX11" i="30"/>
  <c r="HX12" i="30" s="1"/>
  <c r="HW11" i="30"/>
  <c r="HW12" i="30" s="1"/>
  <c r="HV11" i="30"/>
  <c r="HU11" i="30"/>
  <c r="HU12" i="30" s="1"/>
  <c r="HT11" i="30"/>
  <c r="HT12" i="30" s="1"/>
  <c r="HQ11" i="30"/>
  <c r="HQ12" i="30" s="1"/>
  <c r="HP11" i="30"/>
  <c r="HP12" i="30" s="1"/>
  <c r="HO11" i="30"/>
  <c r="HO12" i="30" s="1"/>
  <c r="HN11" i="30"/>
  <c r="HN12" i="30" s="1"/>
  <c r="HM11" i="30"/>
  <c r="IL3" i="30"/>
  <c r="IK3" i="30"/>
  <c r="IJ3" i="30"/>
  <c r="II3" i="30"/>
  <c r="IH3" i="30"/>
  <c r="IE3" i="30"/>
  <c r="ID3" i="30"/>
  <c r="IC3" i="30"/>
  <c r="IB3" i="30"/>
  <c r="IA3" i="30"/>
  <c r="HX3" i="30"/>
  <c r="HW3" i="30"/>
  <c r="HV3" i="30"/>
  <c r="HU3" i="30"/>
  <c r="HT3" i="30"/>
  <c r="HQ3" i="30"/>
  <c r="HP3" i="30"/>
  <c r="HO3" i="30"/>
  <c r="HN3" i="30"/>
  <c r="HM3" i="30"/>
  <c r="HJ29" i="30"/>
  <c r="HI29" i="30"/>
  <c r="HH29" i="30"/>
  <c r="HG29" i="30"/>
  <c r="HF29" i="30"/>
  <c r="HC29" i="30"/>
  <c r="HB29" i="30"/>
  <c r="HA29" i="30"/>
  <c r="GZ29" i="30"/>
  <c r="GY29" i="30"/>
  <c r="GV29" i="30"/>
  <c r="GU29" i="30"/>
  <c r="GT29" i="30"/>
  <c r="GS29" i="30"/>
  <c r="GR29" i="30"/>
  <c r="GO29" i="30"/>
  <c r="GN29" i="30"/>
  <c r="GM29" i="30"/>
  <c r="GK29" i="30"/>
  <c r="HJ18" i="30"/>
  <c r="HJ19" i="30" s="1"/>
  <c r="HI18" i="30"/>
  <c r="HI19" i="30" s="1"/>
  <c r="HH18" i="30"/>
  <c r="HH19" i="30" s="1"/>
  <c r="HG18" i="30"/>
  <c r="HG19" i="30" s="1"/>
  <c r="HF18" i="30"/>
  <c r="HF19" i="30" s="1"/>
  <c r="HC18" i="30"/>
  <c r="HC19" i="30" s="1"/>
  <c r="HB18" i="30"/>
  <c r="HB19" i="30" s="1"/>
  <c r="HA18" i="30"/>
  <c r="HA19" i="30" s="1"/>
  <c r="GZ18" i="30"/>
  <c r="GZ19" i="30" s="1"/>
  <c r="GY18" i="30"/>
  <c r="GY19" i="30" s="1"/>
  <c r="GV18" i="30"/>
  <c r="GV19" i="30" s="1"/>
  <c r="GU18" i="30"/>
  <c r="GU19" i="30" s="1"/>
  <c r="GT18" i="30"/>
  <c r="GT19" i="30" s="1"/>
  <c r="GS18" i="30"/>
  <c r="GS19" i="30" s="1"/>
  <c r="GR18" i="30"/>
  <c r="GR19" i="30" s="1"/>
  <c r="GO18" i="30"/>
  <c r="GO19" i="30" s="1"/>
  <c r="GN18" i="30"/>
  <c r="GN19" i="30" s="1"/>
  <c r="GM18" i="30"/>
  <c r="GM19" i="30" s="1"/>
  <c r="GL18" i="30"/>
  <c r="GL19" i="30" s="1"/>
  <c r="GK18" i="30"/>
  <c r="GK19" i="30" s="1"/>
  <c r="HJ16" i="30"/>
  <c r="HI16" i="30"/>
  <c r="HH16" i="30"/>
  <c r="HG16" i="30"/>
  <c r="HF16" i="30"/>
  <c r="HC16" i="30"/>
  <c r="HB16" i="30"/>
  <c r="HA16" i="30"/>
  <c r="GZ16" i="30"/>
  <c r="GY16" i="30"/>
  <c r="GV16" i="30"/>
  <c r="GU16" i="30"/>
  <c r="GT16" i="30"/>
  <c r="GS16" i="30"/>
  <c r="GR16" i="30"/>
  <c r="GO16" i="30"/>
  <c r="GN16" i="30"/>
  <c r="GM16" i="30"/>
  <c r="GL16" i="30"/>
  <c r="GK16" i="30"/>
  <c r="HJ14" i="30"/>
  <c r="HJ15" i="30" s="1"/>
  <c r="HI14" i="30"/>
  <c r="HI15" i="30" s="1"/>
  <c r="HH14" i="30"/>
  <c r="HH15" i="30" s="1"/>
  <c r="HG14" i="30"/>
  <c r="HG15" i="30" s="1"/>
  <c r="HF14" i="30"/>
  <c r="HF15" i="30" s="1"/>
  <c r="HC14" i="30"/>
  <c r="HC15" i="30" s="1"/>
  <c r="HB14" i="30"/>
  <c r="HB15" i="30" s="1"/>
  <c r="HA14" i="30"/>
  <c r="HA15" i="30" s="1"/>
  <c r="GZ14" i="30"/>
  <c r="GZ15" i="30" s="1"/>
  <c r="GY14" i="30"/>
  <c r="GY15" i="30" s="1"/>
  <c r="GV14" i="30"/>
  <c r="GV15" i="30" s="1"/>
  <c r="GU14" i="30"/>
  <c r="GU15" i="30" s="1"/>
  <c r="GT14" i="30"/>
  <c r="GT15" i="30" s="1"/>
  <c r="GS14" i="30"/>
  <c r="GS15" i="30" s="1"/>
  <c r="GR14" i="30"/>
  <c r="GR15" i="30" s="1"/>
  <c r="GO14" i="30"/>
  <c r="GO15" i="30" s="1"/>
  <c r="GN14" i="30"/>
  <c r="GN15" i="30" s="1"/>
  <c r="GM14" i="30"/>
  <c r="GM15" i="30" s="1"/>
  <c r="GL14" i="30"/>
  <c r="GL15" i="30" s="1"/>
  <c r="GK14" i="30"/>
  <c r="GK15" i="30" s="1"/>
  <c r="HJ11" i="30"/>
  <c r="HJ12" i="30" s="1"/>
  <c r="HI11" i="30"/>
  <c r="HI12" i="30" s="1"/>
  <c r="HH11" i="30"/>
  <c r="HH12" i="30" s="1"/>
  <c r="HG11" i="30"/>
  <c r="HG12" i="30" s="1"/>
  <c r="HF12" i="30"/>
  <c r="HC11" i="30"/>
  <c r="HB11" i="30"/>
  <c r="HB12" i="30" s="1"/>
  <c r="HA11" i="30"/>
  <c r="HA12" i="30" s="1"/>
  <c r="GZ11" i="30"/>
  <c r="GZ12" i="30" s="1"/>
  <c r="GY11" i="30"/>
  <c r="GY12" i="30" s="1"/>
  <c r="GV11" i="30"/>
  <c r="GV12" i="30" s="1"/>
  <c r="GU11" i="30"/>
  <c r="GU12" i="30" s="1"/>
  <c r="GT11" i="30"/>
  <c r="GT12" i="30" s="1"/>
  <c r="GS11" i="30"/>
  <c r="GS12" i="30" s="1"/>
  <c r="GR11" i="30"/>
  <c r="GR12" i="30" s="1"/>
  <c r="GO11" i="30"/>
  <c r="GO12" i="30" s="1"/>
  <c r="GN11" i="30"/>
  <c r="GN12" i="30" s="1"/>
  <c r="GM11" i="30"/>
  <c r="GM12" i="30" s="1"/>
  <c r="GL11" i="30"/>
  <c r="GK11" i="30"/>
  <c r="GK12" i="30" s="1"/>
  <c r="HJ3" i="30"/>
  <c r="HI3" i="30"/>
  <c r="HH3" i="30"/>
  <c r="HG3" i="30"/>
  <c r="HF3" i="30"/>
  <c r="HC3" i="30"/>
  <c r="HB3" i="30"/>
  <c r="HA3" i="30"/>
  <c r="GZ3" i="30"/>
  <c r="GY3" i="30"/>
  <c r="GV3" i="30"/>
  <c r="GU3" i="30"/>
  <c r="GT3" i="30"/>
  <c r="GS3" i="30"/>
  <c r="GR3" i="30"/>
  <c r="GO3" i="30"/>
  <c r="GN3" i="30"/>
  <c r="GM3" i="30"/>
  <c r="GL3" i="30"/>
  <c r="GK3" i="30"/>
  <c r="GH29" i="30"/>
  <c r="GG29" i="30"/>
  <c r="GF29" i="30"/>
  <c r="GE29" i="30"/>
  <c r="GD29" i="30"/>
  <c r="GA29" i="30"/>
  <c r="FZ29" i="30"/>
  <c r="FY29" i="30"/>
  <c r="FX29" i="30"/>
  <c r="FW29" i="30"/>
  <c r="FT29" i="30"/>
  <c r="FS29" i="30"/>
  <c r="FR29" i="30"/>
  <c r="FQ29" i="30"/>
  <c r="FP29" i="30"/>
  <c r="FM29" i="30"/>
  <c r="FL29" i="30"/>
  <c r="FK29" i="30"/>
  <c r="FJ29" i="30"/>
  <c r="FI29" i="30"/>
  <c r="GH18" i="30"/>
  <c r="GH19" i="30" s="1"/>
  <c r="GG18" i="30"/>
  <c r="GG19" i="30" s="1"/>
  <c r="GF18" i="30"/>
  <c r="GF19" i="30" s="1"/>
  <c r="GE18" i="30"/>
  <c r="GE19" i="30" s="1"/>
  <c r="GD18" i="30"/>
  <c r="GD19" i="30" s="1"/>
  <c r="GA18" i="30"/>
  <c r="GA19" i="30" s="1"/>
  <c r="FZ18" i="30"/>
  <c r="FZ19" i="30" s="1"/>
  <c r="FY18" i="30"/>
  <c r="FY19" i="30" s="1"/>
  <c r="FX18" i="30"/>
  <c r="FX19" i="30" s="1"/>
  <c r="FW18" i="30"/>
  <c r="FW19" i="30" s="1"/>
  <c r="FT18" i="30"/>
  <c r="FT19" i="30" s="1"/>
  <c r="FS18" i="30"/>
  <c r="FS19" i="30" s="1"/>
  <c r="FR18" i="30"/>
  <c r="FR19" i="30" s="1"/>
  <c r="FQ18" i="30"/>
  <c r="FQ19" i="30" s="1"/>
  <c r="FP18" i="30"/>
  <c r="FP19" i="30" s="1"/>
  <c r="FM18" i="30"/>
  <c r="FM19" i="30" s="1"/>
  <c r="FL18" i="30"/>
  <c r="FL19" i="30" s="1"/>
  <c r="FK18" i="30"/>
  <c r="FK19" i="30" s="1"/>
  <c r="FJ18" i="30"/>
  <c r="FJ19" i="30" s="1"/>
  <c r="FI18" i="30"/>
  <c r="FI19" i="30" s="1"/>
  <c r="GH16" i="30"/>
  <c r="GG16" i="30"/>
  <c r="GF16" i="30"/>
  <c r="GE16" i="30"/>
  <c r="GD16" i="30"/>
  <c r="GA16" i="30"/>
  <c r="FZ16" i="30"/>
  <c r="FY16" i="30"/>
  <c r="FX16" i="30"/>
  <c r="FW16" i="30"/>
  <c r="FT16" i="30"/>
  <c r="FS16" i="30"/>
  <c r="FR16" i="30"/>
  <c r="FQ16" i="30"/>
  <c r="FP16" i="30"/>
  <c r="FM16" i="30"/>
  <c r="FL16" i="30"/>
  <c r="FK16" i="30"/>
  <c r="FJ16" i="30"/>
  <c r="FI16" i="30"/>
  <c r="GH14" i="30"/>
  <c r="GH15" i="30" s="1"/>
  <c r="GG14" i="30"/>
  <c r="GG15" i="30" s="1"/>
  <c r="GF14" i="30"/>
  <c r="GF15" i="30" s="1"/>
  <c r="GE14" i="30"/>
  <c r="GE15" i="30" s="1"/>
  <c r="GD14" i="30"/>
  <c r="GD15" i="30" s="1"/>
  <c r="GA14" i="30"/>
  <c r="GA15" i="30" s="1"/>
  <c r="FZ14" i="30"/>
  <c r="FZ15" i="30" s="1"/>
  <c r="FY14" i="30"/>
  <c r="FY15" i="30" s="1"/>
  <c r="FX14" i="30"/>
  <c r="FX15" i="30" s="1"/>
  <c r="FW14" i="30"/>
  <c r="FW15" i="30" s="1"/>
  <c r="FT14" i="30"/>
  <c r="FT15" i="30" s="1"/>
  <c r="FS14" i="30"/>
  <c r="FS15" i="30" s="1"/>
  <c r="FR14" i="30"/>
  <c r="FR15" i="30" s="1"/>
  <c r="FQ14" i="30"/>
  <c r="FQ15" i="30" s="1"/>
  <c r="FP14" i="30"/>
  <c r="FP15" i="30" s="1"/>
  <c r="FM14" i="30"/>
  <c r="FM15" i="30" s="1"/>
  <c r="FL14" i="30"/>
  <c r="FL15" i="30" s="1"/>
  <c r="FK14" i="30"/>
  <c r="FK15" i="30" s="1"/>
  <c r="FJ14" i="30"/>
  <c r="FJ15" i="30" s="1"/>
  <c r="FI14" i="30"/>
  <c r="FI15" i="30" s="1"/>
  <c r="GH11" i="30"/>
  <c r="GH12" i="30" s="1"/>
  <c r="GG11" i="30"/>
  <c r="GG12" i="30" s="1"/>
  <c r="GF11" i="30"/>
  <c r="GF12" i="30" s="1"/>
  <c r="GE11" i="30"/>
  <c r="GE12" i="30" s="1"/>
  <c r="GD11" i="30"/>
  <c r="GD12" i="30" s="1"/>
  <c r="GA11" i="30"/>
  <c r="GA12" i="30" s="1"/>
  <c r="FZ11" i="30"/>
  <c r="FZ12" i="30" s="1"/>
  <c r="FY11" i="30"/>
  <c r="FY12" i="30" s="1"/>
  <c r="FX11" i="30"/>
  <c r="FX12" i="30" s="1"/>
  <c r="FW11" i="30"/>
  <c r="FW12" i="30" s="1"/>
  <c r="FT11" i="30"/>
  <c r="FT12" i="30" s="1"/>
  <c r="FS11" i="30"/>
  <c r="FS12" i="30" s="1"/>
  <c r="FR11" i="30"/>
  <c r="FR12" i="30" s="1"/>
  <c r="FQ11" i="30"/>
  <c r="FQ12" i="30" s="1"/>
  <c r="FP11" i="30"/>
  <c r="FP12" i="30" s="1"/>
  <c r="FM11" i="30"/>
  <c r="FM12" i="30" s="1"/>
  <c r="FL11" i="30"/>
  <c r="FL12" i="30" s="1"/>
  <c r="FK11" i="30"/>
  <c r="FK12" i="30" s="1"/>
  <c r="FJ11" i="30"/>
  <c r="FJ12" i="30" s="1"/>
  <c r="FI11" i="30"/>
  <c r="FI12" i="30" s="1"/>
  <c r="GH3" i="30"/>
  <c r="GG3" i="30"/>
  <c r="GF3" i="30"/>
  <c r="GE3" i="30"/>
  <c r="GD3" i="30"/>
  <c r="GA3" i="30"/>
  <c r="FZ3" i="30"/>
  <c r="FY3" i="30"/>
  <c r="FX3" i="30"/>
  <c r="FW3" i="30"/>
  <c r="FT3" i="30"/>
  <c r="FS3" i="30"/>
  <c r="FR3" i="30"/>
  <c r="FQ3" i="30"/>
  <c r="FP3" i="30"/>
  <c r="FM3" i="30"/>
  <c r="FL3" i="30"/>
  <c r="FK3" i="30"/>
  <c r="FJ3" i="30"/>
  <c r="FI3" i="30"/>
  <c r="FF29" i="30"/>
  <c r="FE29" i="30"/>
  <c r="FD29" i="30"/>
  <c r="FC29" i="30"/>
  <c r="FB29" i="30"/>
  <c r="EY29" i="30"/>
  <c r="EX29" i="30"/>
  <c r="EW29" i="30"/>
  <c r="EV29" i="30"/>
  <c r="EU29" i="30"/>
  <c r="ER29" i="30"/>
  <c r="EQ29" i="30"/>
  <c r="EP29" i="30"/>
  <c r="EO29" i="30"/>
  <c r="EN29" i="30"/>
  <c r="EK29" i="30"/>
  <c r="EJ29" i="30"/>
  <c r="EI29" i="30"/>
  <c r="EH29" i="30"/>
  <c r="EG29" i="30"/>
  <c r="FF18" i="30"/>
  <c r="FF19" i="30" s="1"/>
  <c r="FE18" i="30"/>
  <c r="FE19" i="30" s="1"/>
  <c r="FD18" i="30"/>
  <c r="FD19" i="30" s="1"/>
  <c r="FC18" i="30"/>
  <c r="FC19" i="30" s="1"/>
  <c r="FB18" i="30"/>
  <c r="FB19" i="30" s="1"/>
  <c r="EY18" i="30"/>
  <c r="EY19" i="30" s="1"/>
  <c r="EX18" i="30"/>
  <c r="EX19" i="30" s="1"/>
  <c r="EW18" i="30"/>
  <c r="EW19" i="30" s="1"/>
  <c r="EV18" i="30"/>
  <c r="EV19" i="30" s="1"/>
  <c r="EU18" i="30"/>
  <c r="EU19" i="30" s="1"/>
  <c r="ER18" i="30"/>
  <c r="ER19" i="30" s="1"/>
  <c r="EQ18" i="30"/>
  <c r="EQ19" i="30" s="1"/>
  <c r="EP18" i="30"/>
  <c r="EP19" i="30" s="1"/>
  <c r="EO18" i="30"/>
  <c r="EO19" i="30" s="1"/>
  <c r="EN18" i="30"/>
  <c r="EN19" i="30" s="1"/>
  <c r="EK18" i="30"/>
  <c r="EK19" i="30" s="1"/>
  <c r="EJ18" i="30"/>
  <c r="EJ19" i="30" s="1"/>
  <c r="EI18" i="30"/>
  <c r="EI19" i="30" s="1"/>
  <c r="EH18" i="30"/>
  <c r="EH19" i="30" s="1"/>
  <c r="EG18" i="30"/>
  <c r="EG19" i="30" s="1"/>
  <c r="FF16" i="30"/>
  <c r="FE16" i="30"/>
  <c r="FD16" i="30"/>
  <c r="FC16" i="30"/>
  <c r="FB16" i="30"/>
  <c r="EY16" i="30"/>
  <c r="EX16" i="30"/>
  <c r="EW16" i="30"/>
  <c r="EV16" i="30"/>
  <c r="EU16" i="30"/>
  <c r="ER16" i="30"/>
  <c r="EQ16" i="30"/>
  <c r="EP16" i="30"/>
  <c r="EO16" i="30"/>
  <c r="EN16" i="30"/>
  <c r="EK16" i="30"/>
  <c r="EJ16" i="30"/>
  <c r="EI16" i="30"/>
  <c r="EH16" i="30"/>
  <c r="EG16" i="30"/>
  <c r="FF14" i="30"/>
  <c r="FF15" i="30" s="1"/>
  <c r="FE14" i="30"/>
  <c r="FE15" i="30" s="1"/>
  <c r="FD14" i="30"/>
  <c r="FD15" i="30" s="1"/>
  <c r="FC14" i="30"/>
  <c r="FC15" i="30" s="1"/>
  <c r="FB14" i="30"/>
  <c r="FB15" i="30" s="1"/>
  <c r="EY14" i="30"/>
  <c r="EY15" i="30" s="1"/>
  <c r="EX14" i="30"/>
  <c r="EX15" i="30" s="1"/>
  <c r="EW14" i="30"/>
  <c r="EW15" i="30" s="1"/>
  <c r="EV14" i="30"/>
  <c r="EV15" i="30" s="1"/>
  <c r="EU14" i="30"/>
  <c r="EU15" i="30" s="1"/>
  <c r="ER14" i="30"/>
  <c r="ER15" i="30" s="1"/>
  <c r="EQ14" i="30"/>
  <c r="EQ15" i="30" s="1"/>
  <c r="EP14" i="30"/>
  <c r="EP15" i="30" s="1"/>
  <c r="EO14" i="30"/>
  <c r="EO15" i="30" s="1"/>
  <c r="EN14" i="30"/>
  <c r="EN15" i="30" s="1"/>
  <c r="EK14" i="30"/>
  <c r="EK15" i="30" s="1"/>
  <c r="EJ14" i="30"/>
  <c r="EJ15" i="30" s="1"/>
  <c r="EI14" i="30"/>
  <c r="EI15" i="30" s="1"/>
  <c r="EH14" i="30"/>
  <c r="EH15" i="30" s="1"/>
  <c r="EG14" i="30"/>
  <c r="EG15" i="30" s="1"/>
  <c r="FF11" i="30"/>
  <c r="FF12" i="30" s="1"/>
  <c r="FE11" i="30"/>
  <c r="FE12" i="30" s="1"/>
  <c r="FD11" i="30"/>
  <c r="FD12" i="30" s="1"/>
  <c r="FC11" i="30"/>
  <c r="FC12" i="30" s="1"/>
  <c r="FB11" i="30"/>
  <c r="FB12" i="30" s="1"/>
  <c r="EY11" i="30"/>
  <c r="EY12" i="30" s="1"/>
  <c r="EX11" i="30"/>
  <c r="EX12" i="30" s="1"/>
  <c r="EW11" i="30"/>
  <c r="EW12" i="30" s="1"/>
  <c r="EV11" i="30"/>
  <c r="EV12" i="30" s="1"/>
  <c r="EU11" i="30"/>
  <c r="EU12" i="30" s="1"/>
  <c r="ER11" i="30"/>
  <c r="ER12" i="30" s="1"/>
  <c r="EQ11" i="30"/>
  <c r="EQ12" i="30" s="1"/>
  <c r="EP11" i="30"/>
  <c r="EP12" i="30" s="1"/>
  <c r="EO11" i="30"/>
  <c r="EO12" i="30" s="1"/>
  <c r="EN11" i="30"/>
  <c r="EN12" i="30" s="1"/>
  <c r="EK11" i="30"/>
  <c r="EK12" i="30" s="1"/>
  <c r="EJ11" i="30"/>
  <c r="EJ12" i="30" s="1"/>
  <c r="EI11" i="30"/>
  <c r="EI12" i="30" s="1"/>
  <c r="EH11" i="30"/>
  <c r="EH12" i="30" s="1"/>
  <c r="EG11" i="30"/>
  <c r="EG12" i="30" s="1"/>
  <c r="FF3" i="30"/>
  <c r="FE3" i="30"/>
  <c r="FD3" i="30"/>
  <c r="FC3" i="30"/>
  <c r="FB3" i="30"/>
  <c r="EY3" i="30"/>
  <c r="EX3" i="30"/>
  <c r="EW3" i="30"/>
  <c r="EV3" i="30"/>
  <c r="EU3" i="30"/>
  <c r="ER3" i="30"/>
  <c r="EQ3" i="30"/>
  <c r="EP3" i="30"/>
  <c r="EO3" i="30"/>
  <c r="EN3" i="30"/>
  <c r="EK3" i="30"/>
  <c r="EJ3" i="30"/>
  <c r="EI3" i="30"/>
  <c r="EH3" i="30"/>
  <c r="EG3" i="30"/>
  <c r="CX37" i="30"/>
  <c r="CX8" i="30"/>
  <c r="KS12" i="30" l="1"/>
  <c r="KS29" i="30"/>
  <c r="IX12" i="30"/>
  <c r="IX29" i="30"/>
  <c r="IY31" i="30" s="1"/>
  <c r="IH12" i="30"/>
  <c r="HV12" i="30"/>
  <c r="HV29" i="30"/>
  <c r="HM12" i="30"/>
  <c r="HM29" i="30"/>
  <c r="HC12" i="30"/>
  <c r="GL12" i="30"/>
  <c r="GL29" i="30"/>
  <c r="GL31" i="30" s="1"/>
  <c r="MW31" i="30"/>
  <c r="MW30" i="30"/>
  <c r="MX30" i="30"/>
  <c r="MY31" i="30"/>
  <c r="MX31" i="30"/>
  <c r="NA31" i="30"/>
  <c r="NA30" i="30"/>
  <c r="MZ31" i="30"/>
  <c r="MQ31" i="30"/>
  <c r="MQ30" i="30"/>
  <c r="ML30" i="30"/>
  <c r="ML31" i="30"/>
  <c r="LU31" i="30"/>
  <c r="LU30" i="30"/>
  <c r="LY31" i="30"/>
  <c r="LY30" i="30"/>
  <c r="ME31" i="30"/>
  <c r="ME30" i="30"/>
  <c r="MK30" i="30"/>
  <c r="MK31" i="30"/>
  <c r="LV31" i="30"/>
  <c r="LV30" i="30"/>
  <c r="MB31" i="30"/>
  <c r="MB30" i="30"/>
  <c r="MF31" i="30"/>
  <c r="MF30" i="30"/>
  <c r="MR31" i="30"/>
  <c r="MR30" i="30"/>
  <c r="LW31" i="30"/>
  <c r="LW30" i="30"/>
  <c r="MC31" i="30"/>
  <c r="MC30" i="30"/>
  <c r="MI31" i="30"/>
  <c r="MI30" i="30"/>
  <c r="MM31" i="30"/>
  <c r="MM30" i="30"/>
  <c r="MS31" i="30"/>
  <c r="MS30" i="30"/>
  <c r="LX31" i="30"/>
  <c r="LX30" i="30"/>
  <c r="MD31" i="30"/>
  <c r="MD30" i="30"/>
  <c r="MJ31" i="30"/>
  <c r="MJ30" i="30"/>
  <c r="MP31" i="30"/>
  <c r="MP30" i="30"/>
  <c r="MT31" i="30"/>
  <c r="MT30" i="30"/>
  <c r="KW31" i="30"/>
  <c r="KW30" i="30"/>
  <c r="LI31" i="30"/>
  <c r="LI30" i="30"/>
  <c r="KT31" i="30"/>
  <c r="KT30" i="30"/>
  <c r="LJ31" i="30"/>
  <c r="LJ30" i="30"/>
  <c r="LA31" i="30"/>
  <c r="LA30" i="30"/>
  <c r="LG31" i="30"/>
  <c r="LG30" i="30"/>
  <c r="LK31" i="30"/>
  <c r="LK30" i="30"/>
  <c r="LQ31" i="30"/>
  <c r="LQ30" i="30"/>
  <c r="KS31" i="30"/>
  <c r="KS30" i="30"/>
  <c r="LC31" i="30"/>
  <c r="LC30" i="30"/>
  <c r="LO31" i="30"/>
  <c r="LO30" i="30"/>
  <c r="KZ31" i="30"/>
  <c r="KZ30" i="30"/>
  <c r="LD31" i="30"/>
  <c r="LD30" i="30"/>
  <c r="LP31" i="30"/>
  <c r="LP30" i="30"/>
  <c r="KV31" i="30"/>
  <c r="KV30" i="30"/>
  <c r="LB31" i="30"/>
  <c r="LB30" i="30"/>
  <c r="LH31" i="30"/>
  <c r="LH30" i="30"/>
  <c r="LN31" i="30"/>
  <c r="LN30" i="30"/>
  <c r="LR31" i="30"/>
  <c r="LR30" i="30"/>
  <c r="KG30" i="30"/>
  <c r="KG31" i="30"/>
  <c r="KH30" i="30"/>
  <c r="KH31" i="30"/>
  <c r="JS31" i="30"/>
  <c r="JS30" i="30"/>
  <c r="JY31" i="30"/>
  <c r="JY30" i="30"/>
  <c r="KE31" i="30"/>
  <c r="KE30" i="30"/>
  <c r="KO31" i="30"/>
  <c r="KO30" i="30"/>
  <c r="JQ31" i="30"/>
  <c r="JQ30" i="30"/>
  <c r="JU31" i="30"/>
  <c r="JU30" i="30"/>
  <c r="KA31" i="30"/>
  <c r="KA30" i="30"/>
  <c r="KM31" i="30"/>
  <c r="KM30" i="30"/>
  <c r="JR31" i="30"/>
  <c r="JR30" i="30"/>
  <c r="JX31" i="30"/>
  <c r="JX30" i="30"/>
  <c r="KB31" i="30"/>
  <c r="KB30" i="30"/>
  <c r="KN31" i="30"/>
  <c r="KN30" i="30"/>
  <c r="KI31" i="30"/>
  <c r="KI30" i="30"/>
  <c r="JT31" i="30"/>
  <c r="JT30" i="30"/>
  <c r="KF31" i="30"/>
  <c r="KF30" i="30"/>
  <c r="KL31" i="30"/>
  <c r="KL30" i="30"/>
  <c r="KP31" i="30"/>
  <c r="KP30" i="30"/>
  <c r="JE30" i="30"/>
  <c r="JE31" i="30"/>
  <c r="JL31" i="30"/>
  <c r="JL30" i="30"/>
  <c r="IO31" i="30"/>
  <c r="IO30" i="30"/>
  <c r="IS31" i="30"/>
  <c r="IS30" i="30"/>
  <c r="IY30" i="30"/>
  <c r="JK31" i="30"/>
  <c r="JK30" i="30"/>
  <c r="IP31" i="30"/>
  <c r="IP30" i="30"/>
  <c r="IV31" i="30"/>
  <c r="IV30" i="30"/>
  <c r="IZ31" i="30"/>
  <c r="IZ30" i="30"/>
  <c r="JF30" i="30"/>
  <c r="JF31" i="30"/>
  <c r="IW31" i="30"/>
  <c r="IW30" i="30"/>
  <c r="JC31" i="30"/>
  <c r="JC30" i="30"/>
  <c r="JG31" i="30"/>
  <c r="JG30" i="30"/>
  <c r="JM31" i="30"/>
  <c r="JM30" i="30"/>
  <c r="IR31" i="30"/>
  <c r="IR30" i="30"/>
  <c r="IX30" i="30"/>
  <c r="JD31" i="30"/>
  <c r="JD30" i="30"/>
  <c r="JJ31" i="30"/>
  <c r="JJ30" i="30"/>
  <c r="JN31" i="30"/>
  <c r="JN30" i="30"/>
  <c r="HW31" i="30"/>
  <c r="HW30" i="30"/>
  <c r="II31" i="30"/>
  <c r="II30" i="30"/>
  <c r="HN31" i="30"/>
  <c r="HN30" i="30"/>
  <c r="HT31" i="30"/>
  <c r="HT30" i="30"/>
  <c r="HX31" i="30"/>
  <c r="HX30" i="30"/>
  <c r="ID31" i="30"/>
  <c r="ID30" i="30"/>
  <c r="IJ31" i="30"/>
  <c r="IJ30" i="30"/>
  <c r="HM31" i="30"/>
  <c r="HM30" i="30"/>
  <c r="HQ31" i="30"/>
  <c r="HQ30" i="30"/>
  <c r="IC31" i="30"/>
  <c r="IC30" i="30"/>
  <c r="HO31" i="30"/>
  <c r="HO30" i="30"/>
  <c r="HU31" i="30"/>
  <c r="HU30" i="30"/>
  <c r="IA31" i="30"/>
  <c r="IA30" i="30"/>
  <c r="IE31" i="30"/>
  <c r="IE30" i="30"/>
  <c r="IK31" i="30"/>
  <c r="IK30" i="30"/>
  <c r="HP31" i="30"/>
  <c r="HP30" i="30"/>
  <c r="HV31" i="30"/>
  <c r="HV30" i="30"/>
  <c r="IB31" i="30"/>
  <c r="IB30" i="30"/>
  <c r="IH31" i="30"/>
  <c r="IH30" i="30"/>
  <c r="IL31" i="30"/>
  <c r="IL30" i="30"/>
  <c r="GO30" i="30"/>
  <c r="GO31" i="30"/>
  <c r="HG31" i="30"/>
  <c r="HG30" i="30"/>
  <c r="GR31" i="30"/>
  <c r="GR30" i="30"/>
  <c r="GK31" i="30"/>
  <c r="GK30" i="30"/>
  <c r="GU31" i="30"/>
  <c r="GU30" i="30"/>
  <c r="HA30" i="30"/>
  <c r="HA31" i="30"/>
  <c r="GL30" i="30"/>
  <c r="GV31" i="30"/>
  <c r="GV30" i="30"/>
  <c r="HB31" i="30"/>
  <c r="HB30" i="30"/>
  <c r="HH31" i="30"/>
  <c r="HH30" i="30"/>
  <c r="GM30" i="30"/>
  <c r="GS31" i="30"/>
  <c r="GS30" i="30"/>
  <c r="GY31" i="30"/>
  <c r="GY30" i="30"/>
  <c r="HC31" i="30"/>
  <c r="HC30" i="30"/>
  <c r="HI31" i="30"/>
  <c r="HI30" i="30"/>
  <c r="GN31" i="30"/>
  <c r="GN30" i="30"/>
  <c r="GT31" i="30"/>
  <c r="GT30" i="30"/>
  <c r="GZ31" i="30"/>
  <c r="GZ30" i="30"/>
  <c r="HF31" i="30"/>
  <c r="HF30" i="30"/>
  <c r="HJ31" i="30"/>
  <c r="HJ30" i="30"/>
  <c r="FY31" i="30"/>
  <c r="FY30" i="30"/>
  <c r="FI31" i="30"/>
  <c r="FI30" i="30"/>
  <c r="FM31" i="30"/>
  <c r="FM30" i="30"/>
  <c r="FS31" i="30"/>
  <c r="FS30" i="30"/>
  <c r="GE31" i="30"/>
  <c r="GE30" i="30"/>
  <c r="FJ31" i="30"/>
  <c r="FJ30" i="30"/>
  <c r="FP31" i="30"/>
  <c r="FP30" i="30"/>
  <c r="FT31" i="30"/>
  <c r="FT30" i="30"/>
  <c r="FZ31" i="30"/>
  <c r="FZ30" i="30"/>
  <c r="GF31" i="30"/>
  <c r="GF30" i="30"/>
  <c r="FK31" i="30"/>
  <c r="FK30" i="30"/>
  <c r="FQ31" i="30"/>
  <c r="FQ30" i="30"/>
  <c r="FW31" i="30"/>
  <c r="FW30" i="30"/>
  <c r="GA31" i="30"/>
  <c r="GA30" i="30"/>
  <c r="GG31" i="30"/>
  <c r="GG30" i="30"/>
  <c r="FL31" i="30"/>
  <c r="FL30" i="30"/>
  <c r="FR31" i="30"/>
  <c r="FR30" i="30"/>
  <c r="FX31" i="30"/>
  <c r="FX30" i="30"/>
  <c r="GD31" i="30"/>
  <c r="GD30" i="30"/>
  <c r="GH31" i="30"/>
  <c r="GH30" i="30"/>
  <c r="EK31" i="30"/>
  <c r="EK30" i="30"/>
  <c r="EQ30" i="30"/>
  <c r="EQ31" i="30"/>
  <c r="EW31" i="30"/>
  <c r="EW30" i="30"/>
  <c r="EH31" i="30"/>
  <c r="EH30" i="30"/>
  <c r="EN31" i="30"/>
  <c r="EN30" i="30"/>
  <c r="ER31" i="30"/>
  <c r="ER30" i="30"/>
  <c r="FD31" i="30"/>
  <c r="FD30" i="30"/>
  <c r="EI31" i="30"/>
  <c r="EI30" i="30"/>
  <c r="EO31" i="30"/>
  <c r="EO30" i="30"/>
  <c r="EU31" i="30"/>
  <c r="EU30" i="30"/>
  <c r="EY31" i="30"/>
  <c r="EY30" i="30"/>
  <c r="FE31" i="30"/>
  <c r="FE30" i="30"/>
  <c r="EG30" i="30"/>
  <c r="FC31" i="30"/>
  <c r="FC30" i="30"/>
  <c r="EX31" i="30"/>
  <c r="EX30" i="30"/>
  <c r="EJ31" i="30"/>
  <c r="EJ30" i="30"/>
  <c r="EP31" i="30"/>
  <c r="EP30" i="30"/>
  <c r="EV31" i="30"/>
  <c r="EV30" i="30"/>
  <c r="FB31" i="30"/>
  <c r="FB30" i="30"/>
  <c r="FF31" i="30"/>
  <c r="FF30" i="30"/>
  <c r="CU54" i="30"/>
  <c r="CU53" i="30"/>
  <c r="CU37" i="30"/>
  <c r="CT37" i="30"/>
  <c r="CU8" i="30"/>
  <c r="GM31" i="30" l="1"/>
  <c r="IX31" i="30"/>
  <c r="CT54" i="30"/>
  <c r="CT53" i="30"/>
  <c r="CT8" i="30"/>
  <c r="CS54" i="30" l="1"/>
  <c r="CS53" i="30"/>
  <c r="CR54" i="30"/>
  <c r="CS37" i="30"/>
  <c r="CS8" i="30"/>
  <c r="CR53" i="30" l="1"/>
  <c r="CR37" i="30"/>
  <c r="CQ37" i="30"/>
  <c r="CR8" i="30"/>
  <c r="CQ54" i="30" l="1"/>
  <c r="CQ53" i="30"/>
  <c r="CQ8" i="30"/>
  <c r="CN54" i="30" l="1"/>
  <c r="CN53" i="30"/>
  <c r="CN37" i="30"/>
  <c r="CN8" i="30"/>
  <c r="CM54" i="30" l="1"/>
  <c r="CM53" i="30"/>
  <c r="CM8" i="30"/>
  <c r="CM37" i="30"/>
  <c r="CL54" i="30" l="1"/>
  <c r="CL53" i="30"/>
  <c r="CL37" i="30"/>
  <c r="CL8" i="30"/>
  <c r="CK54" i="30" l="1"/>
  <c r="CK53" i="30"/>
  <c r="CK8" i="30"/>
  <c r="CK37" i="30"/>
  <c r="CJ54" i="30" l="1"/>
  <c r="CJ53" i="30"/>
  <c r="CJ8" i="30"/>
  <c r="CJ37" i="30"/>
  <c r="CG54" i="30" l="1"/>
  <c r="CG53" i="30"/>
  <c r="CF54" i="30"/>
  <c r="CF53" i="30"/>
  <c r="CG8" i="30"/>
  <c r="CG37" i="30"/>
  <c r="CF8" i="30" l="1"/>
  <c r="CF37" i="30"/>
  <c r="CE37" i="30"/>
  <c r="CE54" i="30" l="1"/>
  <c r="CE53" i="30"/>
  <c r="CE8" i="30"/>
  <c r="CD54" i="30" l="1"/>
  <c r="CD53" i="30"/>
  <c r="CD37" i="30"/>
  <c r="CD8" i="30"/>
  <c r="CC54" i="30" l="1"/>
  <c r="CC53" i="30"/>
  <c r="CC8" i="30"/>
  <c r="CC37" i="30"/>
  <c r="BZ54" i="30" l="1"/>
  <c r="BZ53" i="30"/>
  <c r="BZ37" i="30"/>
  <c r="BZ8" i="30"/>
  <c r="BY54" i="30" l="1"/>
  <c r="BY53" i="30"/>
  <c r="BY8" i="30"/>
  <c r="BY37" i="30"/>
  <c r="BX54" i="30" l="1"/>
  <c r="BX53" i="30"/>
  <c r="BW54" i="30"/>
  <c r="BW53" i="30"/>
  <c r="BX8" i="30"/>
  <c r="BX37" i="30"/>
  <c r="BW37" i="30" l="1"/>
  <c r="BW8" i="30"/>
  <c r="BV54" i="30" l="1"/>
  <c r="BV53" i="30"/>
  <c r="BV8" i="30"/>
  <c r="BV37" i="30"/>
  <c r="BS54" i="30" l="1"/>
  <c r="BS53" i="30"/>
  <c r="BS37" i="30"/>
  <c r="BS8" i="30"/>
  <c r="BR53" i="30" l="1"/>
  <c r="BR54" i="30"/>
  <c r="BR8" i="30"/>
  <c r="BR37" i="30"/>
  <c r="BQ54" i="30" l="1"/>
  <c r="BQ53" i="30"/>
  <c r="BQ8" i="30"/>
  <c r="BQ37" i="30"/>
  <c r="BP54" i="30" l="1"/>
  <c r="BP53" i="30"/>
  <c r="BP37" i="30"/>
  <c r="BP8" i="30"/>
  <c r="BO54" i="30" l="1"/>
  <c r="BO53" i="30"/>
  <c r="BO8" i="30"/>
  <c r="BO37" i="30"/>
  <c r="BL54" i="30" l="1"/>
  <c r="BL53" i="30"/>
  <c r="DZ3" i="30"/>
  <c r="DZ11" i="30"/>
  <c r="DZ12" i="30" s="1"/>
  <c r="DZ18" i="30"/>
  <c r="DZ19" i="30" s="1"/>
  <c r="DZ14" i="30"/>
  <c r="DZ15" i="30" s="1"/>
  <c r="ED29" i="30"/>
  <c r="EG31" i="30" s="1"/>
  <c r="EC29" i="30"/>
  <c r="EC30" i="30" s="1"/>
  <c r="EB29" i="30"/>
  <c r="EB30" i="30" s="1"/>
  <c r="EA29" i="30"/>
  <c r="DZ29" i="30"/>
  <c r="ED18" i="30"/>
  <c r="ED19" i="30" s="1"/>
  <c r="EC18" i="30"/>
  <c r="EC19" i="30" s="1"/>
  <c r="EB18" i="30"/>
  <c r="EB19" i="30" s="1"/>
  <c r="EA18" i="30"/>
  <c r="EA19" i="30" s="1"/>
  <c r="ED16" i="30"/>
  <c r="EC16" i="30"/>
  <c r="EB16" i="30"/>
  <c r="EA16" i="30"/>
  <c r="DZ16" i="30"/>
  <c r="ED14" i="30"/>
  <c r="ED15" i="30" s="1"/>
  <c r="EC14" i="30"/>
  <c r="EC15" i="30" s="1"/>
  <c r="EB14" i="30"/>
  <c r="EB15" i="30" s="1"/>
  <c r="EA14" i="30"/>
  <c r="EA15" i="30" s="1"/>
  <c r="ED11" i="30"/>
  <c r="ED12" i="30" s="1"/>
  <c r="EC11" i="30"/>
  <c r="EC12" i="30" s="1"/>
  <c r="EB11" i="30"/>
  <c r="EB12" i="30" s="1"/>
  <c r="EA11" i="30"/>
  <c r="EA12" i="30" s="1"/>
  <c r="ED3" i="30"/>
  <c r="EC3" i="30"/>
  <c r="EB3" i="30"/>
  <c r="EA3" i="30"/>
  <c r="DW29" i="30"/>
  <c r="DW30" i="30" s="1"/>
  <c r="DV29" i="30"/>
  <c r="DV30" i="30" s="1"/>
  <c r="DU29" i="30"/>
  <c r="DU30" i="30" s="1"/>
  <c r="DT29" i="30"/>
  <c r="DT30" i="30" s="1"/>
  <c r="DS29" i="30"/>
  <c r="DS30" i="30" s="1"/>
  <c r="DW18" i="30"/>
  <c r="DW19" i="30" s="1"/>
  <c r="DV18" i="30"/>
  <c r="DV19" i="30" s="1"/>
  <c r="DU18" i="30"/>
  <c r="DU19" i="30" s="1"/>
  <c r="DT18" i="30"/>
  <c r="DT19" i="30" s="1"/>
  <c r="DS18" i="30"/>
  <c r="DS19" i="30" s="1"/>
  <c r="DW16" i="30"/>
  <c r="DV16" i="30"/>
  <c r="DU16" i="30"/>
  <c r="DT16" i="30"/>
  <c r="DS16" i="30"/>
  <c r="DW14" i="30"/>
  <c r="DW15" i="30" s="1"/>
  <c r="DV14" i="30"/>
  <c r="DV15" i="30" s="1"/>
  <c r="DU14" i="30"/>
  <c r="DU15" i="30" s="1"/>
  <c r="DT14" i="30"/>
  <c r="DT15" i="30" s="1"/>
  <c r="DS14" i="30"/>
  <c r="DS15" i="30" s="1"/>
  <c r="DW11" i="30"/>
  <c r="DW12" i="30" s="1"/>
  <c r="DV11" i="30"/>
  <c r="DV12" i="30" s="1"/>
  <c r="DU11" i="30"/>
  <c r="DU12" i="30" s="1"/>
  <c r="DT11" i="30"/>
  <c r="DT12" i="30" s="1"/>
  <c r="DS11" i="30"/>
  <c r="DS12" i="30" s="1"/>
  <c r="DW3" i="30"/>
  <c r="DV3" i="30"/>
  <c r="DU3" i="30"/>
  <c r="DT3" i="30"/>
  <c r="DS3" i="30"/>
  <c r="DP29" i="30"/>
  <c r="DO29" i="30"/>
  <c r="DO30" i="30" s="1"/>
  <c r="DN29" i="30"/>
  <c r="DN30" i="30" s="1"/>
  <c r="DM29" i="30"/>
  <c r="DM30" i="30" s="1"/>
  <c r="DL29" i="30"/>
  <c r="DP18" i="30"/>
  <c r="DP19" i="30" s="1"/>
  <c r="DO18" i="30"/>
  <c r="DO19" i="30" s="1"/>
  <c r="DN18" i="30"/>
  <c r="DN19" i="30" s="1"/>
  <c r="DM18" i="30"/>
  <c r="DM19" i="30" s="1"/>
  <c r="DL18" i="30"/>
  <c r="DL19" i="30" s="1"/>
  <c r="DP16" i="30"/>
  <c r="DO16" i="30"/>
  <c r="DN16" i="30"/>
  <c r="DM16" i="30"/>
  <c r="DL16" i="30"/>
  <c r="DP14" i="30"/>
  <c r="DP15" i="30" s="1"/>
  <c r="DO14" i="30"/>
  <c r="DO15" i="30" s="1"/>
  <c r="DN14" i="30"/>
  <c r="DN15" i="30" s="1"/>
  <c r="DM14" i="30"/>
  <c r="DM15" i="30" s="1"/>
  <c r="DL14" i="30"/>
  <c r="DL15" i="30" s="1"/>
  <c r="DP11" i="30"/>
  <c r="DP12" i="30" s="1"/>
  <c r="DO11" i="30"/>
  <c r="DO12" i="30" s="1"/>
  <c r="DN11" i="30"/>
  <c r="DN12" i="30" s="1"/>
  <c r="DM11" i="30"/>
  <c r="DM12" i="30" s="1"/>
  <c r="DL11" i="30"/>
  <c r="DL12" i="30" s="1"/>
  <c r="DP3" i="30"/>
  <c r="DO3" i="30"/>
  <c r="DN3" i="30"/>
  <c r="DM3" i="30"/>
  <c r="DL3" i="30"/>
  <c r="DI29" i="30"/>
  <c r="DF29" i="30"/>
  <c r="DE29" i="30"/>
  <c r="DI18" i="30"/>
  <c r="DI19" i="30" s="1"/>
  <c r="DF18" i="30"/>
  <c r="DF19" i="30" s="1"/>
  <c r="DE18" i="30"/>
  <c r="DE19" i="30" s="1"/>
  <c r="DI16" i="30"/>
  <c r="DF16" i="30"/>
  <c r="DE16" i="30"/>
  <c r="DI14" i="30"/>
  <c r="DI15" i="30" s="1"/>
  <c r="DF14" i="30"/>
  <c r="DF15" i="30" s="1"/>
  <c r="DE14" i="30"/>
  <c r="DE15" i="30" s="1"/>
  <c r="DI11" i="30"/>
  <c r="DI12" i="30" s="1"/>
  <c r="DF11" i="30"/>
  <c r="DF12" i="30" s="1"/>
  <c r="DE11" i="30"/>
  <c r="DE12" i="30" s="1"/>
  <c r="DI3" i="30"/>
  <c r="DF3" i="30"/>
  <c r="DE3" i="30"/>
  <c r="DA29" i="30"/>
  <c r="CZ29" i="30"/>
  <c r="CZ30" i="30" s="1"/>
  <c r="CY29" i="30"/>
  <c r="CY30" i="30" s="1"/>
  <c r="CX29" i="30"/>
  <c r="DA18" i="30"/>
  <c r="DA19" i="30" s="1"/>
  <c r="CZ18" i="30"/>
  <c r="CZ19" i="30" s="1"/>
  <c r="CY18" i="30"/>
  <c r="CY19" i="30" s="1"/>
  <c r="CX18" i="30"/>
  <c r="CX19" i="30" s="1"/>
  <c r="DA16" i="30"/>
  <c r="CZ16" i="30"/>
  <c r="CY16" i="30"/>
  <c r="CX16" i="30"/>
  <c r="DA14" i="30"/>
  <c r="DA15" i="30" s="1"/>
  <c r="CZ14" i="30"/>
  <c r="CZ15" i="30" s="1"/>
  <c r="CY14" i="30"/>
  <c r="CY15" i="30" s="1"/>
  <c r="CX14" i="30"/>
  <c r="CX15" i="30" s="1"/>
  <c r="DA11" i="30"/>
  <c r="DA12" i="30" s="1"/>
  <c r="CZ11" i="30"/>
  <c r="CZ12" i="30" s="1"/>
  <c r="CY11" i="30"/>
  <c r="CY12" i="30" s="1"/>
  <c r="CX11" i="30"/>
  <c r="CX12" i="30" s="1"/>
  <c r="DA3" i="30"/>
  <c r="CZ3" i="30"/>
  <c r="CY3" i="30"/>
  <c r="CX3" i="30"/>
  <c r="CU29" i="30"/>
  <c r="CU30" i="30" s="1"/>
  <c r="CT29" i="30"/>
  <c r="CT30" i="30" s="1"/>
  <c r="CS29" i="30"/>
  <c r="CR29" i="30"/>
  <c r="CR30" i="30" s="1"/>
  <c r="CQ29" i="30"/>
  <c r="CU18" i="30"/>
  <c r="CU19" i="30" s="1"/>
  <c r="CT18" i="30"/>
  <c r="CT19" i="30" s="1"/>
  <c r="CS18" i="30"/>
  <c r="CS19" i="30" s="1"/>
  <c r="CR18" i="30"/>
  <c r="CR19" i="30" s="1"/>
  <c r="CQ18" i="30"/>
  <c r="CQ19" i="30" s="1"/>
  <c r="CU16" i="30"/>
  <c r="CT16" i="30"/>
  <c r="CS16" i="30"/>
  <c r="CR16" i="30"/>
  <c r="CQ16" i="30"/>
  <c r="CU14" i="30"/>
  <c r="CU15" i="30" s="1"/>
  <c r="CT14" i="30"/>
  <c r="CT15" i="30" s="1"/>
  <c r="CS14" i="30"/>
  <c r="CS15" i="30" s="1"/>
  <c r="CR14" i="30"/>
  <c r="CR15" i="30" s="1"/>
  <c r="CQ14" i="30"/>
  <c r="CQ15" i="30" s="1"/>
  <c r="CU11" i="30"/>
  <c r="CU12" i="30" s="1"/>
  <c r="CT11" i="30"/>
  <c r="CT12" i="30" s="1"/>
  <c r="CS11" i="30"/>
  <c r="CS12" i="30" s="1"/>
  <c r="CR11" i="30"/>
  <c r="CR12" i="30" s="1"/>
  <c r="CQ11" i="30"/>
  <c r="CQ12" i="30" s="1"/>
  <c r="CU3" i="30"/>
  <c r="CT3" i="30"/>
  <c r="CS3" i="30"/>
  <c r="CR3" i="30"/>
  <c r="CQ3" i="30"/>
  <c r="CN29" i="30"/>
  <c r="CN30" i="30" s="1"/>
  <c r="CM29" i="30"/>
  <c r="CM30" i="30" s="1"/>
  <c r="CL29" i="30"/>
  <c r="CL30" i="30" s="1"/>
  <c r="CK29" i="30"/>
  <c r="CK30" i="30" s="1"/>
  <c r="CJ29" i="30"/>
  <c r="CN18" i="30"/>
  <c r="CN19" i="30" s="1"/>
  <c r="CM18" i="30"/>
  <c r="CM19" i="30" s="1"/>
  <c r="CL18" i="30"/>
  <c r="CL19" i="30" s="1"/>
  <c r="CK18" i="30"/>
  <c r="CK19" i="30" s="1"/>
  <c r="CJ18" i="30"/>
  <c r="CJ19" i="30" s="1"/>
  <c r="CN16" i="30"/>
  <c r="CM16" i="30"/>
  <c r="CL16" i="30"/>
  <c r="CK16" i="30"/>
  <c r="CJ16" i="30"/>
  <c r="CN14" i="30"/>
  <c r="CN15" i="30" s="1"/>
  <c r="CM14" i="30"/>
  <c r="CM15" i="30" s="1"/>
  <c r="CL14" i="30"/>
  <c r="CL15" i="30" s="1"/>
  <c r="CK14" i="30"/>
  <c r="CK15" i="30" s="1"/>
  <c r="CJ14" i="30"/>
  <c r="CJ15" i="30" s="1"/>
  <c r="CN11" i="30"/>
  <c r="CN12" i="30" s="1"/>
  <c r="CM11" i="30"/>
  <c r="CM12" i="30" s="1"/>
  <c r="CL11" i="30"/>
  <c r="CL12" i="30" s="1"/>
  <c r="CK11" i="30"/>
  <c r="CK12" i="30" s="1"/>
  <c r="CJ11" i="30"/>
  <c r="CJ12" i="30" s="1"/>
  <c r="CN3" i="30"/>
  <c r="CM3" i="30"/>
  <c r="CL3" i="30"/>
  <c r="CK3" i="30"/>
  <c r="CJ3" i="30"/>
  <c r="CG29" i="30"/>
  <c r="CF29" i="30"/>
  <c r="CF30" i="30" s="1"/>
  <c r="CE29" i="30"/>
  <c r="CE30" i="30" s="1"/>
  <c r="CD29" i="30"/>
  <c r="CD30" i="30" s="1"/>
  <c r="CC29" i="30"/>
  <c r="CG18" i="30"/>
  <c r="CG19" i="30" s="1"/>
  <c r="CF18" i="30"/>
  <c r="CF19" i="30" s="1"/>
  <c r="CE18" i="30"/>
  <c r="CE19" i="30" s="1"/>
  <c r="CD18" i="30"/>
  <c r="CD19" i="30" s="1"/>
  <c r="CC18" i="30"/>
  <c r="CC19" i="30" s="1"/>
  <c r="CG16" i="30"/>
  <c r="CF16" i="30"/>
  <c r="CE16" i="30"/>
  <c r="CD16" i="30"/>
  <c r="CC16" i="30"/>
  <c r="CG14" i="30"/>
  <c r="CG15" i="30" s="1"/>
  <c r="CF14" i="30"/>
  <c r="CF15" i="30" s="1"/>
  <c r="CE14" i="30"/>
  <c r="CE15" i="30" s="1"/>
  <c r="CD14" i="30"/>
  <c r="CD15" i="30" s="1"/>
  <c r="CC14" i="30"/>
  <c r="CC15" i="30" s="1"/>
  <c r="CG11" i="30"/>
  <c r="CG12" i="30" s="1"/>
  <c r="CF11" i="30"/>
  <c r="CF12" i="30" s="1"/>
  <c r="CE11" i="30"/>
  <c r="CE12" i="30" s="1"/>
  <c r="CD11" i="30"/>
  <c r="CD12" i="30" s="1"/>
  <c r="CC11" i="30"/>
  <c r="CC12" i="30" s="1"/>
  <c r="CG3" i="30"/>
  <c r="CF3" i="30"/>
  <c r="CE3" i="30"/>
  <c r="CD3" i="30"/>
  <c r="CC3" i="30"/>
  <c r="BL8" i="30"/>
  <c r="BL37" i="30"/>
  <c r="DF30" i="30" l="1"/>
  <c r="DG31" i="30"/>
  <c r="DA30" i="30"/>
  <c r="DB31" i="30"/>
  <c r="DP31" i="30"/>
  <c r="DP30" i="30"/>
  <c r="DZ30" i="30"/>
  <c r="DZ31" i="30"/>
  <c r="ED31" i="30"/>
  <c r="ED30" i="30"/>
  <c r="CS31" i="30"/>
  <c r="CS30" i="30"/>
  <c r="EA30" i="30"/>
  <c r="EA31" i="30"/>
  <c r="CX31" i="30"/>
  <c r="CX30" i="30"/>
  <c r="CC30" i="30"/>
  <c r="DL31" i="30"/>
  <c r="DL30" i="30"/>
  <c r="CQ31" i="30"/>
  <c r="CQ30" i="30"/>
  <c r="DI31" i="30"/>
  <c r="DI30" i="30"/>
  <c r="CG31" i="30"/>
  <c r="CG30" i="30"/>
  <c r="CJ31" i="30"/>
  <c r="CJ30" i="30"/>
  <c r="DE31" i="30"/>
  <c r="DE30" i="30"/>
  <c r="EB31" i="30"/>
  <c r="EC31" i="30"/>
  <c r="DV31" i="30"/>
  <c r="DS31" i="30"/>
  <c r="DW31" i="30"/>
  <c r="DT31" i="30"/>
  <c r="DU31" i="30"/>
  <c r="DM31" i="30"/>
  <c r="DN31" i="30"/>
  <c r="DO31" i="30"/>
  <c r="DF31" i="30"/>
  <c r="CY31" i="30"/>
  <c r="DA31" i="30"/>
  <c r="CZ31" i="30"/>
  <c r="CT31" i="30"/>
  <c r="CU31" i="30"/>
  <c r="CR31" i="30"/>
  <c r="CM31" i="30"/>
  <c r="CK31" i="30"/>
  <c r="CL31" i="30"/>
  <c r="CN31" i="30"/>
  <c r="CD31" i="30"/>
  <c r="CE31" i="30"/>
  <c r="CF31" i="30"/>
  <c r="BK54" i="30"/>
  <c r="BK53" i="30"/>
  <c r="BK8" i="30"/>
  <c r="BK37" i="30"/>
  <c r="BJ54" i="30" l="1"/>
  <c r="BI54" i="30"/>
  <c r="BH54" i="30"/>
  <c r="BJ53" i="30"/>
  <c r="BI53" i="30"/>
  <c r="BH53" i="30"/>
  <c r="BJ8" i="30"/>
  <c r="BJ37" i="30"/>
  <c r="BE54" i="30" l="1"/>
  <c r="BE53" i="30"/>
  <c r="BI8" i="30"/>
  <c r="BH8" i="30"/>
  <c r="BE8" i="30"/>
  <c r="BI37" i="30"/>
  <c r="BH37" i="30"/>
  <c r="BE37" i="30"/>
  <c r="BD54" i="30" l="1"/>
  <c r="BD53" i="30"/>
  <c r="BD8" i="30"/>
  <c r="BD37" i="30"/>
  <c r="BC54" i="30" l="1"/>
  <c r="BC53" i="30"/>
  <c r="BC8" i="30"/>
  <c r="BC37" i="30"/>
  <c r="BB53" i="30" l="1"/>
  <c r="BB54" i="30"/>
  <c r="BB8" i="30"/>
  <c r="BB37" i="30"/>
  <c r="BA37" i="30" l="1"/>
  <c r="BA8" i="30"/>
  <c r="Z54" i="30" l="1"/>
  <c r="Z53" i="30"/>
  <c r="BA54" i="30"/>
  <c r="BA53" i="30"/>
  <c r="AX54" i="30" l="1"/>
  <c r="AX53" i="30"/>
  <c r="AX8" i="30"/>
  <c r="AX37" i="30"/>
  <c r="AW54" i="30" l="1"/>
  <c r="AW53" i="30"/>
  <c r="AW37" i="30"/>
  <c r="AW8" i="30"/>
  <c r="AV54" i="30" l="1"/>
  <c r="AV53" i="30"/>
  <c r="AV37" i="30"/>
  <c r="AV8" i="30"/>
  <c r="AU53" i="30" l="1"/>
  <c r="AU54" i="30"/>
  <c r="AU8" i="30"/>
  <c r="AU37" i="30"/>
  <c r="AT54" i="30" l="1"/>
  <c r="AT53" i="30"/>
  <c r="AT8" i="30" l="1"/>
  <c r="AT37" i="30"/>
  <c r="AQ54" i="30" l="1"/>
  <c r="AQ53" i="30"/>
  <c r="AQ8" i="30"/>
  <c r="AQ37" i="30"/>
  <c r="AP54" i="30" l="1"/>
  <c r="AP53" i="30"/>
  <c r="AP8" i="30"/>
  <c r="AP37" i="30"/>
  <c r="AO54" i="30" l="1"/>
  <c r="AO53" i="30"/>
  <c r="AO8" i="30"/>
  <c r="AO37" i="30"/>
  <c r="AN53" i="30" l="1"/>
  <c r="AN54" i="30"/>
  <c r="AN8" i="30"/>
  <c r="AM8" i="30"/>
  <c r="AN37" i="30"/>
  <c r="AM54" i="30" l="1"/>
  <c r="AM53" i="30"/>
  <c r="AM29" i="30"/>
  <c r="AM30" i="30" s="1"/>
  <c r="AJ29" i="30"/>
  <c r="AN29" i="30"/>
  <c r="AN30" i="30" s="1"/>
  <c r="AM37" i="30"/>
  <c r="AM11" i="30"/>
  <c r="AM12" i="30" s="1"/>
  <c r="AN14" i="30"/>
  <c r="AM14" i="30"/>
  <c r="AM15" i="30" s="1"/>
  <c r="AM18" i="30"/>
  <c r="AM19" i="30" s="1"/>
  <c r="AM16" i="30"/>
  <c r="BZ29" i="30"/>
  <c r="BY29" i="30"/>
  <c r="BY30" i="30" s="1"/>
  <c r="BX29" i="30"/>
  <c r="BX30" i="30" s="1"/>
  <c r="BW29" i="30"/>
  <c r="BW30" i="30" s="1"/>
  <c r="BV29" i="30"/>
  <c r="BV30" i="30" s="1"/>
  <c r="BZ18" i="30"/>
  <c r="BZ19" i="30" s="1"/>
  <c r="BY18" i="30"/>
  <c r="BY19" i="30" s="1"/>
  <c r="BX18" i="30"/>
  <c r="BX19" i="30" s="1"/>
  <c r="BW18" i="30"/>
  <c r="BW19" i="30" s="1"/>
  <c r="BV18" i="30"/>
  <c r="BV19" i="30" s="1"/>
  <c r="BZ16" i="30"/>
  <c r="BY16" i="30"/>
  <c r="BX16" i="30"/>
  <c r="BW16" i="30"/>
  <c r="BV16" i="30"/>
  <c r="BZ14" i="30"/>
  <c r="BZ15" i="30" s="1"/>
  <c r="BY14" i="30"/>
  <c r="BY15" i="30" s="1"/>
  <c r="BX14" i="30"/>
  <c r="BX15" i="30" s="1"/>
  <c r="BW14" i="30"/>
  <c r="BW15" i="30" s="1"/>
  <c r="BV14" i="30"/>
  <c r="BV15" i="30" s="1"/>
  <c r="BZ11" i="30"/>
  <c r="BZ12" i="30" s="1"/>
  <c r="BY11" i="30"/>
  <c r="BY12" i="30" s="1"/>
  <c r="BX11" i="30"/>
  <c r="BX12" i="30" s="1"/>
  <c r="BW11" i="30"/>
  <c r="BW12" i="30" s="1"/>
  <c r="BV11" i="30"/>
  <c r="BV12" i="30" s="1"/>
  <c r="BZ3" i="30"/>
  <c r="BY3" i="30"/>
  <c r="BX3" i="30"/>
  <c r="BW3" i="30"/>
  <c r="BV3" i="30"/>
  <c r="BS29" i="30"/>
  <c r="BS30" i="30" s="1"/>
  <c r="BR29" i="30"/>
  <c r="BR30" i="30" s="1"/>
  <c r="BQ29" i="30"/>
  <c r="BQ30" i="30" s="1"/>
  <c r="BP29" i="30"/>
  <c r="BO29" i="30"/>
  <c r="BO30" i="30" s="1"/>
  <c r="BS18" i="30"/>
  <c r="BS19" i="30" s="1"/>
  <c r="BR18" i="30"/>
  <c r="BR19" i="30" s="1"/>
  <c r="BQ18" i="30"/>
  <c r="BQ19" i="30" s="1"/>
  <c r="BP18" i="30"/>
  <c r="BP19" i="30" s="1"/>
  <c r="BO18" i="30"/>
  <c r="BO19" i="30" s="1"/>
  <c r="BS16" i="30"/>
  <c r="BR16" i="30"/>
  <c r="BQ16" i="30"/>
  <c r="BP16" i="30"/>
  <c r="BO16" i="30"/>
  <c r="BS14" i="30"/>
  <c r="BS15" i="30" s="1"/>
  <c r="BR14" i="30"/>
  <c r="BR15" i="30" s="1"/>
  <c r="BQ14" i="30"/>
  <c r="BQ15" i="30" s="1"/>
  <c r="BP14" i="30"/>
  <c r="BP15" i="30" s="1"/>
  <c r="BO14" i="30"/>
  <c r="BO15" i="30" s="1"/>
  <c r="BS11" i="30"/>
  <c r="BS12" i="30" s="1"/>
  <c r="BR11" i="30"/>
  <c r="BR12" i="30" s="1"/>
  <c r="BQ11" i="30"/>
  <c r="BQ12" i="30" s="1"/>
  <c r="BP11" i="30"/>
  <c r="BP12" i="30" s="1"/>
  <c r="BO11" i="30"/>
  <c r="BO12" i="30" s="1"/>
  <c r="BS3" i="30"/>
  <c r="BR3" i="30"/>
  <c r="BQ3" i="30"/>
  <c r="BP3" i="30"/>
  <c r="BO3" i="30"/>
  <c r="BL29" i="30"/>
  <c r="BL30" i="30" s="1"/>
  <c r="BK29" i="30"/>
  <c r="BK30" i="30" s="1"/>
  <c r="BJ29" i="30"/>
  <c r="BJ30" i="30" s="1"/>
  <c r="BI29" i="30"/>
  <c r="BI30" i="30" s="1"/>
  <c r="BH29" i="30"/>
  <c r="BH30" i="30" s="1"/>
  <c r="BL18" i="30"/>
  <c r="BL19" i="30" s="1"/>
  <c r="BK18" i="30"/>
  <c r="BK19" i="30" s="1"/>
  <c r="BJ18" i="30"/>
  <c r="BJ19" i="30" s="1"/>
  <c r="BI18" i="30"/>
  <c r="BI19" i="30" s="1"/>
  <c r="BH18" i="30"/>
  <c r="BH19" i="30" s="1"/>
  <c r="BL16" i="30"/>
  <c r="BK16" i="30"/>
  <c r="BJ16" i="30"/>
  <c r="BI16" i="30"/>
  <c r="BH16" i="30"/>
  <c r="BL14" i="30"/>
  <c r="BL15" i="30" s="1"/>
  <c r="BK14" i="30"/>
  <c r="BK15" i="30" s="1"/>
  <c r="BJ14" i="30"/>
  <c r="BJ15" i="30" s="1"/>
  <c r="BI14" i="30"/>
  <c r="BI15" i="30" s="1"/>
  <c r="BH14" i="30"/>
  <c r="BH15" i="30" s="1"/>
  <c r="BL11" i="30"/>
  <c r="BL12" i="30" s="1"/>
  <c r="BK11" i="30"/>
  <c r="BK12" i="30" s="1"/>
  <c r="BJ11" i="30"/>
  <c r="BJ12" i="30" s="1"/>
  <c r="BI11" i="30"/>
  <c r="BI12" i="30" s="1"/>
  <c r="BH11" i="30"/>
  <c r="BH12" i="30" s="1"/>
  <c r="BL3" i="30"/>
  <c r="BK3" i="30"/>
  <c r="BJ3" i="30"/>
  <c r="BI3" i="30"/>
  <c r="BH3" i="30"/>
  <c r="BE29" i="30"/>
  <c r="BE30" i="30" s="1"/>
  <c r="BD29" i="30"/>
  <c r="BD30" i="30" s="1"/>
  <c r="BC29" i="30"/>
  <c r="BC30" i="30" s="1"/>
  <c r="BB29" i="30"/>
  <c r="BB30" i="30" s="1"/>
  <c r="BA29" i="30"/>
  <c r="BA30" i="30" s="1"/>
  <c r="BE18" i="30"/>
  <c r="BE19" i="30" s="1"/>
  <c r="BD18" i="30"/>
  <c r="BD19" i="30" s="1"/>
  <c r="BC18" i="30"/>
  <c r="BC19" i="30" s="1"/>
  <c r="BB18" i="30"/>
  <c r="BB19" i="30" s="1"/>
  <c r="BA18" i="30"/>
  <c r="BA19" i="30" s="1"/>
  <c r="BE16" i="30"/>
  <c r="BD16" i="30"/>
  <c r="BC16" i="30"/>
  <c r="BB16" i="30"/>
  <c r="BA16" i="30"/>
  <c r="BE14" i="30"/>
  <c r="BE15" i="30" s="1"/>
  <c r="BD14" i="30"/>
  <c r="BD15" i="30" s="1"/>
  <c r="BC14" i="30"/>
  <c r="BC15" i="30" s="1"/>
  <c r="BB14" i="30"/>
  <c r="BB15" i="30" s="1"/>
  <c r="BA14" i="30"/>
  <c r="BA15" i="30" s="1"/>
  <c r="BE11" i="30"/>
  <c r="BE12" i="30" s="1"/>
  <c r="BD11" i="30"/>
  <c r="BD12" i="30" s="1"/>
  <c r="BC11" i="30"/>
  <c r="BC12" i="30" s="1"/>
  <c r="BB11" i="30"/>
  <c r="BB12" i="30" s="1"/>
  <c r="BA11" i="30"/>
  <c r="BA12" i="30" s="1"/>
  <c r="BE3" i="30"/>
  <c r="BD3" i="30"/>
  <c r="BC3" i="30"/>
  <c r="BB3" i="30"/>
  <c r="BA3" i="30"/>
  <c r="AX3" i="30"/>
  <c r="AW3" i="30"/>
  <c r="AV3" i="30"/>
  <c r="AU3" i="30"/>
  <c r="AT3" i="30"/>
  <c r="AQ3" i="30"/>
  <c r="AP3" i="30"/>
  <c r="AO3" i="30"/>
  <c r="AN3" i="30"/>
  <c r="AF3" i="30"/>
  <c r="AM3" i="30"/>
  <c r="BZ30" i="30" l="1"/>
  <c r="CC31" i="30"/>
  <c r="BP31" i="30"/>
  <c r="BP30" i="30"/>
  <c r="BY31" i="30"/>
  <c r="AM31" i="30"/>
  <c r="AJ30" i="30"/>
  <c r="BV31" i="30"/>
  <c r="BZ31" i="30"/>
  <c r="BW31" i="30"/>
  <c r="BX31" i="30"/>
  <c r="BR31" i="30"/>
  <c r="BO31" i="30"/>
  <c r="BS31" i="30"/>
  <c r="BQ31" i="30"/>
  <c r="BI31" i="30"/>
  <c r="BJ31" i="30"/>
  <c r="BK31" i="30"/>
  <c r="BH31" i="30"/>
  <c r="BL31" i="30"/>
  <c r="BD31" i="30"/>
  <c r="BB31" i="30"/>
  <c r="BC31" i="30"/>
  <c r="BE31" i="30"/>
  <c r="AJ54" i="30"/>
  <c r="AJ53" i="30"/>
  <c r="AJ8" i="30"/>
  <c r="AX29" i="30"/>
  <c r="AW29" i="30"/>
  <c r="AW30" i="30" s="1"/>
  <c r="AV29" i="30"/>
  <c r="AV30" i="30" s="1"/>
  <c r="AU29" i="30"/>
  <c r="AU30" i="30" s="1"/>
  <c r="AT29" i="30"/>
  <c r="AT30" i="30" s="1"/>
  <c r="AX18" i="30"/>
  <c r="AX19" i="30" s="1"/>
  <c r="AW18" i="30"/>
  <c r="AW19" i="30" s="1"/>
  <c r="AV18" i="30"/>
  <c r="AV19" i="30" s="1"/>
  <c r="AU18" i="30"/>
  <c r="AU19" i="30" s="1"/>
  <c r="AT18" i="30"/>
  <c r="AT19" i="30" s="1"/>
  <c r="AX16" i="30"/>
  <c r="AW16" i="30"/>
  <c r="AV16" i="30"/>
  <c r="AU16" i="30"/>
  <c r="AT16" i="30"/>
  <c r="AX14" i="30"/>
  <c r="AX15" i="30" s="1"/>
  <c r="AW14" i="30"/>
  <c r="AW15" i="30" s="1"/>
  <c r="AV14" i="30"/>
  <c r="AV15" i="30" s="1"/>
  <c r="AU14" i="30"/>
  <c r="AU15" i="30" s="1"/>
  <c r="AT14" i="30"/>
  <c r="AT15" i="30" s="1"/>
  <c r="AX11" i="30"/>
  <c r="AX12" i="30" s="1"/>
  <c r="AW11" i="30"/>
  <c r="AW12" i="30" s="1"/>
  <c r="AV11" i="30"/>
  <c r="AV12" i="30" s="1"/>
  <c r="AU11" i="30"/>
  <c r="AU12" i="30" s="1"/>
  <c r="AT11" i="30"/>
  <c r="AT12" i="30" s="1"/>
  <c r="AP29" i="30"/>
  <c r="AP30" i="30" s="1"/>
  <c r="AO29" i="30"/>
  <c r="AO30" i="30" s="1"/>
  <c r="AQ29" i="30"/>
  <c r="AQ30" i="30" s="1"/>
  <c r="AQ18" i="30"/>
  <c r="AQ19" i="30" s="1"/>
  <c r="AP18" i="30"/>
  <c r="AP19" i="30" s="1"/>
  <c r="AO18" i="30"/>
  <c r="AO19" i="30" s="1"/>
  <c r="AN18" i="30"/>
  <c r="AN19" i="30" s="1"/>
  <c r="AQ16" i="30"/>
  <c r="AP16" i="30"/>
  <c r="AO16" i="30"/>
  <c r="AN16" i="30"/>
  <c r="AQ14" i="30"/>
  <c r="AQ15" i="30" s="1"/>
  <c r="AP14" i="30"/>
  <c r="AP15" i="30" s="1"/>
  <c r="AO14" i="30"/>
  <c r="AO15" i="30" s="1"/>
  <c r="AN15" i="30"/>
  <c r="AQ11" i="30"/>
  <c r="AQ12" i="30" s="1"/>
  <c r="AP11" i="30"/>
  <c r="AP12" i="30" s="1"/>
  <c r="AO11" i="30"/>
  <c r="AO12" i="30" s="1"/>
  <c r="AN11" i="30"/>
  <c r="AN12" i="30" s="1"/>
  <c r="AJ37" i="30"/>
  <c r="BA31" i="30" l="1"/>
  <c r="AX30" i="30"/>
  <c r="AV31" i="30"/>
  <c r="AT31" i="30"/>
  <c r="AX31" i="30"/>
  <c r="AU31" i="30"/>
  <c r="AW31" i="30"/>
  <c r="AN31" i="30"/>
  <c r="AP31" i="30"/>
  <c r="AQ31" i="30"/>
  <c r="AO31" i="30"/>
  <c r="AI54" i="30"/>
  <c r="AI53" i="30"/>
  <c r="AI8" i="30"/>
  <c r="AI37" i="30"/>
  <c r="AH54" i="30" l="1"/>
  <c r="AH53" i="30"/>
  <c r="AH8" i="30" l="1"/>
  <c r="AH37" i="30"/>
  <c r="AG54" i="30" l="1"/>
  <c r="AG53" i="30"/>
  <c r="AG8" i="30"/>
  <c r="AG37" i="30"/>
  <c r="AF54" i="30" l="1"/>
  <c r="AF53" i="30"/>
  <c r="AF8" i="30"/>
  <c r="AF37" i="30"/>
  <c r="AC54" i="30" l="1"/>
  <c r="AC53" i="30"/>
  <c r="AC37" i="30"/>
  <c r="AC8" i="30"/>
  <c r="AB54" i="30" l="1"/>
  <c r="AB53" i="30"/>
  <c r="AA53" i="30"/>
  <c r="AA54" i="30"/>
  <c r="AB8" i="30"/>
  <c r="AB37" i="30"/>
  <c r="AA8" i="30" l="1"/>
  <c r="Z37" i="30"/>
  <c r="AA37" i="30"/>
  <c r="Z8" i="30"/>
  <c r="Y54" i="30" l="1"/>
  <c r="Y53" i="30"/>
  <c r="Y8" i="30"/>
  <c r="Y37" i="30"/>
  <c r="V8" i="30" l="1"/>
  <c r="V54" i="30"/>
  <c r="V53" i="30"/>
  <c r="U54" i="30"/>
  <c r="U53" i="30"/>
  <c r="O54" i="30"/>
  <c r="O53" i="30"/>
  <c r="V37" i="30"/>
  <c r="T54" i="30" l="1"/>
  <c r="S54" i="30"/>
  <c r="T53" i="30"/>
  <c r="S53" i="30"/>
  <c r="R53" i="30"/>
  <c r="R54" i="30"/>
  <c r="M54" i="30"/>
  <c r="N54" i="30"/>
  <c r="N53" i="30"/>
  <c r="M53" i="30"/>
  <c r="L54" i="30"/>
  <c r="L53" i="30"/>
  <c r="K54" i="30"/>
  <c r="K53" i="30"/>
  <c r="H53" i="30"/>
  <c r="H54" i="30"/>
  <c r="E54" i="30"/>
  <c r="E53" i="30"/>
  <c r="F53" i="30"/>
  <c r="F54" i="30"/>
  <c r="U8" i="30" l="1"/>
  <c r="T8" i="30"/>
  <c r="T37" i="30"/>
  <c r="U37" i="30"/>
  <c r="S8" i="30"/>
  <c r="S37" i="30"/>
  <c r="R8" i="30"/>
  <c r="R37" i="30"/>
  <c r="O8" i="30" l="1"/>
  <c r="N8" i="30"/>
  <c r="O37" i="30"/>
  <c r="N37" i="30" l="1"/>
  <c r="M8" i="30" l="1"/>
  <c r="M37" i="30"/>
  <c r="L8" i="30" l="1"/>
  <c r="L37" i="30"/>
  <c r="K8" i="30" l="1"/>
  <c r="K37" i="30"/>
  <c r="H37" i="30" l="1"/>
  <c r="H8" i="30"/>
  <c r="G8" i="30" l="1"/>
  <c r="G37" i="30"/>
  <c r="F8" i="30" l="1"/>
  <c r="F37" i="30"/>
  <c r="E8" i="30" l="1"/>
  <c r="E37" i="30"/>
  <c r="D37" i="30" l="1"/>
  <c r="AI29" i="30" l="1"/>
  <c r="AJ31" i="30" s="1"/>
  <c r="AH29" i="30"/>
  <c r="AG29" i="30"/>
  <c r="AF29" i="30"/>
  <c r="AJ18" i="30"/>
  <c r="AJ19" i="30" s="1"/>
  <c r="AI18" i="30"/>
  <c r="AI19" i="30" s="1"/>
  <c r="AH18" i="30"/>
  <c r="AH19" i="30" s="1"/>
  <c r="AG18" i="30"/>
  <c r="AG19" i="30" s="1"/>
  <c r="AF18" i="30"/>
  <c r="AF19" i="30" s="1"/>
  <c r="AJ16" i="30"/>
  <c r="AI16" i="30"/>
  <c r="AH16" i="30"/>
  <c r="AG16" i="30"/>
  <c r="AF16" i="30"/>
  <c r="AJ14" i="30"/>
  <c r="AJ15" i="30" s="1"/>
  <c r="AI14" i="30"/>
  <c r="AI15" i="30" s="1"/>
  <c r="AH14" i="30"/>
  <c r="AH15" i="30" s="1"/>
  <c r="AG14" i="30"/>
  <c r="AG15" i="30" s="1"/>
  <c r="AF14" i="30"/>
  <c r="AF15" i="30" s="1"/>
  <c r="AJ11" i="30"/>
  <c r="AJ12" i="30" s="1"/>
  <c r="AI11" i="30"/>
  <c r="AI12" i="30" s="1"/>
  <c r="AH11" i="30"/>
  <c r="AH12" i="30" s="1"/>
  <c r="AG11" i="30"/>
  <c r="AG12" i="30" s="1"/>
  <c r="AF11" i="30"/>
  <c r="AF12" i="30" s="1"/>
  <c r="AJ3" i="30"/>
  <c r="AI3" i="30"/>
  <c r="AH3" i="30"/>
  <c r="AG3" i="30"/>
  <c r="AC29" i="30"/>
  <c r="AC30" i="30" s="1"/>
  <c r="AB29" i="30"/>
  <c r="AB30" i="30" s="1"/>
  <c r="AA29" i="30"/>
  <c r="AA30" i="30" s="1"/>
  <c r="Z29" i="30"/>
  <c r="Z30" i="30" s="1"/>
  <c r="Y29" i="30"/>
  <c r="Y30" i="30" s="1"/>
  <c r="AC18" i="30"/>
  <c r="AC19" i="30" s="1"/>
  <c r="AB18" i="30"/>
  <c r="AB19" i="30" s="1"/>
  <c r="AA18" i="30"/>
  <c r="AA19" i="30" s="1"/>
  <c r="Z18" i="30"/>
  <c r="Z19" i="30" s="1"/>
  <c r="Y18" i="30"/>
  <c r="Y19" i="30" s="1"/>
  <c r="AC16" i="30"/>
  <c r="AB16" i="30"/>
  <c r="AA16" i="30"/>
  <c r="Z16" i="30"/>
  <c r="Y16" i="30"/>
  <c r="AC14" i="30"/>
  <c r="AC15" i="30" s="1"/>
  <c r="AB14" i="30"/>
  <c r="AB15" i="30" s="1"/>
  <c r="AA14" i="30"/>
  <c r="AA15" i="30" s="1"/>
  <c r="Z14" i="30"/>
  <c r="Z15" i="30" s="1"/>
  <c r="Y14" i="30"/>
  <c r="Y15" i="30" s="1"/>
  <c r="AC11" i="30"/>
  <c r="AC12" i="30" s="1"/>
  <c r="AB11" i="30"/>
  <c r="AB12" i="30" s="1"/>
  <c r="AA11" i="30"/>
  <c r="AA12" i="30" s="1"/>
  <c r="Z11" i="30"/>
  <c r="Z12" i="30" s="1"/>
  <c r="Y11" i="30"/>
  <c r="Y12" i="30" s="1"/>
  <c r="AC3" i="30"/>
  <c r="AB3" i="30"/>
  <c r="AA3" i="30"/>
  <c r="Z3" i="30"/>
  <c r="Y3" i="30"/>
  <c r="R11" i="30"/>
  <c r="R12" i="30" s="1"/>
  <c r="V29" i="30"/>
  <c r="V30" i="30" s="1"/>
  <c r="U29" i="30"/>
  <c r="U30" i="30" s="1"/>
  <c r="T29" i="30"/>
  <c r="T30" i="30" s="1"/>
  <c r="S29" i="30"/>
  <c r="S30" i="30" s="1"/>
  <c r="R29" i="30"/>
  <c r="R30" i="30" s="1"/>
  <c r="V18" i="30"/>
  <c r="V19" i="30" s="1"/>
  <c r="U18" i="30"/>
  <c r="U19" i="30" s="1"/>
  <c r="T18" i="30"/>
  <c r="T19" i="30" s="1"/>
  <c r="S18" i="30"/>
  <c r="S19" i="30" s="1"/>
  <c r="R18" i="30"/>
  <c r="R19" i="30" s="1"/>
  <c r="V16" i="30"/>
  <c r="U16" i="30"/>
  <c r="T16" i="30"/>
  <c r="S16" i="30"/>
  <c r="R16" i="30"/>
  <c r="V14" i="30"/>
  <c r="V15" i="30" s="1"/>
  <c r="U14" i="30"/>
  <c r="U15" i="30" s="1"/>
  <c r="T14" i="30"/>
  <c r="T15" i="30" s="1"/>
  <c r="S14" i="30"/>
  <c r="S15" i="30" s="1"/>
  <c r="R14" i="30"/>
  <c r="R15" i="30" s="1"/>
  <c r="V11" i="30"/>
  <c r="V12" i="30" s="1"/>
  <c r="U11" i="30"/>
  <c r="U12" i="30" s="1"/>
  <c r="T11" i="30"/>
  <c r="T12" i="30" s="1"/>
  <c r="S11" i="30"/>
  <c r="S12" i="30" s="1"/>
  <c r="V3" i="30"/>
  <c r="U3" i="30"/>
  <c r="T3" i="30"/>
  <c r="S3" i="30"/>
  <c r="R3" i="30"/>
  <c r="O29" i="30"/>
  <c r="O30" i="30" s="1"/>
  <c r="N29" i="30"/>
  <c r="N30" i="30" s="1"/>
  <c r="M29" i="30"/>
  <c r="M30" i="30" s="1"/>
  <c r="L29" i="30"/>
  <c r="L30" i="30" s="1"/>
  <c r="K29" i="30"/>
  <c r="K30" i="30" s="1"/>
  <c r="O18" i="30"/>
  <c r="O19" i="30" s="1"/>
  <c r="N18" i="30"/>
  <c r="N19" i="30" s="1"/>
  <c r="M18" i="30"/>
  <c r="M19" i="30" s="1"/>
  <c r="L18" i="30"/>
  <c r="L19" i="30" s="1"/>
  <c r="K18" i="30"/>
  <c r="K19" i="30" s="1"/>
  <c r="O16" i="30"/>
  <c r="N16" i="30"/>
  <c r="M16" i="30"/>
  <c r="L16" i="30"/>
  <c r="K16" i="30"/>
  <c r="O14" i="30"/>
  <c r="O15" i="30" s="1"/>
  <c r="N14" i="30"/>
  <c r="N15" i="30" s="1"/>
  <c r="M14" i="30"/>
  <c r="M15" i="30" s="1"/>
  <c r="L14" i="30"/>
  <c r="L15" i="30" s="1"/>
  <c r="K14" i="30"/>
  <c r="K15" i="30" s="1"/>
  <c r="O11" i="30"/>
  <c r="O12" i="30" s="1"/>
  <c r="N11" i="30"/>
  <c r="N12" i="30" s="1"/>
  <c r="M11" i="30"/>
  <c r="M12" i="30" s="1"/>
  <c r="L11" i="30"/>
  <c r="L12" i="30" s="1"/>
  <c r="K11" i="30"/>
  <c r="K12" i="30" s="1"/>
  <c r="O3" i="30"/>
  <c r="N3" i="30"/>
  <c r="M3" i="30"/>
  <c r="L3" i="30"/>
  <c r="K3" i="30"/>
  <c r="H29" i="30"/>
  <c r="H30" i="30" s="1"/>
  <c r="G29" i="30"/>
  <c r="G30" i="30" s="1"/>
  <c r="F29" i="30"/>
  <c r="F30" i="30" s="1"/>
  <c r="E29" i="30"/>
  <c r="E30" i="30" s="1"/>
  <c r="D29" i="30"/>
  <c r="D30" i="30" s="1"/>
  <c r="D18" i="30"/>
  <c r="D19" i="30" s="1"/>
  <c r="D16" i="30"/>
  <c r="D14" i="30"/>
  <c r="D15" i="30" s="1"/>
  <c r="H18" i="30"/>
  <c r="H19" i="30" s="1"/>
  <c r="G18" i="30"/>
  <c r="G19" i="30" s="1"/>
  <c r="F18" i="30"/>
  <c r="F19" i="30" s="1"/>
  <c r="E18" i="30"/>
  <c r="E19" i="30" s="1"/>
  <c r="H16" i="30"/>
  <c r="G16" i="30"/>
  <c r="F16" i="30"/>
  <c r="E16" i="30"/>
  <c r="H14" i="30"/>
  <c r="H15" i="30" s="1"/>
  <c r="G14" i="30"/>
  <c r="G15" i="30" s="1"/>
  <c r="F14" i="30"/>
  <c r="F15" i="30" s="1"/>
  <c r="E14" i="30"/>
  <c r="E15" i="30" s="1"/>
  <c r="H11" i="30"/>
  <c r="H12" i="30" s="1"/>
  <c r="G11" i="30"/>
  <c r="G12" i="30" s="1"/>
  <c r="F11" i="30"/>
  <c r="F12" i="30" s="1"/>
  <c r="E11" i="30"/>
  <c r="E12" i="30" s="1"/>
  <c r="H3" i="30"/>
  <c r="G3" i="30"/>
  <c r="F3" i="30"/>
  <c r="E3" i="30"/>
  <c r="D11" i="30"/>
  <c r="D12" i="30" s="1"/>
  <c r="D8" i="30"/>
  <c r="D3" i="30"/>
  <c r="T31" i="30" l="1"/>
  <c r="E31" i="30"/>
  <c r="R31" i="30"/>
  <c r="AF31" i="30"/>
  <c r="Y31" i="30"/>
  <c r="H31" i="30"/>
  <c r="AG30" i="30"/>
  <c r="AG31" i="30"/>
  <c r="AH30" i="30"/>
  <c r="AH31" i="30"/>
  <c r="AI30" i="30"/>
  <c r="AI31" i="30"/>
  <c r="AF30" i="30"/>
  <c r="Z31" i="30"/>
  <c r="AA31" i="30"/>
  <c r="AB31" i="30"/>
  <c r="AC31" i="30"/>
  <c r="U31" i="30"/>
  <c r="V31" i="30"/>
  <c r="S31" i="30"/>
  <c r="K31" i="30"/>
  <c r="O31" i="30"/>
  <c r="N31" i="30"/>
  <c r="M31" i="30"/>
  <c r="L31" i="30"/>
  <c r="G31" i="30"/>
  <c r="F31" i="30"/>
  <c r="C109" i="3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tc={ABC8001D-A99B-4E00-A533-BC7264445C81}</author>
    <author>tc={D03DD0B9-9149-46EC-BE1B-9CC5E51AAD1B}</author>
    <author>tc={38BCEA16-5584-414E-9213-5290C6FB3357}</author>
    <author>tc={FDB72CFD-2ECB-4AF2-8B8C-95608768C70F}</author>
    <author>tc={17DB6312-D743-4193-A93A-877397F44615}</author>
    <author>Victoria Ellwanger Pires</author>
  </authors>
  <commentList>
    <comment ref="A22" authorId="0" shapeId="0" xr:uid="{00000000-0006-0000-00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Passo Fundo</t>
      </text>
    </comment>
    <comment ref="A23" authorId="1" shapeId="0" xr:uid="{00000000-0006-0000-00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Barreiras</t>
      </text>
    </comment>
    <comment ref="A24" authorId="2" shapeId="0" xr:uid="{00000000-0006-0000-00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Ponta Grossa</t>
      </text>
    </comment>
    <comment ref="A25" authorId="3" shapeId="0" xr:uid="{00000000-0006-0000-00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Rondonópolis</t>
      </text>
    </comment>
    <comment ref="A26" authorId="4" shapeId="0" xr:uid="{00000000-0006-0000-0000-000005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Rio Verde</t>
      </text>
    </comment>
    <comment ref="A48" authorId="5" shapeId="0" xr:uid="{834BA073-ABF1-472B-AF21-D6CFF5A6AA64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Tabela Bruna</t>
        </r>
      </text>
    </comment>
    <comment ref="A49" authorId="5" shapeId="0" xr:uid="{113C81FB-4E07-447F-AA02-9FD91C945170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Tabela Bruna</t>
        </r>
      </text>
    </comment>
    <comment ref="A50" authorId="5" shapeId="0" xr:uid="{801FDE2C-043C-4F77-A487-4C6F75A568A2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Tabela Bruna (Comercial Bio)</t>
        </r>
      </text>
    </comment>
    <comment ref="A53" authorId="5" shapeId="0" xr:uid="{A7256E58-F2AE-4E01-A56B-D1C0A8B366F3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Email Argus</t>
        </r>
      </text>
    </comment>
    <comment ref="A55" authorId="5" shapeId="0" xr:uid="{C2DB29F5-CB30-4A82-A53E-C69F9742A174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Email Global Platts</t>
        </r>
      </text>
    </comment>
    <comment ref="A57" authorId="5" shapeId="0" xr:uid="{0952BE6C-E739-456B-8021-9D548C9919AD}">
      <text>
        <r>
          <rPr>
            <b/>
            <sz val="9"/>
            <color indexed="81"/>
            <rFont val="Segoe UI"/>
            <family val="2"/>
          </rPr>
          <t>Victoria Ellwanger Pires:</t>
        </r>
        <r>
          <rPr>
            <sz val="9"/>
            <color indexed="81"/>
            <rFont val="Segoe UI"/>
            <family val="2"/>
          </rPr>
          <t xml:space="preserve">
Preços ANP
https://www.gov.br/anp/pt-br/assuntos/precos-e-defesa-da-concorrencia/precos/precos-de-produtores-e-importadores-de-derivados-de-petroleo</t>
        </r>
      </text>
    </comment>
  </commentList>
</comments>
</file>

<file path=xl/sharedStrings.xml><?xml version="1.0" encoding="utf-8"?>
<sst xmlns="http://schemas.openxmlformats.org/spreadsheetml/2006/main" count="312" uniqueCount="190">
  <si>
    <t>Taxa Dólar</t>
  </si>
  <si>
    <t>Fonte</t>
  </si>
  <si>
    <t>Agência Nacional do Petróleo</t>
  </si>
  <si>
    <t>Banco Central do Brasil</t>
  </si>
  <si>
    <t>Informações</t>
  </si>
  <si>
    <t>R$/M3</t>
  </si>
  <si>
    <t>R$/saca de 60Kg</t>
  </si>
  <si>
    <t>Valor Econômico</t>
  </si>
  <si>
    <t>R$/ton</t>
  </si>
  <si>
    <t>US$/MT</t>
  </si>
  <si>
    <t>CME Group - chapter 1150</t>
  </si>
  <si>
    <t>CME Group - chapter 1148</t>
  </si>
  <si>
    <t>CME Group</t>
  </si>
  <si>
    <t>Safras e Mercado</t>
  </si>
  <si>
    <t>Preço do petróleo bruto Brendt spot</t>
  </si>
  <si>
    <t>FAME 0 Biodiesel FOB Rdam (Argus) (RED Compliant) vs. Gasoil Futures spot</t>
  </si>
  <si>
    <t>Preço spot</t>
  </si>
  <si>
    <t>US$/ton curta</t>
  </si>
  <si>
    <t>US$/ton</t>
  </si>
  <si>
    <t>Óleo de Soja Chicago (pontos)</t>
  </si>
  <si>
    <t>Preço do petróleo bruto Brendt spot multiplicado por 7,33</t>
  </si>
  <si>
    <t>US$/barril</t>
  </si>
  <si>
    <t>pontos</t>
  </si>
  <si>
    <t>Pontos no fechamento da CBOT</t>
  </si>
  <si>
    <t>Pontos no fechamento da CBOT multiplicado por 0,220462</t>
  </si>
  <si>
    <t>Prêmio de venda de óleo de soja em Rio Grande</t>
  </si>
  <si>
    <t>Valor do óleo de soja RIG de acordo com o dólar do dia</t>
  </si>
  <si>
    <t>Pontos no fechamento da CBOT convertidos pela calculadora do Safrasnet</t>
  </si>
  <si>
    <t>Preço do óleo de soja local de acordo com o dólar do dia</t>
  </si>
  <si>
    <t>US$/saca de 60kg</t>
  </si>
  <si>
    <t>ESALQ</t>
  </si>
  <si>
    <t>Média ponderada do boi gordo no Estado de São Paulo</t>
  </si>
  <si>
    <t>R$/arroba</t>
  </si>
  <si>
    <t>Múltiplo OV/Brendt</t>
  </si>
  <si>
    <t>Média boi gordo RS à vista</t>
  </si>
  <si>
    <t>Óleo de palma bruto/Malásia CIF Roterdam spot</t>
  </si>
  <si>
    <t>Múltiplo OV Cbot/Brendt</t>
  </si>
  <si>
    <t>Soja e Trigo</t>
  </si>
  <si>
    <t>1 bushel de soja</t>
  </si>
  <si>
    <t>60 libras</t>
  </si>
  <si>
    <t>27,2155 kg</t>
  </si>
  <si>
    <t>1 saca de soja</t>
  </si>
  <si>
    <t>60 kg</t>
  </si>
  <si>
    <t>2,20462 bushels</t>
  </si>
  <si>
    <t>1 bushel/acre</t>
  </si>
  <si>
    <t>67,25 kg/ha</t>
  </si>
  <si>
    <t>1.00 dólar/bushel</t>
  </si>
  <si>
    <t>2,2046 dólar/saca</t>
  </si>
  <si>
    <t>Tabela de Conversão Agrícola</t>
  </si>
  <si>
    <t>1 ton.</t>
  </si>
  <si>
    <t>1.000 kg</t>
  </si>
  <si>
    <t>1 kg</t>
  </si>
  <si>
    <t>2.20462 libras</t>
  </si>
  <si>
    <t>1 libra</t>
  </si>
  <si>
    <t>0,45359 kg</t>
  </si>
  <si>
    <t>1 acre</t>
  </si>
  <si>
    <t>0,40469 hectares</t>
  </si>
  <si>
    <t>0,1840 alqueire</t>
  </si>
  <si>
    <t>1 hectare</t>
  </si>
  <si>
    <t>2,47105 acres</t>
  </si>
  <si>
    <r>
      <t>10.000 m</t>
    </r>
    <r>
      <rPr>
        <vertAlign val="superscript"/>
        <sz val="11"/>
        <color theme="1"/>
        <rFont val="Calibri"/>
        <family val="2"/>
        <scheme val="minor"/>
      </rPr>
      <t>2</t>
    </r>
  </si>
  <si>
    <t>1 alqueire</t>
  </si>
  <si>
    <t>5,4363 acres</t>
  </si>
  <si>
    <t>Milho</t>
  </si>
  <si>
    <t>1 bushel de milho</t>
  </si>
  <si>
    <t>56 libras</t>
  </si>
  <si>
    <t>25,40 kg</t>
  </si>
  <si>
    <t>1 saca de milho</t>
  </si>
  <si>
    <t>2,36210 bushels</t>
  </si>
  <si>
    <t>62,77 kg/ha</t>
  </si>
  <si>
    <t>2,3621 dólar/saca</t>
  </si>
  <si>
    <t>BR Soluções</t>
  </si>
  <si>
    <t>Petróleo Brendt (US$/barril)</t>
  </si>
  <si>
    <t>Petróleo Brendt (US$/ton)</t>
  </si>
  <si>
    <t>Gasoil (US$/MT)</t>
  </si>
  <si>
    <t>FAME Biodiesel (US$/MT)</t>
  </si>
  <si>
    <t>Prêmio RME (US$/MT)</t>
  </si>
  <si>
    <t>Soja Chicago (US$/saca 60kg)</t>
  </si>
  <si>
    <t>Farelo Chicago (US$/ton curta)</t>
  </si>
  <si>
    <t>Óleo de Soja Chicago (US$/ton)</t>
  </si>
  <si>
    <t>Prêmio Exportação RIG (pontos)</t>
  </si>
  <si>
    <t>Óleo de Soja FOB RIG (US$/ton)</t>
  </si>
  <si>
    <t>Óleo de Soja FOB RIG (R$/ton)</t>
  </si>
  <si>
    <t>Prêmio Exportação PRG (pontos)</t>
  </si>
  <si>
    <t>Óleo de Soja FOB PRG (US$/ton)</t>
  </si>
  <si>
    <t>Óleo de Soja FOB PRG (R$/ton)</t>
  </si>
  <si>
    <t>Soja Rio Grande do Sul (R$/saca 60kg)</t>
  </si>
  <si>
    <t>Soja Bahia (R$/saca 60kg)</t>
  </si>
  <si>
    <t>Soja Paraná (R$/saca 60kg)</t>
  </si>
  <si>
    <t>Soja Mato Grosso (R$/saca 60kg)</t>
  </si>
  <si>
    <t>Farelo Veranópolis (R$/ton)</t>
  </si>
  <si>
    <t>Óleo de Soja LEM (R$/ton)</t>
  </si>
  <si>
    <t>Boi Gordo São Paulo (R$/@)</t>
  </si>
  <si>
    <t>Boi Gordo RS (R$/@)</t>
  </si>
  <si>
    <t>Gordura Animal Safras (R$/ton)</t>
  </si>
  <si>
    <t>Gordura Animal BR Soluções (R$/ton)</t>
  </si>
  <si>
    <t>Gordura Animal Oleoplan (R$/ton)</t>
  </si>
  <si>
    <t>Gordura Animal Oleoplan Nordeste (R$/ton)</t>
  </si>
  <si>
    <t>Ácido Graxo Oleoplan (R$/ton)</t>
  </si>
  <si>
    <t>Biodiesel Oleoplan (R$/M3)</t>
  </si>
  <si>
    <t>Biodiesel Oleoplan Nordeste (R$/M3)</t>
  </si>
  <si>
    <t>Óleo de Soja CIF Veranópolis (R$/ton)</t>
  </si>
  <si>
    <t>Óleo de Soja CIF Veranópolis (US$/ton)</t>
  </si>
  <si>
    <t>Variação Óleo de Soja CIF Veranópolis</t>
  </si>
  <si>
    <t>Fórmula</t>
  </si>
  <si>
    <t>Prêmio de venda de óleo de soja em Paranaguá</t>
  </si>
  <si>
    <t>Valor do óleo de soja PRG de acordo com o dólar do dia</t>
  </si>
  <si>
    <t>Soma dos pontos de CBOT com o prêmio PRG multiplicado por 0,220462</t>
  </si>
  <si>
    <t>Soma dos pontos de CBOT com o prêmio RIG multiplicado por 0,220462</t>
  </si>
  <si>
    <t>R$/US$</t>
  </si>
  <si>
    <t xml:space="preserve">Soja em grão à granel, CIF Barreiras-BA </t>
  </si>
  <si>
    <t>Soja em grão à granel, FOB Passo Fundo-RS</t>
  </si>
  <si>
    <t>Soja em grão à granel, FOB Ponta Grossa-PR</t>
  </si>
  <si>
    <t>Soja em grão à granel, FOB Rondonopolis-MT</t>
  </si>
  <si>
    <t>Comercial Soja</t>
  </si>
  <si>
    <t>Preço de venda do farelo do dia da Oleoplan</t>
  </si>
  <si>
    <t>Preço de compra/cotação do óleo do dia da Oleoplan</t>
  </si>
  <si>
    <t>ICMS diferido, Barreiras-BA</t>
  </si>
  <si>
    <t>ICMS diferido, CIF São Paulo-SP</t>
  </si>
  <si>
    <t>ICMS 12%, CIF São Paulo-SP 30 dd</t>
  </si>
  <si>
    <t>Comercial Biodiesel</t>
  </si>
  <si>
    <t>Preço médio homologado pela ANP para Veranópolis</t>
  </si>
  <si>
    <t>Preço médio homologado pela ANP para Iraquara</t>
  </si>
  <si>
    <t>%</t>
  </si>
  <si>
    <t>Variação diária do preço do OVD Veranópolis</t>
  </si>
  <si>
    <t>número</t>
  </si>
  <si>
    <t>Prêmio Exportação RIG (US$/ton)</t>
  </si>
  <si>
    <t>Pontos do prêmio exportação RIG multiplicado por 0,220462</t>
  </si>
  <si>
    <t>Relação entre OV CBOT e Brendt barril - quanto mais perto de 7 mais indicada é a compra</t>
  </si>
  <si>
    <t>Relação entre OV Veranópolis e Brendt barril - quanto mais perto de 7 mais indicada é a compra</t>
  </si>
  <si>
    <t>Variável</t>
  </si>
  <si>
    <t>Óleo de Soja Cuiabá (R$/ton)</t>
  </si>
  <si>
    <t>Óleo de Soja Rio Verde (R$/ton)</t>
  </si>
  <si>
    <t>Óleo de soja bruto, FOB, sem PIS/COFINS, 7% ICMS</t>
  </si>
  <si>
    <t>Óleo de soja bruto, FOB, sem PIS/COFINS, s/ ICMS</t>
  </si>
  <si>
    <t>http://www.valor.com.br/valor-data/commodities/minerais</t>
  </si>
  <si>
    <t>Link</t>
  </si>
  <si>
    <t>http://www.valor.com.br/valor-data/commodities/agricolas</t>
  </si>
  <si>
    <t>http://www.bcb.gov.br/pt-br/paginas/default.aspx</t>
  </si>
  <si>
    <t>Média Ptax's do dia</t>
  </si>
  <si>
    <t>http://cepea.esalq.usp.br/boi/</t>
  </si>
  <si>
    <t>http://www.safras.com.br/safrasprodutos/Safrasnet.aspx</t>
  </si>
  <si>
    <t>Log in: vendas@oleoplan.com.br; Senha: 741109; Diretório: Boi/Cotações de preços físicos</t>
  </si>
  <si>
    <t>Log in: vendas@oleoplan.com.br; Senha: 741109; Diretório: Boi/Informativo Diário</t>
  </si>
  <si>
    <t>Log in: vendas@oleoplan.com.br; Senha: 741109; Diretório: Soja/Informativo Diário Óleo</t>
  </si>
  <si>
    <t>Log in: vendas@oleoplan.com.br; Senha: 741109; Diretório: Soja/Informativo Diário Soja</t>
  </si>
  <si>
    <t>Log in: vendas@oleoplan.com.br; Senha: 741109; Diretório: Soja/Informativo Diário Soja (transformar os pontos em dólares por meio da Conversão de Unidades Agrícolas)</t>
  </si>
  <si>
    <t>Petróleo Brent (US$/barril)</t>
  </si>
  <si>
    <t>Média Móvel</t>
  </si>
  <si>
    <t>View All Energy Products</t>
  </si>
  <si>
    <t>RME Biodiesel FOB Rdam (Argus) (RED Compliant) vs. Low Sulphur Gasoil Futures</t>
  </si>
  <si>
    <t>Valor de venda</t>
  </si>
  <si>
    <t>European Low Sulphur Gasoil Bullet Futures</t>
  </si>
  <si>
    <t>Ácido Graxo Oleoplan Nordeste (R$/ton)</t>
  </si>
  <si>
    <t>Soja Goiás (R$/saca 60kg)</t>
  </si>
  <si>
    <t>Soja em grão à granel, CIF Rio Verde-GO</t>
  </si>
  <si>
    <t>Formato</t>
  </si>
  <si>
    <t>http://www.cmegroup.com/europe/products/energy/biofuels/european-gasoil-ice-calendar-future_quotes_settlements_futures.html?sector=AGRICULTURE&amp;clearingCode=0B</t>
  </si>
  <si>
    <t>Log in: vendas@oleoplan.com.br; Senha: 741109; Diretório: Soja/Informativo Diário Óleo Soja</t>
  </si>
  <si>
    <t/>
  </si>
  <si>
    <t>Óleo de Palma Bolsa CIF Rotterdam (US$/ton)</t>
  </si>
  <si>
    <t>Petróleo Brent (US$/ton)</t>
  </si>
  <si>
    <t>http://www.cmegroup.com/europe/products/energy/biofuels/european-fame-0-biodiesel-fob-ara-red-compliant-argus-vs-european-gasoil-ice-spread-calendar-futures.html_quotes_settlements_futures.html</t>
  </si>
  <si>
    <t>http://www.cmegroup.com/europe/products/energy/biofuels/european-rme-biodiesel-fob-ara-red-compliant-argus-vs-european-gasoil-ice-spread-calendar-futures.html_quotes_settlements_futures.html</t>
  </si>
  <si>
    <t>compra</t>
  </si>
  <si>
    <t>Custo efetivo recomp das compras de GA do dia para Veranópolis</t>
  </si>
  <si>
    <t>Custo efetivo recomp das compras de GA do dia para Iraquara</t>
  </si>
  <si>
    <t>Custo efetivo recomp das compras de AG do dia para Veranópolis</t>
  </si>
  <si>
    <t>A partir do dia 15/12/2016, essa informação passou a ser pega da página do investing.com [http://br.investing.com/commodities/brent-oil]</t>
  </si>
  <si>
    <t>A partir do dia 15/12/2016, essa informação passou a ser pega da página de outra página do site do Valor Econômico [http://www.valor.com.br/valor-data/tabela/5846/oleo-vegetal]</t>
  </si>
  <si>
    <t>Biodiesel Oleoplan (R$/m³)</t>
  </si>
  <si>
    <t>Biodiesel Oleoplan Nordeste (R$/m³)</t>
  </si>
  <si>
    <t>Prêmio RME (US$/mt)</t>
  </si>
  <si>
    <t>FAME Biodiesel (US$/mt)</t>
  </si>
  <si>
    <t>Gasoil (US$/mt)</t>
  </si>
  <si>
    <t>Óleo de Palma Bruto (US$/ton)</t>
  </si>
  <si>
    <t>MP AA Oleoplan (R$/ton)</t>
  </si>
  <si>
    <t>MP AA Oleoplan Nordeste (R$/ton)</t>
  </si>
  <si>
    <t>MP AG Oleoplan (R$/ton)</t>
  </si>
  <si>
    <t>MP AG Oleoplan Nordeste (R$/ton)</t>
  </si>
  <si>
    <t>Boi Gordo PA Redenção (R$/@)</t>
  </si>
  <si>
    <t>Boi Gordo RO Cacoal (R$/@)</t>
  </si>
  <si>
    <t>Boi Gordo SP (R$/@)</t>
  </si>
  <si>
    <t>Indexador BiodieselBR</t>
  </si>
  <si>
    <t>Biodiesel Araucária (Argus)</t>
  </si>
  <si>
    <t>Biodiesel Paulínia (Argus)</t>
  </si>
  <si>
    <t>Biodiesel Paulínia (Global Platts)</t>
  </si>
  <si>
    <t>Biodiesel FOB Paranagua (Global Platts)</t>
  </si>
  <si>
    <t>Biodiesel Oleoplan Pará (R$/m³)</t>
  </si>
  <si>
    <t>Preço de Biodiesel ANP (Brasil)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</si>
</sst>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_-[$$-409]* #,##0.00_ ;_-[$$-409]* \-#,##0.00\ ;_-[$$-409]* &quot;-&quot;??_ ;_-@_ "/>
    <numFmt numFmtId="167" formatCode="_-[$R$-416]\ * #,##0.00_-;\-[$R$-416]\ * #,##0.00_-;_-[$R$-416]\ * &quot;-&quot;??_-;_-@_-"/>
    <numFmt numFmtId="168" formatCode="_-[$€-2]\ * #,##0.00_-;\-[$€-2]\ * #,##0.00_-;_-[$€-2]\ * &quot;-&quot;??_-;_-@_-"/>
    <numFmt numFmtId="169" formatCode="_-* #,##0_-;\-* #,##0_-;_-* &quot;-&quot;??_-;_-@_-"/>
    <numFmt numFmtId="170" formatCode="_-* #,##0.00\ _R_$_-;\-* #,##0.00\ _R_$_-;_-* \-??\ _R_$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8"/>
      <color indexed="62"/>
      <name val="Cambria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5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5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3" fillId="40" borderId="0" applyNumberFormat="0" applyBorder="0" applyAlignment="0" applyProtection="0"/>
    <xf numFmtId="0" fontId="24" fillId="52" borderId="18" applyNumberFormat="0" applyAlignment="0" applyProtection="0"/>
    <xf numFmtId="0" fontId="25" fillId="53" borderId="19" applyNumberFormat="0" applyAlignment="0" applyProtection="0"/>
    <xf numFmtId="0" fontId="26" fillId="0" borderId="20" applyNumberFormat="0" applyFill="0" applyAlignment="0" applyProtection="0"/>
    <xf numFmtId="0" fontId="22" fillId="54" borderId="0" applyNumberFormat="0" applyBorder="0" applyAlignment="0" applyProtection="0"/>
    <xf numFmtId="0" fontId="22" fillId="55" borderId="0" applyNumberFormat="0" applyBorder="0" applyAlignment="0" applyProtection="0"/>
    <xf numFmtId="0" fontId="22" fillId="56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7" borderId="0" applyNumberFormat="0" applyBorder="0" applyAlignment="0" applyProtection="0"/>
    <xf numFmtId="0" fontId="27" fillId="43" borderId="18" applyNumberFormat="0" applyAlignment="0" applyProtection="0"/>
    <xf numFmtId="0" fontId="28" fillId="39" borderId="0" applyNumberFormat="0" applyBorder="0" applyAlignment="0" applyProtection="0"/>
    <xf numFmtId="164" fontId="1" fillId="0" borderId="0" applyFont="0" applyFill="0" applyBorder="0" applyAlignment="0" applyProtection="0"/>
    <xf numFmtId="0" fontId="29" fillId="58" borderId="0" applyNumberFormat="0" applyBorder="0" applyAlignment="0" applyProtection="0"/>
    <xf numFmtId="0" fontId="18" fillId="0" borderId="0"/>
    <xf numFmtId="0" fontId="1" fillId="0" borderId="0"/>
    <xf numFmtId="0" fontId="18" fillId="59" borderId="21" applyNumberFormat="0" applyAlignment="0" applyProtection="0"/>
    <xf numFmtId="9" fontId="18" fillId="0" borderId="0" applyFill="0" applyBorder="0" applyAlignment="0" applyProtection="0"/>
    <xf numFmtId="0" fontId="30" fillId="52" borderId="22" applyNumberFormat="0" applyAlignment="0" applyProtection="0"/>
    <xf numFmtId="165" fontId="1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23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24" applyNumberFormat="0" applyFill="0" applyAlignment="0" applyProtection="0"/>
    <xf numFmtId="0" fontId="37" fillId="0" borderId="25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26" applyNumberFormat="0" applyFill="0" applyAlignment="0" applyProtection="0"/>
    <xf numFmtId="170" fontId="18" fillId="0" borderId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4">
    <xf numFmtId="0" fontId="0" fillId="0" borderId="0" xfId="0"/>
    <xf numFmtId="0" fontId="13" fillId="34" borderId="0" xfId="0" applyFont="1" applyFill="1"/>
    <xf numFmtId="0" fontId="0" fillId="33" borderId="0" xfId="0" applyFill="1"/>
    <xf numFmtId="0" fontId="20" fillId="33" borderId="0" xfId="46" applyFill="1"/>
    <xf numFmtId="0" fontId="20" fillId="0" borderId="0" xfId="46"/>
    <xf numFmtId="0" fontId="0" fillId="37" borderId="0" xfId="0" applyFill="1"/>
    <xf numFmtId="165" fontId="0" fillId="37" borderId="0" xfId="45" applyFont="1" applyFill="1"/>
    <xf numFmtId="0" fontId="0" fillId="37" borderId="10" xfId="0" applyFill="1" applyBorder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7" borderId="11" xfId="0" applyFill="1" applyBorder="1" applyAlignment="1">
      <alignment vertical="center" wrapText="1"/>
    </xf>
    <xf numFmtId="0" fontId="0" fillId="37" borderId="10" xfId="0" applyFill="1" applyBorder="1"/>
    <xf numFmtId="0" fontId="0" fillId="37" borderId="11" xfId="0" applyFill="1" applyBorder="1"/>
    <xf numFmtId="0" fontId="0" fillId="37" borderId="12" xfId="0" applyFill="1" applyBorder="1"/>
    <xf numFmtId="0" fontId="0" fillId="37" borderId="13" xfId="0" applyFill="1" applyBorder="1"/>
    <xf numFmtId="0" fontId="0" fillId="37" borderId="14" xfId="0" applyFill="1" applyBorder="1"/>
    <xf numFmtId="0" fontId="39" fillId="35" borderId="0" xfId="0" applyFont="1" applyFill="1" applyAlignment="1">
      <alignment horizontal="center" vertical="center" wrapText="1"/>
    </xf>
    <xf numFmtId="0" fontId="40" fillId="36" borderId="0" xfId="0" applyFont="1" applyFill="1"/>
    <xf numFmtId="166" fontId="40" fillId="0" borderId="0" xfId="0" applyNumberFormat="1" applyFont="1"/>
    <xf numFmtId="0" fontId="40" fillId="35" borderId="0" xfId="0" applyFont="1" applyFill="1"/>
    <xf numFmtId="0" fontId="40" fillId="36" borderId="0" xfId="45" applyNumberFormat="1" applyFont="1" applyFill="1"/>
    <xf numFmtId="169" fontId="40" fillId="36" borderId="0" xfId="45" applyNumberFormat="1" applyFont="1" applyFill="1"/>
    <xf numFmtId="167" fontId="40" fillId="36" borderId="0" xfId="45" applyNumberFormat="1" applyFont="1" applyFill="1"/>
    <xf numFmtId="167" fontId="40" fillId="36" borderId="0" xfId="0" applyNumberFormat="1" applyFont="1" applyFill="1"/>
    <xf numFmtId="167" fontId="40" fillId="36" borderId="0" xfId="44" applyNumberFormat="1" applyFont="1" applyFill="1"/>
    <xf numFmtId="167" fontId="40" fillId="35" borderId="0" xfId="0" applyNumberFormat="1" applyFont="1" applyFill="1"/>
    <xf numFmtId="0" fontId="40" fillId="36" borderId="0" xfId="44" applyNumberFormat="1" applyFont="1" applyFill="1"/>
    <xf numFmtId="165" fontId="40" fillId="36" borderId="0" xfId="45" applyFont="1" applyFill="1"/>
    <xf numFmtId="167" fontId="40" fillId="0" borderId="0" xfId="44" applyNumberFormat="1" applyFont="1"/>
    <xf numFmtId="167" fontId="40" fillId="0" borderId="0" xfId="0" applyNumberFormat="1" applyFont="1"/>
    <xf numFmtId="166" fontId="40" fillId="36" borderId="0" xfId="44" applyNumberFormat="1" applyFont="1" applyFill="1"/>
    <xf numFmtId="168" fontId="40" fillId="35" borderId="0" xfId="0" applyNumberFormat="1" applyFont="1" applyFill="1"/>
    <xf numFmtId="164" fontId="40" fillId="36" borderId="0" xfId="1" applyFont="1" applyFill="1"/>
    <xf numFmtId="2" fontId="0" fillId="37" borderId="0" xfId="0" applyNumberFormat="1" applyFill="1"/>
    <xf numFmtId="0" fontId="0" fillId="36" borderId="0" xfId="44" applyNumberFormat="1" applyFont="1" applyFill="1"/>
    <xf numFmtId="0" fontId="40" fillId="37" borderId="0" xfId="0" applyFont="1" applyFill="1"/>
    <xf numFmtId="166" fontId="40" fillId="37" borderId="0" xfId="1" applyNumberFormat="1" applyFont="1" applyFill="1"/>
    <xf numFmtId="0" fontId="40" fillId="37" borderId="0" xfId="45" applyNumberFormat="1" applyFont="1" applyFill="1"/>
    <xf numFmtId="169" fontId="40" fillId="37" borderId="0" xfId="45" applyNumberFormat="1" applyFont="1" applyFill="1"/>
    <xf numFmtId="166" fontId="40" fillId="37" borderId="0" xfId="45" applyNumberFormat="1" applyFont="1" applyFill="1"/>
    <xf numFmtId="167" fontId="40" fillId="37" borderId="0" xfId="0" applyNumberFormat="1" applyFont="1" applyFill="1"/>
    <xf numFmtId="0" fontId="40" fillId="37" borderId="0" xfId="44" applyNumberFormat="1" applyFont="1" applyFill="1"/>
    <xf numFmtId="167" fontId="40" fillId="37" borderId="0" xfId="44" applyNumberFormat="1" applyFont="1" applyFill="1"/>
    <xf numFmtId="0" fontId="40" fillId="37" borderId="0" xfId="44" applyNumberFormat="1" applyFont="1" applyFill="1" applyAlignment="1">
      <alignment horizontal="left"/>
    </xf>
    <xf numFmtId="166" fontId="40" fillId="37" borderId="0" xfId="44" applyNumberFormat="1" applyFont="1" applyFill="1"/>
    <xf numFmtId="10" fontId="40" fillId="37" borderId="0" xfId="44" applyNumberFormat="1" applyFont="1" applyFill="1"/>
    <xf numFmtId="0" fontId="0" fillId="37" borderId="0" xfId="44" applyNumberFormat="1" applyFont="1" applyFill="1"/>
    <xf numFmtId="164" fontId="40" fillId="37" borderId="0" xfId="1" applyFont="1" applyFill="1"/>
    <xf numFmtId="166" fontId="40" fillId="0" borderId="0" xfId="45" applyNumberFormat="1" applyFont="1"/>
    <xf numFmtId="169" fontId="40" fillId="0" borderId="0" xfId="45" applyNumberFormat="1" applyFont="1"/>
    <xf numFmtId="166" fontId="40" fillId="0" borderId="0" xfId="1" applyNumberFormat="1" applyFont="1"/>
    <xf numFmtId="167" fontId="40" fillId="0" borderId="0" xfId="45" applyNumberFormat="1" applyFont="1"/>
    <xf numFmtId="166" fontId="0" fillId="37" borderId="0" xfId="45" applyNumberFormat="1" applyFont="1" applyFill="1"/>
    <xf numFmtId="167" fontId="1" fillId="37" borderId="0" xfId="44" applyNumberFormat="1" applyFill="1"/>
    <xf numFmtId="166" fontId="0" fillId="0" borderId="0" xfId="0" applyNumberFormat="1"/>
    <xf numFmtId="169" fontId="0" fillId="37" borderId="0" xfId="45" applyNumberFormat="1" applyFont="1" applyFill="1"/>
    <xf numFmtId="166" fontId="0" fillId="36" borderId="0" xfId="45" applyNumberFormat="1" applyFont="1" applyFill="1"/>
    <xf numFmtId="167" fontId="0" fillId="36" borderId="0" xfId="44" applyNumberFormat="1" applyFont="1" applyFill="1"/>
    <xf numFmtId="167" fontId="0" fillId="37" borderId="0" xfId="0" applyNumberFormat="1" applyFill="1"/>
    <xf numFmtId="167" fontId="0" fillId="35" borderId="0" xfId="0" applyNumberFormat="1" applyFill="1"/>
    <xf numFmtId="167" fontId="0" fillId="37" borderId="0" xfId="44" applyNumberFormat="1" applyFont="1" applyFill="1"/>
    <xf numFmtId="166" fontId="0" fillId="36" borderId="0" xfId="44" applyNumberFormat="1" applyFont="1" applyFill="1"/>
    <xf numFmtId="168" fontId="0" fillId="35" borderId="0" xfId="0" applyNumberFormat="1" applyFill="1"/>
    <xf numFmtId="0" fontId="0" fillId="35" borderId="0" xfId="0" applyFill="1"/>
    <xf numFmtId="166" fontId="0" fillId="0" borderId="0" xfId="45" applyNumberFormat="1" applyFont="1"/>
    <xf numFmtId="169" fontId="0" fillId="0" borderId="0" xfId="45" applyNumberFormat="1" applyFont="1"/>
    <xf numFmtId="166" fontId="0" fillId="0" borderId="0" xfId="1" applyNumberFormat="1" applyFont="1"/>
    <xf numFmtId="167" fontId="0" fillId="0" borderId="0" xfId="45" applyNumberFormat="1" applyFont="1"/>
    <xf numFmtId="167" fontId="0" fillId="0" borderId="0" xfId="44" applyNumberFormat="1" applyFont="1"/>
    <xf numFmtId="167" fontId="0" fillId="0" borderId="0" xfId="0" applyNumberFormat="1"/>
    <xf numFmtId="0" fontId="0" fillId="36" borderId="0" xfId="0" applyFill="1"/>
    <xf numFmtId="167" fontId="1" fillId="36" borderId="0" xfId="44" applyNumberFormat="1" applyFill="1"/>
    <xf numFmtId="167" fontId="1" fillId="36" borderId="0" xfId="44" applyNumberFormat="1" applyFont="1" applyFill="1"/>
    <xf numFmtId="167" fontId="1" fillId="37" borderId="0" xfId="44" applyNumberFormat="1" applyFont="1" applyFill="1"/>
    <xf numFmtId="166" fontId="0" fillId="36" borderId="0" xfId="0" applyNumberFormat="1" applyFill="1"/>
    <xf numFmtId="166" fontId="1" fillId="36" borderId="0" xfId="44" applyNumberFormat="1" applyFont="1" applyFill="1"/>
    <xf numFmtId="166" fontId="0" fillId="37" borderId="0" xfId="0" applyNumberFormat="1" applyFill="1"/>
    <xf numFmtId="166" fontId="0" fillId="35" borderId="0" xfId="0" applyNumberFormat="1" applyFill="1"/>
    <xf numFmtId="0" fontId="0" fillId="37" borderId="0" xfId="45" applyNumberFormat="1" applyFont="1" applyFill="1"/>
    <xf numFmtId="167" fontId="0" fillId="36" borderId="0" xfId="0" applyNumberFormat="1" applyFill="1"/>
    <xf numFmtId="166" fontId="14" fillId="36" borderId="0" xfId="0" applyNumberFormat="1" applyFont="1" applyFill="1"/>
    <xf numFmtId="167" fontId="14" fillId="37" borderId="0" xfId="44" applyNumberFormat="1" applyFont="1" applyFill="1"/>
    <xf numFmtId="167" fontId="14" fillId="36" borderId="0" xfId="44" applyNumberFormat="1" applyFont="1" applyFill="1"/>
    <xf numFmtId="167" fontId="41" fillId="37" borderId="0" xfId="44" applyNumberFormat="1" applyFont="1" applyFill="1"/>
    <xf numFmtId="167" fontId="41" fillId="36" borderId="0" xfId="44" applyNumberFormat="1" applyFont="1" applyFill="1"/>
    <xf numFmtId="16" fontId="0" fillId="35" borderId="0" xfId="0" applyNumberFormat="1" applyFill="1" applyAlignment="1">
      <alignment horizontal="center" vertical="center"/>
    </xf>
    <xf numFmtId="169" fontId="0" fillId="36" borderId="0" xfId="45" applyNumberFormat="1" applyFont="1" applyFill="1"/>
    <xf numFmtId="166" fontId="0" fillId="37" borderId="0" xfId="1" applyNumberFormat="1" applyFont="1" applyFill="1"/>
    <xf numFmtId="167" fontId="0" fillId="36" borderId="0" xfId="45" applyNumberFormat="1" applyFont="1" applyFill="1"/>
    <xf numFmtId="166" fontId="0" fillId="37" borderId="0" xfId="44" applyNumberFormat="1" applyFont="1" applyFill="1"/>
    <xf numFmtId="165" fontId="0" fillId="36" borderId="0" xfId="45" applyFont="1" applyFill="1"/>
    <xf numFmtId="10" fontId="0" fillId="37" borderId="0" xfId="44" applyNumberFormat="1" applyFont="1" applyFill="1"/>
    <xf numFmtId="44" fontId="40" fillId="36" borderId="0" xfId="44" applyNumberFormat="1" applyFont="1" applyFill="1"/>
    <xf numFmtId="166" fontId="41" fillId="36" borderId="0" xfId="44" applyNumberFormat="1" applyFont="1" applyFill="1"/>
    <xf numFmtId="167" fontId="1" fillId="35" borderId="0" xfId="0" applyNumberFormat="1" applyFont="1" applyFill="1"/>
    <xf numFmtId="168" fontId="1" fillId="35" borderId="0" xfId="0" applyNumberFormat="1" applyFont="1" applyFill="1"/>
    <xf numFmtId="164" fontId="1" fillId="37" borderId="0" xfId="1" applyFont="1" applyFill="1"/>
    <xf numFmtId="164" fontId="1" fillId="36" borderId="0" xfId="1" applyFont="1" applyFill="1"/>
    <xf numFmtId="0" fontId="40" fillId="37" borderId="0" xfId="44" applyNumberFormat="1" applyFont="1" applyFill="1" applyBorder="1"/>
    <xf numFmtId="167" fontId="40" fillId="37" borderId="0" xfId="44" applyNumberFormat="1" applyFont="1" applyFill="1" applyBorder="1"/>
    <xf numFmtId="167" fontId="40" fillId="37" borderId="0" xfId="45" applyNumberFormat="1" applyFont="1" applyFill="1" applyBorder="1"/>
    <xf numFmtId="0" fontId="0" fillId="36" borderId="0" xfId="44" applyNumberFormat="1" applyFont="1" applyFill="1" applyBorder="1"/>
    <xf numFmtId="167" fontId="40" fillId="36" borderId="0" xfId="44" applyNumberFormat="1" applyFont="1" applyFill="1" applyBorder="1"/>
    <xf numFmtId="167" fontId="0" fillId="36" borderId="0" xfId="45" applyNumberFormat="1" applyFont="1" applyFill="1" applyBorder="1"/>
    <xf numFmtId="167" fontId="0" fillId="36" borderId="0" xfId="44" applyNumberFormat="1" applyFont="1" applyFill="1" applyBorder="1"/>
    <xf numFmtId="167" fontId="40" fillId="36" borderId="0" xfId="45" applyNumberFormat="1" applyFont="1" applyFill="1" applyBorder="1"/>
    <xf numFmtId="0" fontId="40" fillId="36" borderId="0" xfId="44" applyNumberFormat="1" applyFont="1" applyFill="1" applyBorder="1"/>
    <xf numFmtId="0" fontId="0" fillId="0" borderId="0" xfId="44" applyNumberFormat="1" applyFont="1" applyFill="1" applyBorder="1"/>
    <xf numFmtId="167" fontId="40" fillId="0" borderId="0" xfId="44" applyNumberFormat="1" applyFont="1" applyFill="1" applyBorder="1"/>
    <xf numFmtId="167" fontId="0" fillId="0" borderId="0" xfId="45" applyNumberFormat="1" applyFont="1" applyFill="1" applyBorder="1"/>
    <xf numFmtId="167" fontId="0" fillId="0" borderId="0" xfId="44" applyNumberFormat="1" applyFont="1" applyFill="1" applyBorder="1"/>
    <xf numFmtId="167" fontId="40" fillId="0" borderId="0" xfId="45" applyNumberFormat="1" applyFont="1" applyFill="1" applyBorder="1"/>
    <xf numFmtId="0" fontId="40" fillId="0" borderId="0" xfId="44" applyNumberFormat="1" applyFont="1" applyFill="1" applyBorder="1"/>
    <xf numFmtId="166" fontId="14" fillId="60" borderId="0" xfId="0" applyNumberFormat="1" applyFont="1" applyFill="1"/>
    <xf numFmtId="164" fontId="0" fillId="0" borderId="0" xfId="1" applyFont="1" applyFill="1" applyBorder="1"/>
    <xf numFmtId="164" fontId="40" fillId="37" borderId="0" xfId="1" applyFont="1" applyFill="1" applyBorder="1"/>
    <xf numFmtId="164" fontId="0" fillId="36" borderId="0" xfId="1" applyFont="1" applyFill="1"/>
    <xf numFmtId="166" fontId="40" fillId="36" borderId="0" xfId="0" applyNumberFormat="1" applyFont="1" applyFill="1"/>
    <xf numFmtId="166" fontId="41" fillId="37" borderId="0" xfId="45" applyNumberFormat="1" applyFont="1" applyFill="1"/>
    <xf numFmtId="167" fontId="41" fillId="36" borderId="0" xfId="0" applyNumberFormat="1" applyFont="1" applyFill="1"/>
    <xf numFmtId="166" fontId="0" fillId="60" borderId="0" xfId="0" applyNumberFormat="1" applyFill="1"/>
    <xf numFmtId="164" fontId="40" fillId="36" borderId="0" xfId="1" applyFont="1" applyFill="1" applyBorder="1"/>
    <xf numFmtId="164" fontId="40" fillId="0" borderId="0" xfId="1" applyFont="1" applyFill="1" applyBorder="1"/>
    <xf numFmtId="164" fontId="40" fillId="0" borderId="0" xfId="1" applyFont="1" applyBorder="1"/>
    <xf numFmtId="164" fontId="40" fillId="0" borderId="0" xfId="1" applyFont="1"/>
    <xf numFmtId="166" fontId="14" fillId="36" borderId="0" xfId="44" applyNumberFormat="1" applyFont="1" applyFill="1"/>
    <xf numFmtId="164" fontId="14" fillId="36" borderId="0" xfId="1" applyFont="1" applyFill="1" applyBorder="1"/>
    <xf numFmtId="164" fontId="14" fillId="0" borderId="0" xfId="1" applyFont="1" applyFill="1" applyBorder="1"/>
    <xf numFmtId="164" fontId="0" fillId="0" borderId="0" xfId="1" applyFont="1"/>
    <xf numFmtId="164" fontId="0" fillId="37" borderId="0" xfId="1" applyFont="1" applyFill="1"/>
    <xf numFmtId="167" fontId="14" fillId="36" borderId="0" xfId="0" applyNumberFormat="1" applyFont="1" applyFill="1"/>
    <xf numFmtId="167" fontId="14" fillId="0" borderId="0" xfId="0" applyNumberFormat="1" applyFont="1"/>
    <xf numFmtId="0" fontId="16" fillId="36" borderId="15" xfId="0" applyFont="1" applyFill="1" applyBorder="1" applyAlignment="1">
      <alignment horizontal="center" vertical="center" wrapText="1"/>
    </xf>
    <xf numFmtId="0" fontId="16" fillId="36" borderId="16" xfId="0" applyFont="1" applyFill="1" applyBorder="1" applyAlignment="1">
      <alignment horizontal="center" vertical="center" wrapText="1"/>
    </xf>
    <xf numFmtId="0" fontId="16" fillId="36" borderId="17" xfId="0" applyFont="1" applyFill="1" applyBorder="1" applyAlignment="1">
      <alignment horizontal="center" vertical="center" wrapText="1"/>
    </xf>
  </cellXfs>
  <cellStyles count="454">
    <cellStyle name="20% - Ênfase1" xfId="20" builtinId="30" customBuiltin="1"/>
    <cellStyle name="20% - Ênfase1 2" xfId="49" xr:uid="{00000000-0005-0000-0000-000001000000}"/>
    <cellStyle name="20% - Ênfase2" xfId="24" builtinId="34" customBuiltin="1"/>
    <cellStyle name="20% - Ênfase2 2" xfId="50" xr:uid="{00000000-0005-0000-0000-000003000000}"/>
    <cellStyle name="20% - Ênfase3" xfId="28" builtinId="38" customBuiltin="1"/>
    <cellStyle name="20% - Ênfase3 2" xfId="51" xr:uid="{00000000-0005-0000-0000-000005000000}"/>
    <cellStyle name="20% - Ênfase4" xfId="32" builtinId="42" customBuiltin="1"/>
    <cellStyle name="20% - Ênfase4 2" xfId="52" xr:uid="{00000000-0005-0000-0000-000007000000}"/>
    <cellStyle name="20% - Ênfase5" xfId="36" builtinId="46" customBuiltin="1"/>
    <cellStyle name="20% - Ênfase5 2" xfId="53" xr:uid="{00000000-0005-0000-0000-000009000000}"/>
    <cellStyle name="20% - Ênfase6" xfId="40" builtinId="50" customBuiltin="1"/>
    <cellStyle name="20% - Ênfase6 2" xfId="54" xr:uid="{00000000-0005-0000-0000-00000B000000}"/>
    <cellStyle name="40% - Ênfase1" xfId="21" builtinId="31" customBuiltin="1"/>
    <cellStyle name="40% - Ênfase1 2" xfId="55" xr:uid="{00000000-0005-0000-0000-00000D000000}"/>
    <cellStyle name="40% - Ênfase2" xfId="25" builtinId="35" customBuiltin="1"/>
    <cellStyle name="40% - Ênfase2 2" xfId="56" xr:uid="{00000000-0005-0000-0000-00000F000000}"/>
    <cellStyle name="40% - Ênfase3" xfId="29" builtinId="39" customBuiltin="1"/>
    <cellStyle name="40% - Ênfase3 2" xfId="57" xr:uid="{00000000-0005-0000-0000-000011000000}"/>
    <cellStyle name="40% - Ênfase4" xfId="33" builtinId="43" customBuiltin="1"/>
    <cellStyle name="40% - Ênfase4 2" xfId="58" xr:uid="{00000000-0005-0000-0000-000013000000}"/>
    <cellStyle name="40% - Ênfase5" xfId="37" builtinId="47" customBuiltin="1"/>
    <cellStyle name="40% - Ênfase5 2" xfId="59" xr:uid="{00000000-0005-0000-0000-000015000000}"/>
    <cellStyle name="40% - Ênfase6" xfId="41" builtinId="51" customBuiltin="1"/>
    <cellStyle name="40% - Ênfase6 2" xfId="60" xr:uid="{00000000-0005-0000-0000-000017000000}"/>
    <cellStyle name="60% - Ênfase1" xfId="22" builtinId="32" customBuiltin="1"/>
    <cellStyle name="60% - Ênfase1 2" xfId="61" xr:uid="{00000000-0005-0000-0000-000019000000}"/>
    <cellStyle name="60% - Ênfase2" xfId="26" builtinId="36" customBuiltin="1"/>
    <cellStyle name="60% - Ênfase2 2" xfId="62" xr:uid="{00000000-0005-0000-0000-00001B000000}"/>
    <cellStyle name="60% - Ênfase3" xfId="30" builtinId="40" customBuiltin="1"/>
    <cellStyle name="60% - Ênfase3 2" xfId="63" xr:uid="{00000000-0005-0000-0000-00001D000000}"/>
    <cellStyle name="60% - Ênfase4" xfId="34" builtinId="44" customBuiltin="1"/>
    <cellStyle name="60% - Ênfase4 2" xfId="64" xr:uid="{00000000-0005-0000-0000-00001F000000}"/>
    <cellStyle name="60% - Ênfase5" xfId="38" builtinId="48" customBuiltin="1"/>
    <cellStyle name="60% - Ênfase5 2" xfId="65" xr:uid="{00000000-0005-0000-0000-000021000000}"/>
    <cellStyle name="60% - Ênfase6" xfId="42" builtinId="52" customBuiltin="1"/>
    <cellStyle name="60% - Ênfase6 2" xfId="66" xr:uid="{00000000-0005-0000-0000-000023000000}"/>
    <cellStyle name="Bom" xfId="7" builtinId="26" customBuiltin="1"/>
    <cellStyle name="Bom 2" xfId="67" xr:uid="{00000000-0005-0000-0000-000025000000}"/>
    <cellStyle name="Cálculo" xfId="12" builtinId="22" customBuiltin="1"/>
    <cellStyle name="Cálculo 2" xfId="68" xr:uid="{00000000-0005-0000-0000-000027000000}"/>
    <cellStyle name="Célula de Verificação" xfId="14" builtinId="23" customBuiltin="1"/>
    <cellStyle name="Célula de Verificação 2" xfId="69" xr:uid="{00000000-0005-0000-0000-000029000000}"/>
    <cellStyle name="Célula Vinculada" xfId="13" builtinId="24" customBuiltin="1"/>
    <cellStyle name="Célula Vinculada 2" xfId="70" xr:uid="{00000000-0005-0000-0000-00002B000000}"/>
    <cellStyle name="Ênfase1" xfId="19" builtinId="29" customBuiltin="1"/>
    <cellStyle name="Ênfase1 2" xfId="71" xr:uid="{00000000-0005-0000-0000-00002D000000}"/>
    <cellStyle name="Ênfase2" xfId="23" builtinId="33" customBuiltin="1"/>
    <cellStyle name="Ênfase2 2" xfId="72" xr:uid="{00000000-0005-0000-0000-00002F000000}"/>
    <cellStyle name="Ênfase3" xfId="27" builtinId="37" customBuiltin="1"/>
    <cellStyle name="Ênfase3 2" xfId="73" xr:uid="{00000000-0005-0000-0000-000031000000}"/>
    <cellStyle name="Ênfase4" xfId="31" builtinId="41" customBuiltin="1"/>
    <cellStyle name="Ênfase4 2" xfId="74" xr:uid="{00000000-0005-0000-0000-000033000000}"/>
    <cellStyle name="Ênfase5" xfId="35" builtinId="45" customBuiltin="1"/>
    <cellStyle name="Ênfase5 2" xfId="75" xr:uid="{00000000-0005-0000-0000-000035000000}"/>
    <cellStyle name="Ênfase6" xfId="39" builtinId="49" customBuiltin="1"/>
    <cellStyle name="Ênfase6 2" xfId="76" xr:uid="{00000000-0005-0000-0000-000037000000}"/>
    <cellStyle name="Entrada" xfId="10" builtinId="20" customBuiltin="1"/>
    <cellStyle name="Entrada 2" xfId="77" xr:uid="{00000000-0005-0000-0000-000039000000}"/>
    <cellStyle name="Hiperlink" xfId="46" builtinId="8"/>
    <cellStyle name="Incorreto 2" xfId="78" xr:uid="{00000000-0005-0000-0000-00003C000000}"/>
    <cellStyle name="Moeda" xfId="1" builtinId="4"/>
    <cellStyle name="Moeda 10" xfId="123" xr:uid="{00000000-0005-0000-0000-00003E000000}"/>
    <cellStyle name="Moeda 10 2" xfId="274" xr:uid="{00000000-0005-0000-0000-00003F000000}"/>
    <cellStyle name="Moeda 11" xfId="127" xr:uid="{00000000-0005-0000-0000-000040000000}"/>
    <cellStyle name="Moeda 11 2" xfId="278" xr:uid="{00000000-0005-0000-0000-000041000000}"/>
    <cellStyle name="Moeda 12" xfId="131" xr:uid="{00000000-0005-0000-0000-000042000000}"/>
    <cellStyle name="Moeda 12 2" xfId="282" xr:uid="{00000000-0005-0000-0000-000043000000}"/>
    <cellStyle name="Moeda 13" xfId="135" xr:uid="{00000000-0005-0000-0000-000044000000}"/>
    <cellStyle name="Moeda 13 2" xfId="286" xr:uid="{00000000-0005-0000-0000-000045000000}"/>
    <cellStyle name="Moeda 14" xfId="139" xr:uid="{00000000-0005-0000-0000-000046000000}"/>
    <cellStyle name="Moeda 14 2" xfId="290" xr:uid="{00000000-0005-0000-0000-000047000000}"/>
    <cellStyle name="Moeda 15" xfId="143" xr:uid="{00000000-0005-0000-0000-000048000000}"/>
    <cellStyle name="Moeda 15 2" xfId="294" xr:uid="{00000000-0005-0000-0000-000049000000}"/>
    <cellStyle name="Moeda 16" xfId="147" xr:uid="{00000000-0005-0000-0000-00004A000000}"/>
    <cellStyle name="Moeda 16 2" xfId="298" xr:uid="{00000000-0005-0000-0000-00004B000000}"/>
    <cellStyle name="Moeda 17" xfId="151" xr:uid="{00000000-0005-0000-0000-00004C000000}"/>
    <cellStyle name="Moeda 17 2" xfId="302" xr:uid="{00000000-0005-0000-0000-00004D000000}"/>
    <cellStyle name="Moeda 18" xfId="155" xr:uid="{00000000-0005-0000-0000-00004E000000}"/>
    <cellStyle name="Moeda 18 2" xfId="306" xr:uid="{00000000-0005-0000-0000-00004F000000}"/>
    <cellStyle name="Moeda 19" xfId="159" xr:uid="{00000000-0005-0000-0000-000050000000}"/>
    <cellStyle name="Moeda 19 2" xfId="310" xr:uid="{00000000-0005-0000-0000-000051000000}"/>
    <cellStyle name="Moeda 2" xfId="79" xr:uid="{00000000-0005-0000-0000-000052000000}"/>
    <cellStyle name="Moeda 2 10" xfId="132" xr:uid="{00000000-0005-0000-0000-000053000000}"/>
    <cellStyle name="Moeda 2 10 2" xfId="283" xr:uid="{00000000-0005-0000-0000-000054000000}"/>
    <cellStyle name="Moeda 2 11" xfId="136" xr:uid="{00000000-0005-0000-0000-000055000000}"/>
    <cellStyle name="Moeda 2 11 2" xfId="287" xr:uid="{00000000-0005-0000-0000-000056000000}"/>
    <cellStyle name="Moeda 2 12" xfId="140" xr:uid="{00000000-0005-0000-0000-000057000000}"/>
    <cellStyle name="Moeda 2 12 2" xfId="291" xr:uid="{00000000-0005-0000-0000-000058000000}"/>
    <cellStyle name="Moeda 2 13" xfId="144" xr:uid="{00000000-0005-0000-0000-000059000000}"/>
    <cellStyle name="Moeda 2 13 2" xfId="295" xr:uid="{00000000-0005-0000-0000-00005A000000}"/>
    <cellStyle name="Moeda 2 14" xfId="148" xr:uid="{00000000-0005-0000-0000-00005B000000}"/>
    <cellStyle name="Moeda 2 14 2" xfId="299" xr:uid="{00000000-0005-0000-0000-00005C000000}"/>
    <cellStyle name="Moeda 2 15" xfId="152" xr:uid="{00000000-0005-0000-0000-00005D000000}"/>
    <cellStyle name="Moeda 2 15 2" xfId="303" xr:uid="{00000000-0005-0000-0000-00005E000000}"/>
    <cellStyle name="Moeda 2 16" xfId="156" xr:uid="{00000000-0005-0000-0000-00005F000000}"/>
    <cellStyle name="Moeda 2 16 2" xfId="307" xr:uid="{00000000-0005-0000-0000-000060000000}"/>
    <cellStyle name="Moeda 2 17" xfId="160" xr:uid="{00000000-0005-0000-0000-000061000000}"/>
    <cellStyle name="Moeda 2 17 2" xfId="311" xr:uid="{00000000-0005-0000-0000-000062000000}"/>
    <cellStyle name="Moeda 2 18" xfId="164" xr:uid="{00000000-0005-0000-0000-000063000000}"/>
    <cellStyle name="Moeda 2 18 2" xfId="315" xr:uid="{00000000-0005-0000-0000-000064000000}"/>
    <cellStyle name="Moeda 2 19" xfId="168" xr:uid="{00000000-0005-0000-0000-000065000000}"/>
    <cellStyle name="Moeda 2 19 2" xfId="319" xr:uid="{00000000-0005-0000-0000-000066000000}"/>
    <cellStyle name="Moeda 2 2" xfId="100" xr:uid="{00000000-0005-0000-0000-000067000000}"/>
    <cellStyle name="Moeda 2 2 2" xfId="251" xr:uid="{00000000-0005-0000-0000-000068000000}"/>
    <cellStyle name="Moeda 2 2 3" xfId="405" xr:uid="{00000000-0005-0000-0000-000069000000}"/>
    <cellStyle name="Moeda 2 2 4" xfId="414" xr:uid="{00000000-0005-0000-0000-00006A000000}"/>
    <cellStyle name="Moeda 2 2 5" xfId="431" xr:uid="{00000000-0005-0000-0000-00006B000000}"/>
    <cellStyle name="Moeda 2 2 6" xfId="440" xr:uid="{00000000-0005-0000-0000-00006C000000}"/>
    <cellStyle name="Moeda 2 2 7" xfId="449" xr:uid="{00000000-0005-0000-0000-00006D000000}"/>
    <cellStyle name="Moeda 2 20" xfId="172" xr:uid="{00000000-0005-0000-0000-00006E000000}"/>
    <cellStyle name="Moeda 2 20 2" xfId="323" xr:uid="{00000000-0005-0000-0000-00006F000000}"/>
    <cellStyle name="Moeda 2 21" xfId="176" xr:uid="{00000000-0005-0000-0000-000070000000}"/>
    <cellStyle name="Moeda 2 21 2" xfId="327" xr:uid="{00000000-0005-0000-0000-000071000000}"/>
    <cellStyle name="Moeda 2 22" xfId="180" xr:uid="{00000000-0005-0000-0000-000072000000}"/>
    <cellStyle name="Moeda 2 22 2" xfId="331" xr:uid="{00000000-0005-0000-0000-000073000000}"/>
    <cellStyle name="Moeda 2 23" xfId="184" xr:uid="{00000000-0005-0000-0000-000074000000}"/>
    <cellStyle name="Moeda 2 23 2" xfId="335" xr:uid="{00000000-0005-0000-0000-000075000000}"/>
    <cellStyle name="Moeda 2 24" xfId="188" xr:uid="{00000000-0005-0000-0000-000076000000}"/>
    <cellStyle name="Moeda 2 24 2" xfId="339" xr:uid="{00000000-0005-0000-0000-000077000000}"/>
    <cellStyle name="Moeda 2 25" xfId="192" xr:uid="{00000000-0005-0000-0000-000078000000}"/>
    <cellStyle name="Moeda 2 25 2" xfId="343" xr:uid="{00000000-0005-0000-0000-000079000000}"/>
    <cellStyle name="Moeda 2 26" xfId="196" xr:uid="{00000000-0005-0000-0000-00007A000000}"/>
    <cellStyle name="Moeda 2 26 2" xfId="347" xr:uid="{00000000-0005-0000-0000-00007B000000}"/>
    <cellStyle name="Moeda 2 27" xfId="200" xr:uid="{00000000-0005-0000-0000-00007C000000}"/>
    <cellStyle name="Moeda 2 27 2" xfId="351" xr:uid="{00000000-0005-0000-0000-00007D000000}"/>
    <cellStyle name="Moeda 2 28" xfId="204" xr:uid="{00000000-0005-0000-0000-00007E000000}"/>
    <cellStyle name="Moeda 2 28 2" xfId="355" xr:uid="{00000000-0005-0000-0000-00007F000000}"/>
    <cellStyle name="Moeda 2 29" xfId="208" xr:uid="{00000000-0005-0000-0000-000080000000}"/>
    <cellStyle name="Moeda 2 29 2" xfId="359" xr:uid="{00000000-0005-0000-0000-000081000000}"/>
    <cellStyle name="Moeda 2 3" xfId="104" xr:uid="{00000000-0005-0000-0000-000082000000}"/>
    <cellStyle name="Moeda 2 3 2" xfId="255" xr:uid="{00000000-0005-0000-0000-000083000000}"/>
    <cellStyle name="Moeda 2 30" xfId="212" xr:uid="{00000000-0005-0000-0000-000084000000}"/>
    <cellStyle name="Moeda 2 30 2" xfId="363" xr:uid="{00000000-0005-0000-0000-000085000000}"/>
    <cellStyle name="Moeda 2 31" xfId="216" xr:uid="{00000000-0005-0000-0000-000086000000}"/>
    <cellStyle name="Moeda 2 31 2" xfId="367" xr:uid="{00000000-0005-0000-0000-000087000000}"/>
    <cellStyle name="Moeda 2 32" xfId="220" xr:uid="{00000000-0005-0000-0000-000088000000}"/>
    <cellStyle name="Moeda 2 32 2" xfId="371" xr:uid="{00000000-0005-0000-0000-000089000000}"/>
    <cellStyle name="Moeda 2 33" xfId="224" xr:uid="{00000000-0005-0000-0000-00008A000000}"/>
    <cellStyle name="Moeda 2 33 2" xfId="375" xr:uid="{00000000-0005-0000-0000-00008B000000}"/>
    <cellStyle name="Moeda 2 34" xfId="228" xr:uid="{00000000-0005-0000-0000-00008C000000}"/>
    <cellStyle name="Moeda 2 34 2" xfId="379" xr:uid="{00000000-0005-0000-0000-00008D000000}"/>
    <cellStyle name="Moeda 2 35" xfId="232" xr:uid="{00000000-0005-0000-0000-00008E000000}"/>
    <cellStyle name="Moeda 2 35 2" xfId="383" xr:uid="{00000000-0005-0000-0000-00008F000000}"/>
    <cellStyle name="Moeda 2 36" xfId="236" xr:uid="{00000000-0005-0000-0000-000090000000}"/>
    <cellStyle name="Moeda 2 36 2" xfId="387" xr:uid="{00000000-0005-0000-0000-000091000000}"/>
    <cellStyle name="Moeda 2 37" xfId="240" xr:uid="{00000000-0005-0000-0000-000092000000}"/>
    <cellStyle name="Moeda 2 37 2" xfId="391" xr:uid="{00000000-0005-0000-0000-000093000000}"/>
    <cellStyle name="Moeda 2 38" xfId="245" xr:uid="{00000000-0005-0000-0000-000094000000}"/>
    <cellStyle name="Moeda 2 38 2" xfId="396" xr:uid="{00000000-0005-0000-0000-000095000000}"/>
    <cellStyle name="Moeda 2 39" xfId="401" xr:uid="{00000000-0005-0000-0000-000096000000}"/>
    <cellStyle name="Moeda 2 4" xfId="108" xr:uid="{00000000-0005-0000-0000-000097000000}"/>
    <cellStyle name="Moeda 2 4 2" xfId="259" xr:uid="{00000000-0005-0000-0000-000098000000}"/>
    <cellStyle name="Moeda 2 40" xfId="410" xr:uid="{00000000-0005-0000-0000-000099000000}"/>
    <cellStyle name="Moeda 2 41" xfId="418" xr:uid="{00000000-0005-0000-0000-00009A000000}"/>
    <cellStyle name="Moeda 2 42" xfId="420" xr:uid="{00000000-0005-0000-0000-00009B000000}"/>
    <cellStyle name="Moeda 2 43" xfId="422" xr:uid="{00000000-0005-0000-0000-00009C000000}"/>
    <cellStyle name="Moeda 2 44" xfId="424" xr:uid="{00000000-0005-0000-0000-00009D000000}"/>
    <cellStyle name="Moeda 2 45" xfId="427" xr:uid="{00000000-0005-0000-0000-00009E000000}"/>
    <cellStyle name="Moeda 2 46" xfId="437" xr:uid="{00000000-0005-0000-0000-00009F000000}"/>
    <cellStyle name="Moeda 2 47" xfId="445" xr:uid="{00000000-0005-0000-0000-0000A0000000}"/>
    <cellStyle name="Moeda 2 48" xfId="453" xr:uid="{23A274F5-6762-4C4C-98DC-779DD12CA6AB}"/>
    <cellStyle name="Moeda 2 5" xfId="112" xr:uid="{00000000-0005-0000-0000-0000A1000000}"/>
    <cellStyle name="Moeda 2 5 2" xfId="263" xr:uid="{00000000-0005-0000-0000-0000A2000000}"/>
    <cellStyle name="Moeda 2 6" xfId="116" xr:uid="{00000000-0005-0000-0000-0000A3000000}"/>
    <cellStyle name="Moeda 2 6 2" xfId="267" xr:uid="{00000000-0005-0000-0000-0000A4000000}"/>
    <cellStyle name="Moeda 2 7" xfId="120" xr:uid="{00000000-0005-0000-0000-0000A5000000}"/>
    <cellStyle name="Moeda 2 7 2" xfId="271" xr:uid="{00000000-0005-0000-0000-0000A6000000}"/>
    <cellStyle name="Moeda 2 8" xfId="124" xr:uid="{00000000-0005-0000-0000-0000A7000000}"/>
    <cellStyle name="Moeda 2 8 2" xfId="275" xr:uid="{00000000-0005-0000-0000-0000A8000000}"/>
    <cellStyle name="Moeda 2 9" xfId="128" xr:uid="{00000000-0005-0000-0000-0000A9000000}"/>
    <cellStyle name="Moeda 2 9 2" xfId="279" xr:uid="{00000000-0005-0000-0000-0000AA000000}"/>
    <cellStyle name="Moeda 20" xfId="163" xr:uid="{00000000-0005-0000-0000-0000AB000000}"/>
    <cellStyle name="Moeda 20 2" xfId="314" xr:uid="{00000000-0005-0000-0000-0000AC000000}"/>
    <cellStyle name="Moeda 21" xfId="167" xr:uid="{00000000-0005-0000-0000-0000AD000000}"/>
    <cellStyle name="Moeda 21 2" xfId="318" xr:uid="{00000000-0005-0000-0000-0000AE000000}"/>
    <cellStyle name="Moeda 22" xfId="171" xr:uid="{00000000-0005-0000-0000-0000AF000000}"/>
    <cellStyle name="Moeda 22 2" xfId="322" xr:uid="{00000000-0005-0000-0000-0000B0000000}"/>
    <cellStyle name="Moeda 23" xfId="175" xr:uid="{00000000-0005-0000-0000-0000B1000000}"/>
    <cellStyle name="Moeda 23 2" xfId="326" xr:uid="{00000000-0005-0000-0000-0000B2000000}"/>
    <cellStyle name="Moeda 24" xfId="179" xr:uid="{00000000-0005-0000-0000-0000B3000000}"/>
    <cellStyle name="Moeda 24 2" xfId="330" xr:uid="{00000000-0005-0000-0000-0000B4000000}"/>
    <cellStyle name="Moeda 25" xfId="183" xr:uid="{00000000-0005-0000-0000-0000B5000000}"/>
    <cellStyle name="Moeda 25 2" xfId="334" xr:uid="{00000000-0005-0000-0000-0000B6000000}"/>
    <cellStyle name="Moeda 26" xfId="187" xr:uid="{00000000-0005-0000-0000-0000B7000000}"/>
    <cellStyle name="Moeda 26 2" xfId="338" xr:uid="{00000000-0005-0000-0000-0000B8000000}"/>
    <cellStyle name="Moeda 27" xfId="191" xr:uid="{00000000-0005-0000-0000-0000B9000000}"/>
    <cellStyle name="Moeda 27 2" xfId="342" xr:uid="{00000000-0005-0000-0000-0000BA000000}"/>
    <cellStyle name="Moeda 28" xfId="195" xr:uid="{00000000-0005-0000-0000-0000BB000000}"/>
    <cellStyle name="Moeda 28 2" xfId="346" xr:uid="{00000000-0005-0000-0000-0000BC000000}"/>
    <cellStyle name="Moeda 29" xfId="199" xr:uid="{00000000-0005-0000-0000-0000BD000000}"/>
    <cellStyle name="Moeda 29 2" xfId="350" xr:uid="{00000000-0005-0000-0000-0000BE000000}"/>
    <cellStyle name="Moeda 3" xfId="48" xr:uid="{00000000-0005-0000-0000-0000BF000000}"/>
    <cellStyle name="Moeda 3 2" xfId="248" xr:uid="{00000000-0005-0000-0000-0000C0000000}"/>
    <cellStyle name="Moeda 3 3" xfId="404" xr:uid="{00000000-0005-0000-0000-0000C1000000}"/>
    <cellStyle name="Moeda 3 4" xfId="413" xr:uid="{00000000-0005-0000-0000-0000C2000000}"/>
    <cellStyle name="Moeda 3 5" xfId="430" xr:uid="{00000000-0005-0000-0000-0000C3000000}"/>
    <cellStyle name="Moeda 3 6" xfId="439" xr:uid="{00000000-0005-0000-0000-0000C4000000}"/>
    <cellStyle name="Moeda 3 7" xfId="448" xr:uid="{00000000-0005-0000-0000-0000C5000000}"/>
    <cellStyle name="Moeda 30" xfId="203" xr:uid="{00000000-0005-0000-0000-0000C6000000}"/>
    <cellStyle name="Moeda 30 2" xfId="354" xr:uid="{00000000-0005-0000-0000-0000C7000000}"/>
    <cellStyle name="Moeda 31" xfId="207" xr:uid="{00000000-0005-0000-0000-0000C8000000}"/>
    <cellStyle name="Moeda 31 2" xfId="358" xr:uid="{00000000-0005-0000-0000-0000C9000000}"/>
    <cellStyle name="Moeda 32" xfId="211" xr:uid="{00000000-0005-0000-0000-0000CA000000}"/>
    <cellStyle name="Moeda 32 2" xfId="362" xr:uid="{00000000-0005-0000-0000-0000CB000000}"/>
    <cellStyle name="Moeda 33" xfId="215" xr:uid="{00000000-0005-0000-0000-0000CC000000}"/>
    <cellStyle name="Moeda 33 2" xfId="366" xr:uid="{00000000-0005-0000-0000-0000CD000000}"/>
    <cellStyle name="Moeda 34" xfId="219" xr:uid="{00000000-0005-0000-0000-0000CE000000}"/>
    <cellStyle name="Moeda 34 2" xfId="370" xr:uid="{00000000-0005-0000-0000-0000CF000000}"/>
    <cellStyle name="Moeda 35" xfId="223" xr:uid="{00000000-0005-0000-0000-0000D0000000}"/>
    <cellStyle name="Moeda 35 2" xfId="374" xr:uid="{00000000-0005-0000-0000-0000D1000000}"/>
    <cellStyle name="Moeda 36" xfId="227" xr:uid="{00000000-0005-0000-0000-0000D2000000}"/>
    <cellStyle name="Moeda 36 2" xfId="378" xr:uid="{00000000-0005-0000-0000-0000D3000000}"/>
    <cellStyle name="Moeda 37" xfId="231" xr:uid="{00000000-0005-0000-0000-0000D4000000}"/>
    <cellStyle name="Moeda 37 2" xfId="382" xr:uid="{00000000-0005-0000-0000-0000D5000000}"/>
    <cellStyle name="Moeda 38" xfId="235" xr:uid="{00000000-0005-0000-0000-0000D6000000}"/>
    <cellStyle name="Moeda 38 2" xfId="386" xr:uid="{00000000-0005-0000-0000-0000D7000000}"/>
    <cellStyle name="Moeda 39" xfId="239" xr:uid="{00000000-0005-0000-0000-0000D8000000}"/>
    <cellStyle name="Moeda 39 2" xfId="390" xr:uid="{00000000-0005-0000-0000-0000D9000000}"/>
    <cellStyle name="Moeda 4" xfId="99" xr:uid="{00000000-0005-0000-0000-0000DA000000}"/>
    <cellStyle name="Moeda 4 2" xfId="250" xr:uid="{00000000-0005-0000-0000-0000DB000000}"/>
    <cellStyle name="Moeda 40" xfId="244" xr:uid="{00000000-0005-0000-0000-0000DC000000}"/>
    <cellStyle name="Moeda 40 2" xfId="395" xr:uid="{00000000-0005-0000-0000-0000DD000000}"/>
    <cellStyle name="Moeda 41" xfId="400" xr:uid="{00000000-0005-0000-0000-0000DE000000}"/>
    <cellStyle name="Moeda 42" xfId="409" xr:uid="{00000000-0005-0000-0000-0000DF000000}"/>
    <cellStyle name="Moeda 43" xfId="417" xr:uid="{00000000-0005-0000-0000-0000E0000000}"/>
    <cellStyle name="Moeda 44" xfId="419" xr:uid="{00000000-0005-0000-0000-0000E1000000}"/>
    <cellStyle name="Moeda 45" xfId="421" xr:uid="{00000000-0005-0000-0000-0000E2000000}"/>
    <cellStyle name="Moeda 46" xfId="423" xr:uid="{00000000-0005-0000-0000-0000E3000000}"/>
    <cellStyle name="Moeda 47" xfId="426" xr:uid="{00000000-0005-0000-0000-0000E4000000}"/>
    <cellStyle name="Moeda 48" xfId="434" xr:uid="{00000000-0005-0000-0000-0000E5000000}"/>
    <cellStyle name="Moeda 49" xfId="444" xr:uid="{00000000-0005-0000-0000-0000E6000000}"/>
    <cellStyle name="Moeda 5" xfId="103" xr:uid="{00000000-0005-0000-0000-0000E7000000}"/>
    <cellStyle name="Moeda 5 2" xfId="254" xr:uid="{00000000-0005-0000-0000-0000E8000000}"/>
    <cellStyle name="Moeda 50" xfId="452" xr:uid="{151A7B9A-E9C8-4ABE-86FF-282B474182E3}"/>
    <cellStyle name="Moeda 6" xfId="107" xr:uid="{00000000-0005-0000-0000-0000E9000000}"/>
    <cellStyle name="Moeda 6 2" xfId="258" xr:uid="{00000000-0005-0000-0000-0000EA000000}"/>
    <cellStyle name="Moeda 7" xfId="111" xr:uid="{00000000-0005-0000-0000-0000EB000000}"/>
    <cellStyle name="Moeda 7 2" xfId="262" xr:uid="{00000000-0005-0000-0000-0000EC000000}"/>
    <cellStyle name="Moeda 8" xfId="115" xr:uid="{00000000-0005-0000-0000-0000ED000000}"/>
    <cellStyle name="Moeda 8 2" xfId="266" xr:uid="{00000000-0005-0000-0000-0000EE000000}"/>
    <cellStyle name="Moeda 9" xfId="119" xr:uid="{00000000-0005-0000-0000-0000EF000000}"/>
    <cellStyle name="Moeda 9 2" xfId="270" xr:uid="{00000000-0005-0000-0000-0000F0000000}"/>
    <cellStyle name="Neutra 2" xfId="80" xr:uid="{00000000-0005-0000-0000-0000F2000000}"/>
    <cellStyle name="Neutro" xfId="9" builtinId="28" customBuiltin="1"/>
    <cellStyle name="Normal" xfId="0" builtinId="0"/>
    <cellStyle name="Normal 2" xfId="43" xr:uid="{00000000-0005-0000-0000-0000F4000000}"/>
    <cellStyle name="Normal 3" xfId="81" xr:uid="{00000000-0005-0000-0000-0000F5000000}"/>
    <cellStyle name="Normal 5" xfId="82" xr:uid="{00000000-0005-0000-0000-0000F6000000}"/>
    <cellStyle name="Nota" xfId="16" builtinId="10" customBuiltin="1"/>
    <cellStyle name="Nota 2" xfId="83" xr:uid="{00000000-0005-0000-0000-0000F8000000}"/>
    <cellStyle name="Porcentagem" xfId="44" builtinId="5"/>
    <cellStyle name="Porcentagem 2" xfId="84" xr:uid="{00000000-0005-0000-0000-0000FA000000}"/>
    <cellStyle name="Ruim" xfId="8" builtinId="27" customBuiltin="1"/>
    <cellStyle name="Saída" xfId="11" builtinId="21" customBuiltin="1"/>
    <cellStyle name="Saída 2" xfId="85" xr:uid="{00000000-0005-0000-0000-0000FC000000}"/>
    <cellStyle name="Separador de milhares 2" xfId="86" xr:uid="{00000000-0005-0000-0000-0000FD000000}"/>
    <cellStyle name="Separador de milhares 2 2" xfId="241" xr:uid="{00000000-0005-0000-0000-0000FE000000}"/>
    <cellStyle name="Separador de milhares 2 2 2" xfId="392" xr:uid="{00000000-0005-0000-0000-0000FF000000}"/>
    <cellStyle name="Separador de milhares 2 2 3" xfId="406" xr:uid="{00000000-0005-0000-0000-000000010000}"/>
    <cellStyle name="Separador de milhares 2 2 4" xfId="415" xr:uid="{00000000-0005-0000-0000-000001010000}"/>
    <cellStyle name="Separador de milhares 2 2 5" xfId="432" xr:uid="{00000000-0005-0000-0000-000002010000}"/>
    <cellStyle name="Separador de milhares 2 2 6" xfId="441" xr:uid="{00000000-0005-0000-0000-000003010000}"/>
    <cellStyle name="Separador de milhares 2 2 7" xfId="450" xr:uid="{00000000-0005-0000-0000-000004010000}"/>
    <cellStyle name="Texto de Aviso" xfId="15" builtinId="11" customBuiltin="1"/>
    <cellStyle name="Texto de Aviso 2" xfId="87" xr:uid="{00000000-0005-0000-0000-000006010000}"/>
    <cellStyle name="Texto Explicativo" xfId="17" builtinId="53" customBuiltin="1"/>
    <cellStyle name="Texto Explicativo 2" xfId="88" xr:uid="{00000000-0005-0000-0000-000008010000}"/>
    <cellStyle name="Título" xfId="2" builtinId="15" customBuiltin="1"/>
    <cellStyle name="Título 1" xfId="3" builtinId="16" customBuiltin="1"/>
    <cellStyle name="Título 1 1" xfId="89" xr:uid="{00000000-0005-0000-0000-00000B010000}"/>
    <cellStyle name="Título 1 1 1" xfId="90" xr:uid="{00000000-0005-0000-0000-00000C010000}"/>
    <cellStyle name="Título 1 2" xfId="91" xr:uid="{00000000-0005-0000-0000-00000D010000}"/>
    <cellStyle name="Título 2" xfId="4" builtinId="17" customBuiltin="1"/>
    <cellStyle name="Título 2 2" xfId="92" xr:uid="{00000000-0005-0000-0000-00000F010000}"/>
    <cellStyle name="Título 3" xfId="5" builtinId="18" customBuiltin="1"/>
    <cellStyle name="Título 3 2" xfId="93" xr:uid="{00000000-0005-0000-0000-000011010000}"/>
    <cellStyle name="Título 4" xfId="6" builtinId="19" customBuiltin="1"/>
    <cellStyle name="Título 4 2" xfId="94" xr:uid="{00000000-0005-0000-0000-000013010000}"/>
    <cellStyle name="Total" xfId="18" builtinId="25" customBuiltin="1"/>
    <cellStyle name="Total 2" xfId="95" xr:uid="{00000000-0005-0000-0000-000015010000}"/>
    <cellStyle name="Vírgula" xfId="45" builtinId="3"/>
    <cellStyle name="Vírgula 10" xfId="122" xr:uid="{00000000-0005-0000-0000-000017010000}"/>
    <cellStyle name="Vírgula 10 2" xfId="273" xr:uid="{00000000-0005-0000-0000-000018010000}"/>
    <cellStyle name="Vírgula 11" xfId="126" xr:uid="{00000000-0005-0000-0000-000019010000}"/>
    <cellStyle name="Vírgula 11 2" xfId="277" xr:uid="{00000000-0005-0000-0000-00001A010000}"/>
    <cellStyle name="Vírgula 12" xfId="130" xr:uid="{00000000-0005-0000-0000-00001B010000}"/>
    <cellStyle name="Vírgula 12 2" xfId="281" xr:uid="{00000000-0005-0000-0000-00001C010000}"/>
    <cellStyle name="Vírgula 13" xfId="134" xr:uid="{00000000-0005-0000-0000-00001D010000}"/>
    <cellStyle name="Vírgula 13 2" xfId="285" xr:uid="{00000000-0005-0000-0000-00001E010000}"/>
    <cellStyle name="Vírgula 14" xfId="138" xr:uid="{00000000-0005-0000-0000-00001F010000}"/>
    <cellStyle name="Vírgula 14 2" xfId="289" xr:uid="{00000000-0005-0000-0000-000020010000}"/>
    <cellStyle name="Vírgula 15" xfId="142" xr:uid="{00000000-0005-0000-0000-000021010000}"/>
    <cellStyle name="Vírgula 15 2" xfId="293" xr:uid="{00000000-0005-0000-0000-000022010000}"/>
    <cellStyle name="Vírgula 16" xfId="146" xr:uid="{00000000-0005-0000-0000-000023010000}"/>
    <cellStyle name="Vírgula 16 2" xfId="297" xr:uid="{00000000-0005-0000-0000-000024010000}"/>
    <cellStyle name="Vírgula 17" xfId="150" xr:uid="{00000000-0005-0000-0000-000025010000}"/>
    <cellStyle name="Vírgula 17 2" xfId="301" xr:uid="{00000000-0005-0000-0000-000026010000}"/>
    <cellStyle name="Vírgula 18" xfId="154" xr:uid="{00000000-0005-0000-0000-000027010000}"/>
    <cellStyle name="Vírgula 18 2" xfId="305" xr:uid="{00000000-0005-0000-0000-000028010000}"/>
    <cellStyle name="Vírgula 19" xfId="158" xr:uid="{00000000-0005-0000-0000-000029010000}"/>
    <cellStyle name="Vírgula 19 2" xfId="309" xr:uid="{00000000-0005-0000-0000-00002A010000}"/>
    <cellStyle name="Vírgula 2" xfId="96" xr:uid="{00000000-0005-0000-0000-00002B010000}"/>
    <cellStyle name="Vírgula 2 2" xfId="97" xr:uid="{00000000-0005-0000-0000-00002C010000}"/>
    <cellStyle name="Vírgula 2 2 10" xfId="133" xr:uid="{00000000-0005-0000-0000-00002D010000}"/>
    <cellStyle name="Vírgula 2 2 10 2" xfId="284" xr:uid="{00000000-0005-0000-0000-00002E010000}"/>
    <cellStyle name="Vírgula 2 2 11" xfId="137" xr:uid="{00000000-0005-0000-0000-00002F010000}"/>
    <cellStyle name="Vírgula 2 2 11 2" xfId="288" xr:uid="{00000000-0005-0000-0000-000030010000}"/>
    <cellStyle name="Vírgula 2 2 12" xfId="141" xr:uid="{00000000-0005-0000-0000-000031010000}"/>
    <cellStyle name="Vírgula 2 2 12 2" xfId="292" xr:uid="{00000000-0005-0000-0000-000032010000}"/>
    <cellStyle name="Vírgula 2 2 13" xfId="145" xr:uid="{00000000-0005-0000-0000-000033010000}"/>
    <cellStyle name="Vírgula 2 2 13 2" xfId="296" xr:uid="{00000000-0005-0000-0000-000034010000}"/>
    <cellStyle name="Vírgula 2 2 14" xfId="149" xr:uid="{00000000-0005-0000-0000-000035010000}"/>
    <cellStyle name="Vírgula 2 2 14 2" xfId="300" xr:uid="{00000000-0005-0000-0000-000036010000}"/>
    <cellStyle name="Vírgula 2 2 15" xfId="153" xr:uid="{00000000-0005-0000-0000-000037010000}"/>
    <cellStyle name="Vírgula 2 2 15 2" xfId="304" xr:uid="{00000000-0005-0000-0000-000038010000}"/>
    <cellStyle name="Vírgula 2 2 16" xfId="157" xr:uid="{00000000-0005-0000-0000-000039010000}"/>
    <cellStyle name="Vírgula 2 2 16 2" xfId="308" xr:uid="{00000000-0005-0000-0000-00003A010000}"/>
    <cellStyle name="Vírgula 2 2 17" xfId="161" xr:uid="{00000000-0005-0000-0000-00003B010000}"/>
    <cellStyle name="Vírgula 2 2 17 2" xfId="312" xr:uid="{00000000-0005-0000-0000-00003C010000}"/>
    <cellStyle name="Vírgula 2 2 18" xfId="165" xr:uid="{00000000-0005-0000-0000-00003D010000}"/>
    <cellStyle name="Vírgula 2 2 18 2" xfId="316" xr:uid="{00000000-0005-0000-0000-00003E010000}"/>
    <cellStyle name="Vírgula 2 2 19" xfId="169" xr:uid="{00000000-0005-0000-0000-00003F010000}"/>
    <cellStyle name="Vírgula 2 2 19 2" xfId="320" xr:uid="{00000000-0005-0000-0000-000040010000}"/>
    <cellStyle name="Vírgula 2 2 2" xfId="101" xr:uid="{00000000-0005-0000-0000-000041010000}"/>
    <cellStyle name="Vírgula 2 2 2 2" xfId="252" xr:uid="{00000000-0005-0000-0000-000042010000}"/>
    <cellStyle name="Vírgula 2 2 2 3" xfId="407" xr:uid="{00000000-0005-0000-0000-000043010000}"/>
    <cellStyle name="Vírgula 2 2 2 4" xfId="416" xr:uid="{00000000-0005-0000-0000-000044010000}"/>
    <cellStyle name="Vírgula 2 2 2 5" xfId="433" xr:uid="{00000000-0005-0000-0000-000045010000}"/>
    <cellStyle name="Vírgula 2 2 2 6" xfId="442" xr:uid="{00000000-0005-0000-0000-000046010000}"/>
    <cellStyle name="Vírgula 2 2 2 7" xfId="451" xr:uid="{00000000-0005-0000-0000-000047010000}"/>
    <cellStyle name="Vírgula 2 2 20" xfId="173" xr:uid="{00000000-0005-0000-0000-000048010000}"/>
    <cellStyle name="Vírgula 2 2 20 2" xfId="324" xr:uid="{00000000-0005-0000-0000-000049010000}"/>
    <cellStyle name="Vírgula 2 2 21" xfId="177" xr:uid="{00000000-0005-0000-0000-00004A010000}"/>
    <cellStyle name="Vírgula 2 2 21 2" xfId="328" xr:uid="{00000000-0005-0000-0000-00004B010000}"/>
    <cellStyle name="Vírgula 2 2 22" xfId="181" xr:uid="{00000000-0005-0000-0000-00004C010000}"/>
    <cellStyle name="Vírgula 2 2 22 2" xfId="332" xr:uid="{00000000-0005-0000-0000-00004D010000}"/>
    <cellStyle name="Vírgula 2 2 23" xfId="185" xr:uid="{00000000-0005-0000-0000-00004E010000}"/>
    <cellStyle name="Vírgula 2 2 23 2" xfId="336" xr:uid="{00000000-0005-0000-0000-00004F010000}"/>
    <cellStyle name="Vírgula 2 2 24" xfId="189" xr:uid="{00000000-0005-0000-0000-000050010000}"/>
    <cellStyle name="Vírgula 2 2 24 2" xfId="340" xr:uid="{00000000-0005-0000-0000-000051010000}"/>
    <cellStyle name="Vírgula 2 2 25" xfId="193" xr:uid="{00000000-0005-0000-0000-000052010000}"/>
    <cellStyle name="Vírgula 2 2 25 2" xfId="344" xr:uid="{00000000-0005-0000-0000-000053010000}"/>
    <cellStyle name="Vírgula 2 2 26" xfId="197" xr:uid="{00000000-0005-0000-0000-000054010000}"/>
    <cellStyle name="Vírgula 2 2 26 2" xfId="348" xr:uid="{00000000-0005-0000-0000-000055010000}"/>
    <cellStyle name="Vírgula 2 2 27" xfId="201" xr:uid="{00000000-0005-0000-0000-000056010000}"/>
    <cellStyle name="Vírgula 2 2 27 2" xfId="352" xr:uid="{00000000-0005-0000-0000-000057010000}"/>
    <cellStyle name="Vírgula 2 2 28" xfId="205" xr:uid="{00000000-0005-0000-0000-000058010000}"/>
    <cellStyle name="Vírgula 2 2 28 2" xfId="356" xr:uid="{00000000-0005-0000-0000-000059010000}"/>
    <cellStyle name="Vírgula 2 2 29" xfId="209" xr:uid="{00000000-0005-0000-0000-00005A010000}"/>
    <cellStyle name="Vírgula 2 2 29 2" xfId="360" xr:uid="{00000000-0005-0000-0000-00005B010000}"/>
    <cellStyle name="Vírgula 2 2 3" xfId="105" xr:uid="{00000000-0005-0000-0000-00005C010000}"/>
    <cellStyle name="Vírgula 2 2 3 2" xfId="256" xr:uid="{00000000-0005-0000-0000-00005D010000}"/>
    <cellStyle name="Vírgula 2 2 30" xfId="213" xr:uid="{00000000-0005-0000-0000-00005E010000}"/>
    <cellStyle name="Vírgula 2 2 30 2" xfId="364" xr:uid="{00000000-0005-0000-0000-00005F010000}"/>
    <cellStyle name="Vírgula 2 2 31" xfId="217" xr:uid="{00000000-0005-0000-0000-000060010000}"/>
    <cellStyle name="Vírgula 2 2 31 2" xfId="368" xr:uid="{00000000-0005-0000-0000-000061010000}"/>
    <cellStyle name="Vírgula 2 2 32" xfId="221" xr:uid="{00000000-0005-0000-0000-000062010000}"/>
    <cellStyle name="Vírgula 2 2 32 2" xfId="372" xr:uid="{00000000-0005-0000-0000-000063010000}"/>
    <cellStyle name="Vírgula 2 2 33" xfId="225" xr:uid="{00000000-0005-0000-0000-000064010000}"/>
    <cellStyle name="Vírgula 2 2 33 2" xfId="376" xr:uid="{00000000-0005-0000-0000-000065010000}"/>
    <cellStyle name="Vírgula 2 2 34" xfId="229" xr:uid="{00000000-0005-0000-0000-000066010000}"/>
    <cellStyle name="Vírgula 2 2 34 2" xfId="380" xr:uid="{00000000-0005-0000-0000-000067010000}"/>
    <cellStyle name="Vírgula 2 2 35" xfId="233" xr:uid="{00000000-0005-0000-0000-000068010000}"/>
    <cellStyle name="Vírgula 2 2 35 2" xfId="384" xr:uid="{00000000-0005-0000-0000-000069010000}"/>
    <cellStyle name="Vírgula 2 2 36" xfId="237" xr:uid="{00000000-0005-0000-0000-00006A010000}"/>
    <cellStyle name="Vírgula 2 2 36 2" xfId="388" xr:uid="{00000000-0005-0000-0000-00006B010000}"/>
    <cellStyle name="Vírgula 2 2 37" xfId="242" xr:uid="{00000000-0005-0000-0000-00006C010000}"/>
    <cellStyle name="Vírgula 2 2 37 2" xfId="393" xr:uid="{00000000-0005-0000-0000-00006D010000}"/>
    <cellStyle name="Vírgula 2 2 38" xfId="246" xr:uid="{00000000-0005-0000-0000-00006E010000}"/>
    <cellStyle name="Vírgula 2 2 38 2" xfId="397" xr:uid="{00000000-0005-0000-0000-00006F010000}"/>
    <cellStyle name="Vírgula 2 2 39" xfId="402" xr:uid="{00000000-0005-0000-0000-000070010000}"/>
    <cellStyle name="Vírgula 2 2 4" xfId="109" xr:uid="{00000000-0005-0000-0000-000071010000}"/>
    <cellStyle name="Vírgula 2 2 4 2" xfId="260" xr:uid="{00000000-0005-0000-0000-000072010000}"/>
    <cellStyle name="Vírgula 2 2 40" xfId="411" xr:uid="{00000000-0005-0000-0000-000073010000}"/>
    <cellStyle name="Vírgula 2 2 41" xfId="428" xr:uid="{00000000-0005-0000-0000-000074010000}"/>
    <cellStyle name="Vírgula 2 2 42" xfId="436" xr:uid="{00000000-0005-0000-0000-000075010000}"/>
    <cellStyle name="Vírgula 2 2 43" xfId="446" xr:uid="{00000000-0005-0000-0000-000076010000}"/>
    <cellStyle name="Vírgula 2 2 5" xfId="113" xr:uid="{00000000-0005-0000-0000-000077010000}"/>
    <cellStyle name="Vírgula 2 2 5 2" xfId="264" xr:uid="{00000000-0005-0000-0000-000078010000}"/>
    <cellStyle name="Vírgula 2 2 6" xfId="117" xr:uid="{00000000-0005-0000-0000-000079010000}"/>
    <cellStyle name="Vírgula 2 2 6 2" xfId="268" xr:uid="{00000000-0005-0000-0000-00007A010000}"/>
    <cellStyle name="Vírgula 2 2 7" xfId="121" xr:uid="{00000000-0005-0000-0000-00007B010000}"/>
    <cellStyle name="Vírgula 2 2 7 2" xfId="272" xr:uid="{00000000-0005-0000-0000-00007C010000}"/>
    <cellStyle name="Vírgula 2 2 8" xfId="125" xr:uid="{00000000-0005-0000-0000-00007D010000}"/>
    <cellStyle name="Vírgula 2 2 8 2" xfId="276" xr:uid="{00000000-0005-0000-0000-00007E010000}"/>
    <cellStyle name="Vírgula 2 2 9" xfId="129" xr:uid="{00000000-0005-0000-0000-00007F010000}"/>
    <cellStyle name="Vírgula 2 2 9 2" xfId="280" xr:uid="{00000000-0005-0000-0000-000080010000}"/>
    <cellStyle name="Vírgula 20" xfId="162" xr:uid="{00000000-0005-0000-0000-000081010000}"/>
    <cellStyle name="Vírgula 20 2" xfId="313" xr:uid="{00000000-0005-0000-0000-000082010000}"/>
    <cellStyle name="Vírgula 21" xfId="166" xr:uid="{00000000-0005-0000-0000-000083010000}"/>
    <cellStyle name="Vírgula 21 2" xfId="317" xr:uid="{00000000-0005-0000-0000-000084010000}"/>
    <cellStyle name="Vírgula 22" xfId="170" xr:uid="{00000000-0005-0000-0000-000085010000}"/>
    <cellStyle name="Vírgula 22 2" xfId="321" xr:uid="{00000000-0005-0000-0000-000086010000}"/>
    <cellStyle name="Vírgula 23" xfId="174" xr:uid="{00000000-0005-0000-0000-000087010000}"/>
    <cellStyle name="Vírgula 23 2" xfId="325" xr:uid="{00000000-0005-0000-0000-000088010000}"/>
    <cellStyle name="Vírgula 24" xfId="178" xr:uid="{00000000-0005-0000-0000-000089010000}"/>
    <cellStyle name="Vírgula 24 2" xfId="329" xr:uid="{00000000-0005-0000-0000-00008A010000}"/>
    <cellStyle name="Vírgula 25" xfId="182" xr:uid="{00000000-0005-0000-0000-00008B010000}"/>
    <cellStyle name="Vírgula 25 2" xfId="333" xr:uid="{00000000-0005-0000-0000-00008C010000}"/>
    <cellStyle name="Vírgula 26" xfId="186" xr:uid="{00000000-0005-0000-0000-00008D010000}"/>
    <cellStyle name="Vírgula 26 2" xfId="337" xr:uid="{00000000-0005-0000-0000-00008E010000}"/>
    <cellStyle name="Vírgula 27" xfId="190" xr:uid="{00000000-0005-0000-0000-00008F010000}"/>
    <cellStyle name="Vírgula 27 2" xfId="341" xr:uid="{00000000-0005-0000-0000-000090010000}"/>
    <cellStyle name="Vírgula 28" xfId="194" xr:uid="{00000000-0005-0000-0000-000091010000}"/>
    <cellStyle name="Vírgula 28 2" xfId="345" xr:uid="{00000000-0005-0000-0000-000092010000}"/>
    <cellStyle name="Vírgula 29" xfId="198" xr:uid="{00000000-0005-0000-0000-000093010000}"/>
    <cellStyle name="Vírgula 29 2" xfId="349" xr:uid="{00000000-0005-0000-0000-000094010000}"/>
    <cellStyle name="Vírgula 3" xfId="47" xr:uid="{00000000-0005-0000-0000-000095010000}"/>
    <cellStyle name="Vírgula 3 2" xfId="247" xr:uid="{00000000-0005-0000-0000-000096010000}"/>
    <cellStyle name="Vírgula 3 3" xfId="398" xr:uid="{00000000-0005-0000-0000-000097010000}"/>
    <cellStyle name="Vírgula 3 4" xfId="403" xr:uid="{00000000-0005-0000-0000-000098010000}"/>
    <cellStyle name="Vírgula 3 5" xfId="412" xr:uid="{00000000-0005-0000-0000-000099010000}"/>
    <cellStyle name="Vírgula 3 6" xfId="429" xr:uid="{00000000-0005-0000-0000-00009A010000}"/>
    <cellStyle name="Vírgula 3 7" xfId="435" xr:uid="{00000000-0005-0000-0000-00009B010000}"/>
    <cellStyle name="Vírgula 3 8" xfId="447" xr:uid="{00000000-0005-0000-0000-00009C010000}"/>
    <cellStyle name="Vírgula 30" xfId="202" xr:uid="{00000000-0005-0000-0000-00009D010000}"/>
    <cellStyle name="Vírgula 30 2" xfId="353" xr:uid="{00000000-0005-0000-0000-00009E010000}"/>
    <cellStyle name="Vírgula 31" xfId="206" xr:uid="{00000000-0005-0000-0000-00009F010000}"/>
    <cellStyle name="Vírgula 31 2" xfId="357" xr:uid="{00000000-0005-0000-0000-0000A0010000}"/>
    <cellStyle name="Vírgula 32" xfId="210" xr:uid="{00000000-0005-0000-0000-0000A1010000}"/>
    <cellStyle name="Vírgula 32 2" xfId="361" xr:uid="{00000000-0005-0000-0000-0000A2010000}"/>
    <cellStyle name="Vírgula 33" xfId="214" xr:uid="{00000000-0005-0000-0000-0000A3010000}"/>
    <cellStyle name="Vírgula 33 2" xfId="365" xr:uid="{00000000-0005-0000-0000-0000A4010000}"/>
    <cellStyle name="Vírgula 34" xfId="218" xr:uid="{00000000-0005-0000-0000-0000A5010000}"/>
    <cellStyle name="Vírgula 34 2" xfId="369" xr:uid="{00000000-0005-0000-0000-0000A6010000}"/>
    <cellStyle name="Vírgula 35" xfId="222" xr:uid="{00000000-0005-0000-0000-0000A7010000}"/>
    <cellStyle name="Vírgula 35 2" xfId="373" xr:uid="{00000000-0005-0000-0000-0000A8010000}"/>
    <cellStyle name="Vírgula 36" xfId="226" xr:uid="{00000000-0005-0000-0000-0000A9010000}"/>
    <cellStyle name="Vírgula 36 2" xfId="377" xr:uid="{00000000-0005-0000-0000-0000AA010000}"/>
    <cellStyle name="Vírgula 37" xfId="230" xr:uid="{00000000-0005-0000-0000-0000AB010000}"/>
    <cellStyle name="Vírgula 37 2" xfId="381" xr:uid="{00000000-0005-0000-0000-0000AC010000}"/>
    <cellStyle name="Vírgula 38" xfId="234" xr:uid="{00000000-0005-0000-0000-0000AD010000}"/>
    <cellStyle name="Vírgula 38 2" xfId="385" xr:uid="{00000000-0005-0000-0000-0000AE010000}"/>
    <cellStyle name="Vírgula 39" xfId="238" xr:uid="{00000000-0005-0000-0000-0000AF010000}"/>
    <cellStyle name="Vírgula 39 2" xfId="389" xr:uid="{00000000-0005-0000-0000-0000B0010000}"/>
    <cellStyle name="Vírgula 4" xfId="98" xr:uid="{00000000-0005-0000-0000-0000B1010000}"/>
    <cellStyle name="Vírgula 4 2" xfId="249" xr:uid="{00000000-0005-0000-0000-0000B2010000}"/>
    <cellStyle name="Vírgula 40" xfId="243" xr:uid="{00000000-0005-0000-0000-0000B3010000}"/>
    <cellStyle name="Vírgula 40 2" xfId="394" xr:uid="{00000000-0005-0000-0000-0000B4010000}"/>
    <cellStyle name="Vírgula 41" xfId="399" xr:uid="{00000000-0005-0000-0000-0000B5010000}"/>
    <cellStyle name="Vírgula 42" xfId="408" xr:uid="{00000000-0005-0000-0000-0000B6010000}"/>
    <cellStyle name="Vírgula 43" xfId="425" xr:uid="{00000000-0005-0000-0000-0000B7010000}"/>
    <cellStyle name="Vírgula 44" xfId="438" xr:uid="{00000000-0005-0000-0000-0000B8010000}"/>
    <cellStyle name="Vírgula 45" xfId="443" xr:uid="{00000000-0005-0000-0000-0000B9010000}"/>
    <cellStyle name="Vírgula 5" xfId="102" xr:uid="{00000000-0005-0000-0000-0000BA010000}"/>
    <cellStyle name="Vírgula 5 2" xfId="253" xr:uid="{00000000-0005-0000-0000-0000BB010000}"/>
    <cellStyle name="Vírgula 6" xfId="106" xr:uid="{00000000-0005-0000-0000-0000BC010000}"/>
    <cellStyle name="Vírgula 6 2" xfId="257" xr:uid="{00000000-0005-0000-0000-0000BD010000}"/>
    <cellStyle name="Vírgula 7" xfId="110" xr:uid="{00000000-0005-0000-0000-0000BE010000}"/>
    <cellStyle name="Vírgula 7 2" xfId="261" xr:uid="{00000000-0005-0000-0000-0000BF010000}"/>
    <cellStyle name="Vírgula 8" xfId="114" xr:uid="{00000000-0005-0000-0000-0000C0010000}"/>
    <cellStyle name="Vírgula 8 2" xfId="265" xr:uid="{00000000-0005-0000-0000-0000C1010000}"/>
    <cellStyle name="Vírgula 9" xfId="118" xr:uid="{00000000-0005-0000-0000-0000C2010000}"/>
    <cellStyle name="Vírgula 9 2" xfId="269" xr:uid="{00000000-0005-0000-0000-0000C3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705-4DA1-97DA-475F1E5E73A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3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705-4DA1-97DA-475F1E5E7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48160"/>
        <c:axId val="113949696"/>
      </c:lineChart>
      <c:catAx>
        <c:axId val="113948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3949696"/>
        <c:crosses val="autoZero"/>
        <c:auto val="1"/>
        <c:lblAlgn val="ctr"/>
        <c:lblOffset val="100"/>
        <c:noMultiLvlLbl val="1"/>
      </c:catAx>
      <c:valAx>
        <c:axId val="1139496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48160"/>
        <c:crosses val="autoZero"/>
        <c:crossBetween val="between"/>
      </c:valAx>
    </c:plotArea>
    <c:legend>
      <c:legendPos val="b"/>
      <c:overlay val="0"/>
    </c:legend>
    <c:plotVisOnly val="1"/>
    <c:dispBlanksAs val="span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C83-42BB-A3D2-944717B8BDF9}"/>
            </c:ext>
          </c:extLst>
        </c:ser>
        <c:ser>
          <c:idx val="1"/>
          <c:order val="1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C83-42BB-A3D2-944717B8B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09216"/>
        <c:axId val="114010752"/>
      </c:lineChart>
      <c:catAx>
        <c:axId val="1140092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4010752"/>
        <c:crosses val="autoZero"/>
        <c:auto val="1"/>
        <c:lblAlgn val="ctr"/>
        <c:lblOffset val="100"/>
        <c:tickLblSkip val="1"/>
        <c:noMultiLvlLbl val="1"/>
      </c:catAx>
      <c:valAx>
        <c:axId val="11401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009216"/>
        <c:crosses val="autoZero"/>
        <c:crossBetween val="midCat"/>
      </c:valAx>
    </c:plotArea>
    <c:legend>
      <c:legendPos val="b"/>
      <c:overlay val="0"/>
    </c:legend>
    <c:plotVisOnly val="1"/>
    <c:dispBlanksAs val="span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7150314384022E-2"/>
          <c:y val="2.3465697963139739E-2"/>
          <c:w val="0.89523147652826562"/>
          <c:h val="0.8577837445264123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52F-42B3-9865-FCAE3070405A}"/>
            </c:ext>
          </c:extLst>
        </c:ser>
        <c:ser>
          <c:idx val="1"/>
          <c:order val="1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52F-42B3-9865-FCAE3070405A}"/>
            </c:ext>
          </c:extLst>
        </c:ser>
        <c:ser>
          <c:idx val="2"/>
          <c:order val="2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52F-42B3-9865-FCAE3070405A}"/>
            </c:ext>
          </c:extLst>
        </c:ser>
        <c:ser>
          <c:idx val="3"/>
          <c:order val="3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52F-42B3-9865-FCAE30704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81472"/>
        <c:axId val="114283264"/>
      </c:lineChart>
      <c:catAx>
        <c:axId val="114281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4283264"/>
        <c:crosses val="autoZero"/>
        <c:auto val="1"/>
        <c:lblAlgn val="ctr"/>
        <c:lblOffset val="100"/>
        <c:noMultiLvlLbl val="1"/>
      </c:catAx>
      <c:valAx>
        <c:axId val="114283264"/>
        <c:scaling>
          <c:orientation val="minMax"/>
          <c:min val="19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281472"/>
        <c:crosses val="autoZero"/>
        <c:crossBetween val="between"/>
      </c:valAx>
    </c:plotArea>
    <c:legend>
      <c:legendPos val="b"/>
      <c:overlay val="0"/>
    </c:legend>
    <c:plotVisOnly val="1"/>
    <c:dispBlanksAs val="span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CA9-4287-B6B9-F69EECD6322C}"/>
            </c:ext>
          </c:extLst>
        </c:ser>
        <c:ser>
          <c:idx val="1"/>
          <c:order val="1"/>
          <c:trendline>
            <c:trendlineType val="poly"/>
            <c:order val="2"/>
            <c:dispRSqr val="0"/>
            <c:dispEq val="0"/>
          </c:trendline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CA9-4287-B6B9-F69EECD6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38720"/>
        <c:axId val="119452800"/>
      </c:lineChart>
      <c:catAx>
        <c:axId val="119438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9452800"/>
        <c:crosses val="autoZero"/>
        <c:auto val="1"/>
        <c:lblAlgn val="ctr"/>
        <c:lblOffset val="100"/>
        <c:tickLblSkip val="1"/>
        <c:noMultiLvlLbl val="1"/>
      </c:catAx>
      <c:valAx>
        <c:axId val="11945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387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áf4"/>
  <sheetViews>
    <sheetView zoomScale="9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áf5"/>
  <sheetViews>
    <sheetView zoomScale="80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áf6"/>
  <sheetViews>
    <sheetView zoomScale="9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áf9"/>
  <sheetViews>
    <sheetView zoomScale="94" workbookViewId="0" zoomToFit="1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6463" cy="60088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4063" cy="60126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6463" cy="60088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6463" cy="60088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ercial/MARCEL/Inf.%20Comercia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Gerais"/>
      <sheetName val="Resumo"/>
      <sheetName val="preço mercado"/>
      <sheetName val="Projeção Farelo"/>
      <sheetName val="Farelo Bahia"/>
      <sheetName val="Calculo"/>
      <sheetName val="Exportação RS"/>
      <sheetName val="Frame Bahia"/>
      <sheetName val="Financial Straits"/>
      <sheetName val="STONEX"/>
      <sheetName val="Histórico Resumo"/>
      <sheetName val="Hedge"/>
      <sheetName val="BIO"/>
      <sheetName val="Exportação + Moagem RGE"/>
      <sheetName val="Relação CBOT"/>
      <sheetName val="Numeros BRASIL"/>
      <sheetName val="Numeros Safra"/>
      <sheetName val="Grafico da Soja"/>
      <sheetName val="Preço Óleo MI x Expo"/>
      <sheetName val="Grafico Virtual"/>
      <sheetName val="Dolar PTAX"/>
      <sheetName val="Soja a fixar com premio"/>
      <sheetName val="Premio Soja RS"/>
      <sheetName val="Histórico de Safras"/>
    </sheetNames>
    <sheetDataSet>
      <sheetData sheetId="0"/>
      <sheetData sheetId="1"/>
      <sheetData sheetId="2">
        <row r="26">
          <cell r="B26">
            <v>2770</v>
          </cell>
        </row>
        <row r="28">
          <cell r="B28">
            <v>6200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Francine Ferraro" id="{347B13F1-497C-4DE4-B40B-455F2C1A2318}" userId="S::francineferraro@oleoplan.onmicrosoft.com::713e83f3-3b18-4a6d-aad1-0b27f36162c6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2" dT="2021-03-15T16:35:42.62" personId="{347B13F1-497C-4DE4-B40B-455F2C1A2318}" id="{ABC8001D-A99B-4E00-A533-BC7264445C81}">
    <text>Passo Fundo</text>
  </threadedComment>
  <threadedComment ref="A23" dT="2021-03-15T16:35:48.03" personId="{347B13F1-497C-4DE4-B40B-455F2C1A2318}" id="{D03DD0B9-9149-46EC-BE1B-9CC5E51AAD1B}">
    <text>Barreiras</text>
  </threadedComment>
  <threadedComment ref="A24" dT="2021-03-15T16:35:56.05" personId="{347B13F1-497C-4DE4-B40B-455F2C1A2318}" id="{38BCEA16-5584-414E-9213-5290C6FB3357}">
    <text>Ponta Grossa</text>
  </threadedComment>
  <threadedComment ref="A25" dT="2021-03-15T16:36:06.49" personId="{347B13F1-497C-4DE4-B40B-455F2C1A2318}" id="{FDB72CFD-2ECB-4AF2-8B8C-95608768C70F}">
    <text>Rondonópolis</text>
  </threadedComment>
  <threadedComment ref="A26" dT="2021-03-15T16:36:13.59" personId="{347B13F1-497C-4DE4-B40B-455F2C1A2318}" id="{17DB6312-D743-4193-A93A-877397F44615}">
    <text>Rio Verde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megroup.com/europe/products/energy/biofuels/european-gasoil-ice-calendar-future_quotes_settlements_futures.html?sector=AGRICULTURE&amp;clearingCode=0B" TargetMode="External"/><Relationship Id="rId13" Type="http://schemas.openxmlformats.org/officeDocument/2006/relationships/hyperlink" Target="http://www.safras.com.br/safrasprodutos/Safrasnet.aspx" TargetMode="External"/><Relationship Id="rId18" Type="http://schemas.openxmlformats.org/officeDocument/2006/relationships/hyperlink" Target="http://www.safras.com.br/safrasprodutos/Safrasnet.aspx" TargetMode="External"/><Relationship Id="rId3" Type="http://schemas.openxmlformats.org/officeDocument/2006/relationships/hyperlink" Target="http://www.valor.com.br/valor-data/commodities/minerais" TargetMode="External"/><Relationship Id="rId7" Type="http://schemas.openxmlformats.org/officeDocument/2006/relationships/hyperlink" Target="http://cepea.esalq.usp.br/boi/" TargetMode="External"/><Relationship Id="rId12" Type="http://schemas.openxmlformats.org/officeDocument/2006/relationships/hyperlink" Target="http://www.safras.com.br/safrasprodutos/Safrasnet.aspx" TargetMode="External"/><Relationship Id="rId17" Type="http://schemas.openxmlformats.org/officeDocument/2006/relationships/hyperlink" Target="http://www.cmegroup.com/europe/products/energy/biofuels/european-rme-biodiesel-fob-ara-red-compliant-argus-vs-european-gasoil-ice-spread-calendar-futures.html_quotes_settlements_futures.html" TargetMode="External"/><Relationship Id="rId2" Type="http://schemas.openxmlformats.org/officeDocument/2006/relationships/hyperlink" Target="http://www.valor.com.br/valor-data/commodities/agricolas" TargetMode="External"/><Relationship Id="rId16" Type="http://schemas.openxmlformats.org/officeDocument/2006/relationships/hyperlink" Target="http://www.cmegroup.com/europe/products/energy/biofuels/european-fame-0-biodiesel-fob-ara-red-compliant-argus-vs-european-gasoil-ice-spread-calendar-futures.html_quotes_settlements_futures.html" TargetMode="External"/><Relationship Id="rId1" Type="http://schemas.openxmlformats.org/officeDocument/2006/relationships/hyperlink" Target="http://www.valor.com.br/valor-data/commodities/agricolas" TargetMode="External"/><Relationship Id="rId6" Type="http://schemas.openxmlformats.org/officeDocument/2006/relationships/hyperlink" Target="http://www.safras.com.br/safrasprodutos/Safrasnet.aspx" TargetMode="External"/><Relationship Id="rId11" Type="http://schemas.openxmlformats.org/officeDocument/2006/relationships/hyperlink" Target="http://www.safras.com.br/safrasprodutos/Safrasnet.aspx" TargetMode="External"/><Relationship Id="rId5" Type="http://schemas.openxmlformats.org/officeDocument/2006/relationships/hyperlink" Target="http://www.bcb.gov.br/pt-br/paginas/default.aspx" TargetMode="External"/><Relationship Id="rId15" Type="http://schemas.openxmlformats.org/officeDocument/2006/relationships/hyperlink" Target="http://www.safras.com.br/safrasprodutos/Safrasnet.aspx" TargetMode="External"/><Relationship Id="rId10" Type="http://schemas.openxmlformats.org/officeDocument/2006/relationships/hyperlink" Target="http://www.safras.com.br/safrasprodutos/Safrasnet.aspx" TargetMode="External"/><Relationship Id="rId19" Type="http://schemas.openxmlformats.org/officeDocument/2006/relationships/hyperlink" Target="http://www.safras.com.br/safrasprodutos/Safrasnet.aspx" TargetMode="External"/><Relationship Id="rId4" Type="http://schemas.openxmlformats.org/officeDocument/2006/relationships/hyperlink" Target="http://www.safras.com.br/safrasprodutos/Safrasnet.aspx" TargetMode="External"/><Relationship Id="rId9" Type="http://schemas.openxmlformats.org/officeDocument/2006/relationships/hyperlink" Target="http://www.safras.com.br/safrasprodutos/Safrasnet.aspx" TargetMode="External"/><Relationship Id="rId14" Type="http://schemas.openxmlformats.org/officeDocument/2006/relationships/hyperlink" Target="http://www.safras.com.br/safrasprodutos/Safrasne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ND149"/>
  <sheetViews>
    <sheetView tabSelected="1" zoomScale="90" zoomScaleNormal="90" workbookViewId="0">
      <pane xSplit="1" ySplit="1" topLeftCell="MQ2" activePane="bottomRight" state="frozen"/>
      <selection pane="topRight" activeCell="B1" sqref="B1"/>
      <selection pane="bottomLeft" activeCell="A2" sqref="A2"/>
      <selection pane="bottomRight" activeCell="MV50" sqref="MV50"/>
    </sheetView>
  </sheetViews>
  <sheetFormatPr defaultColWidth="0" defaultRowHeight="15" zeroHeight="1" x14ac:dyDescent="0.25"/>
  <cols>
    <col min="1" max="1" width="36.28515625" bestFit="1" customWidth="1"/>
    <col min="2" max="15" width="12.7109375" bestFit="1" customWidth="1"/>
    <col min="16" max="16" width="13.85546875" bestFit="1" customWidth="1"/>
    <col min="17" max="46" width="12.7109375" bestFit="1" customWidth="1"/>
    <col min="47" max="47" width="13.28515625" bestFit="1" customWidth="1"/>
    <col min="48" max="88" width="12.7109375" bestFit="1" customWidth="1"/>
    <col min="89" max="89" width="13.85546875" bestFit="1" customWidth="1"/>
    <col min="90" max="102" width="12.7109375" bestFit="1" customWidth="1"/>
    <col min="103" max="103" width="15.140625" customWidth="1"/>
    <col min="104" max="104" width="15.5703125" customWidth="1"/>
    <col min="105" max="106" width="12.7109375" bestFit="1" customWidth="1"/>
    <col min="107" max="107" width="16.42578125" customWidth="1"/>
    <col min="108" max="116" width="12.7109375" bestFit="1" customWidth="1"/>
    <col min="117" max="117" width="13.85546875" bestFit="1" customWidth="1"/>
    <col min="118" max="118" width="12.7109375" bestFit="1" customWidth="1"/>
    <col min="119" max="119" width="12.7109375" customWidth="1"/>
    <col min="120" max="124" width="12.7109375" bestFit="1" customWidth="1"/>
    <col min="125" max="125" width="13.85546875" bestFit="1" customWidth="1"/>
    <col min="126" max="126" width="12.7109375" bestFit="1" customWidth="1"/>
    <col min="127" max="127" width="13.85546875" bestFit="1" customWidth="1"/>
    <col min="128" max="129" width="12.7109375" bestFit="1" customWidth="1"/>
    <col min="130" max="134" width="13.85546875" bestFit="1" customWidth="1"/>
    <col min="135" max="158" width="12.7109375" bestFit="1" customWidth="1"/>
    <col min="159" max="159" width="13.85546875" bestFit="1" customWidth="1"/>
    <col min="160" max="175" width="12.7109375" bestFit="1" customWidth="1"/>
    <col min="176" max="176" width="13.85546875" bestFit="1" customWidth="1"/>
    <col min="177" max="241" width="12.7109375" bestFit="1" customWidth="1"/>
    <col min="242" max="242" width="13.85546875" bestFit="1" customWidth="1"/>
    <col min="243" max="262" width="12.7109375" bestFit="1" customWidth="1"/>
    <col min="263" max="263" width="12.7109375" customWidth="1"/>
    <col min="264" max="272" width="12.7109375" bestFit="1" customWidth="1"/>
    <col min="273" max="273" width="14.7109375" customWidth="1"/>
    <col min="274" max="274" width="12.7109375" bestFit="1" customWidth="1"/>
    <col min="275" max="275" width="13.85546875" bestFit="1" customWidth="1"/>
    <col min="276" max="279" width="12.7109375" bestFit="1" customWidth="1"/>
    <col min="280" max="280" width="14.28515625" customWidth="1"/>
    <col min="281" max="294" width="12.7109375" bestFit="1" customWidth="1"/>
    <col min="295" max="295" width="13.85546875" bestFit="1" customWidth="1"/>
    <col min="296" max="315" width="12.7109375" bestFit="1" customWidth="1"/>
    <col min="316" max="316" width="13.85546875" bestFit="1" customWidth="1"/>
    <col min="317" max="357" width="12.7109375" bestFit="1" customWidth="1"/>
    <col min="358" max="358" width="13.85546875" bestFit="1" customWidth="1"/>
    <col min="359" max="359" width="12.7109375" bestFit="1" customWidth="1"/>
    <col min="360" max="360" width="13.85546875" bestFit="1" customWidth="1"/>
    <col min="361" max="366" width="12.7109375" bestFit="1" customWidth="1"/>
    <col min="367" max="367" width="9.140625" style="5" customWidth="1"/>
    <col min="368" max="368" width="0" hidden="1" customWidth="1"/>
    <col min="369" max="16384" width="9.140625" hidden="1"/>
  </cols>
  <sheetData>
    <row r="1" spans="1:366" ht="15.75" x14ac:dyDescent="0.25">
      <c r="A1" s="15"/>
      <c r="B1" s="84">
        <v>44562</v>
      </c>
      <c r="C1" s="84">
        <v>44563</v>
      </c>
      <c r="D1" s="84">
        <v>44564</v>
      </c>
      <c r="E1" s="84">
        <v>44565</v>
      </c>
      <c r="F1" s="84">
        <v>44566</v>
      </c>
      <c r="G1" s="84">
        <v>44567</v>
      </c>
      <c r="H1" s="84">
        <v>44568</v>
      </c>
      <c r="I1" s="84">
        <v>44569</v>
      </c>
      <c r="J1" s="84">
        <v>44570</v>
      </c>
      <c r="K1" s="84">
        <v>44571</v>
      </c>
      <c r="L1" s="84">
        <v>44572</v>
      </c>
      <c r="M1" s="84">
        <v>44573</v>
      </c>
      <c r="N1" s="84">
        <v>44574</v>
      </c>
      <c r="O1" s="84">
        <v>44575</v>
      </c>
      <c r="P1" s="84">
        <v>44576</v>
      </c>
      <c r="Q1" s="84">
        <v>44577</v>
      </c>
      <c r="R1" s="84">
        <v>44578</v>
      </c>
      <c r="S1" s="84">
        <v>44579</v>
      </c>
      <c r="T1" s="84">
        <v>44580</v>
      </c>
      <c r="U1" s="84">
        <v>44581</v>
      </c>
      <c r="V1" s="84">
        <v>44582</v>
      </c>
      <c r="W1" s="84">
        <v>44583</v>
      </c>
      <c r="X1" s="84">
        <v>44584</v>
      </c>
      <c r="Y1" s="84">
        <v>44585</v>
      </c>
      <c r="Z1" s="84">
        <v>44586</v>
      </c>
      <c r="AA1" s="84">
        <v>44587</v>
      </c>
      <c r="AB1" s="84">
        <v>44588</v>
      </c>
      <c r="AC1" s="84">
        <v>44589</v>
      </c>
      <c r="AD1" s="84">
        <v>44590</v>
      </c>
      <c r="AE1" s="84">
        <v>44591</v>
      </c>
      <c r="AF1" s="84">
        <v>44592</v>
      </c>
      <c r="AG1" s="84">
        <v>44593</v>
      </c>
      <c r="AH1" s="84">
        <v>44594</v>
      </c>
      <c r="AI1" s="84">
        <v>44595</v>
      </c>
      <c r="AJ1" s="84">
        <v>44596</v>
      </c>
      <c r="AK1" s="84">
        <v>44597</v>
      </c>
      <c r="AL1" s="84">
        <v>44598</v>
      </c>
      <c r="AM1" s="84">
        <v>44599</v>
      </c>
      <c r="AN1" s="84">
        <v>44600</v>
      </c>
      <c r="AO1" s="84">
        <v>44601</v>
      </c>
      <c r="AP1" s="84">
        <v>44602</v>
      </c>
      <c r="AQ1" s="84">
        <v>44603</v>
      </c>
      <c r="AR1" s="84">
        <v>44604</v>
      </c>
      <c r="AS1" s="84">
        <v>44605</v>
      </c>
      <c r="AT1" s="84">
        <v>44606</v>
      </c>
      <c r="AU1" s="84">
        <v>44607</v>
      </c>
      <c r="AV1" s="84">
        <v>44608</v>
      </c>
      <c r="AW1" s="84">
        <v>44609</v>
      </c>
      <c r="AX1" s="84">
        <v>44610</v>
      </c>
      <c r="AY1" s="84">
        <v>44611</v>
      </c>
      <c r="AZ1" s="84">
        <v>44612</v>
      </c>
      <c r="BA1" s="84">
        <v>44613</v>
      </c>
      <c r="BB1" s="84">
        <v>44614</v>
      </c>
      <c r="BC1" s="84">
        <v>44615</v>
      </c>
      <c r="BD1" s="84">
        <v>44616</v>
      </c>
      <c r="BE1" s="84">
        <v>44617</v>
      </c>
      <c r="BF1" s="84">
        <v>44618</v>
      </c>
      <c r="BG1" s="84">
        <v>44619</v>
      </c>
      <c r="BH1" s="84">
        <v>44620</v>
      </c>
      <c r="BI1" s="84">
        <v>44621</v>
      </c>
      <c r="BJ1" s="84">
        <v>44622</v>
      </c>
      <c r="BK1" s="84">
        <v>44623</v>
      </c>
      <c r="BL1" s="84">
        <v>44624</v>
      </c>
      <c r="BM1" s="84">
        <v>44625</v>
      </c>
      <c r="BN1" s="84">
        <v>44626</v>
      </c>
      <c r="BO1" s="84">
        <v>44627</v>
      </c>
      <c r="BP1" s="84">
        <v>44628</v>
      </c>
      <c r="BQ1" s="84">
        <v>44629</v>
      </c>
      <c r="BR1" s="84">
        <v>44630</v>
      </c>
      <c r="BS1" s="84">
        <v>44631</v>
      </c>
      <c r="BT1" s="84">
        <v>44632</v>
      </c>
      <c r="BU1" s="84">
        <v>44633</v>
      </c>
      <c r="BV1" s="84">
        <v>44634</v>
      </c>
      <c r="BW1" s="84">
        <v>44635</v>
      </c>
      <c r="BX1" s="84">
        <v>44636</v>
      </c>
      <c r="BY1" s="84">
        <v>44637</v>
      </c>
      <c r="BZ1" s="84">
        <v>44638</v>
      </c>
      <c r="CA1" s="84">
        <v>44639</v>
      </c>
      <c r="CB1" s="84">
        <v>44640</v>
      </c>
      <c r="CC1" s="84">
        <v>44641</v>
      </c>
      <c r="CD1" s="84">
        <v>44642</v>
      </c>
      <c r="CE1" s="84">
        <v>44643</v>
      </c>
      <c r="CF1" s="84">
        <v>44644</v>
      </c>
      <c r="CG1" s="84">
        <v>44645</v>
      </c>
      <c r="CH1" s="84">
        <v>44646</v>
      </c>
      <c r="CI1" s="84">
        <v>44647</v>
      </c>
      <c r="CJ1" s="84">
        <v>44648</v>
      </c>
      <c r="CK1" s="84">
        <v>44649</v>
      </c>
      <c r="CL1" s="84">
        <v>44650</v>
      </c>
      <c r="CM1" s="84">
        <v>44651</v>
      </c>
      <c r="CN1" s="84">
        <v>44652</v>
      </c>
      <c r="CO1" s="84">
        <v>44653</v>
      </c>
      <c r="CP1" s="84">
        <v>44654</v>
      </c>
      <c r="CQ1" s="84">
        <v>44655</v>
      </c>
      <c r="CR1" s="84">
        <v>44656</v>
      </c>
      <c r="CS1" s="84">
        <v>44657</v>
      </c>
      <c r="CT1" s="84">
        <v>44658</v>
      </c>
      <c r="CU1" s="84">
        <v>44659</v>
      </c>
      <c r="CV1" s="84">
        <v>44660</v>
      </c>
      <c r="CW1" s="84">
        <v>44661</v>
      </c>
      <c r="CX1" s="84">
        <v>44662</v>
      </c>
      <c r="CY1" s="84">
        <v>44663</v>
      </c>
      <c r="CZ1" s="84">
        <v>44664</v>
      </c>
      <c r="DA1" s="84">
        <v>44665</v>
      </c>
      <c r="DB1" s="84">
        <v>44666</v>
      </c>
      <c r="DC1" s="84">
        <v>44667</v>
      </c>
      <c r="DD1" s="84">
        <v>44668</v>
      </c>
      <c r="DE1" s="84">
        <v>44669</v>
      </c>
      <c r="DF1" s="84">
        <v>44670</v>
      </c>
      <c r="DG1" s="84">
        <v>44671</v>
      </c>
      <c r="DH1" s="84">
        <v>44672</v>
      </c>
      <c r="DI1" s="84">
        <v>44673</v>
      </c>
      <c r="DJ1" s="84">
        <v>44674</v>
      </c>
      <c r="DK1" s="84">
        <v>44675</v>
      </c>
      <c r="DL1" s="84">
        <v>44676</v>
      </c>
      <c r="DM1" s="84">
        <v>44677</v>
      </c>
      <c r="DN1" s="84">
        <v>44678</v>
      </c>
      <c r="DO1" s="84">
        <v>44679</v>
      </c>
      <c r="DP1" s="84">
        <v>44680</v>
      </c>
      <c r="DQ1" s="84">
        <v>44681</v>
      </c>
      <c r="DR1" s="84">
        <v>44682</v>
      </c>
      <c r="DS1" s="84">
        <v>44683</v>
      </c>
      <c r="DT1" s="84">
        <v>44684</v>
      </c>
      <c r="DU1" s="84">
        <v>44685</v>
      </c>
      <c r="DV1" s="84">
        <v>44686</v>
      </c>
      <c r="DW1" s="84">
        <v>44687</v>
      </c>
      <c r="DX1" s="84">
        <v>44688</v>
      </c>
      <c r="DY1" s="84">
        <v>44689</v>
      </c>
      <c r="DZ1" s="84">
        <v>44690</v>
      </c>
      <c r="EA1" s="84">
        <v>44691</v>
      </c>
      <c r="EB1" s="84">
        <v>44692</v>
      </c>
      <c r="EC1" s="84">
        <v>44693</v>
      </c>
      <c r="ED1" s="84">
        <v>44694</v>
      </c>
      <c r="EE1" s="84">
        <v>44695</v>
      </c>
      <c r="EF1" s="84">
        <v>44696</v>
      </c>
      <c r="EG1" s="84">
        <v>44697</v>
      </c>
      <c r="EH1" s="84">
        <v>44698</v>
      </c>
      <c r="EI1" s="84">
        <v>44699</v>
      </c>
      <c r="EJ1" s="84">
        <v>44700</v>
      </c>
      <c r="EK1" s="84">
        <v>44701</v>
      </c>
      <c r="EL1" s="84">
        <v>44702</v>
      </c>
      <c r="EM1" s="84">
        <v>44703</v>
      </c>
      <c r="EN1" s="84">
        <v>44704</v>
      </c>
      <c r="EO1" s="84">
        <v>44705</v>
      </c>
      <c r="EP1" s="84">
        <v>44706</v>
      </c>
      <c r="EQ1" s="84">
        <v>44707</v>
      </c>
      <c r="ER1" s="84">
        <v>44708</v>
      </c>
      <c r="ES1" s="84">
        <v>44709</v>
      </c>
      <c r="ET1" s="84">
        <v>44710</v>
      </c>
      <c r="EU1" s="84">
        <v>44711</v>
      </c>
      <c r="EV1" s="84">
        <v>44712</v>
      </c>
      <c r="EW1" s="84">
        <v>44713</v>
      </c>
      <c r="EX1" s="84">
        <v>44714</v>
      </c>
      <c r="EY1" s="84">
        <v>44715</v>
      </c>
      <c r="EZ1" s="84">
        <v>44716</v>
      </c>
      <c r="FA1" s="84">
        <v>44717</v>
      </c>
      <c r="FB1" s="84">
        <v>44718</v>
      </c>
      <c r="FC1" s="84">
        <v>44719</v>
      </c>
      <c r="FD1" s="84">
        <v>44720</v>
      </c>
      <c r="FE1" s="84">
        <v>44721</v>
      </c>
      <c r="FF1" s="84">
        <v>44722</v>
      </c>
      <c r="FG1" s="84">
        <v>44723</v>
      </c>
      <c r="FH1" s="84">
        <v>44724</v>
      </c>
      <c r="FI1" s="84">
        <v>44725</v>
      </c>
      <c r="FJ1" s="84">
        <v>44726</v>
      </c>
      <c r="FK1" s="84">
        <v>44727</v>
      </c>
      <c r="FL1" s="84">
        <v>44728</v>
      </c>
      <c r="FM1" s="84">
        <v>44729</v>
      </c>
      <c r="FN1" s="84">
        <v>44730</v>
      </c>
      <c r="FO1" s="84">
        <v>44731</v>
      </c>
      <c r="FP1" s="84">
        <v>44732</v>
      </c>
      <c r="FQ1" s="84">
        <v>44733</v>
      </c>
      <c r="FR1" s="84">
        <v>44734</v>
      </c>
      <c r="FS1" s="84">
        <v>44735</v>
      </c>
      <c r="FT1" s="84">
        <v>44736</v>
      </c>
      <c r="FU1" s="84">
        <v>44737</v>
      </c>
      <c r="FV1" s="84">
        <v>44738</v>
      </c>
      <c r="FW1" s="84">
        <v>44739</v>
      </c>
      <c r="FX1" s="84">
        <v>44740</v>
      </c>
      <c r="FY1" s="84">
        <v>44741</v>
      </c>
      <c r="FZ1" s="84">
        <v>44742</v>
      </c>
      <c r="GA1" s="84">
        <v>44743</v>
      </c>
      <c r="GB1" s="84">
        <v>44744</v>
      </c>
      <c r="GC1" s="84">
        <v>44745</v>
      </c>
      <c r="GD1" s="84">
        <v>44746</v>
      </c>
      <c r="GE1" s="84">
        <v>44747</v>
      </c>
      <c r="GF1" s="84">
        <v>44748</v>
      </c>
      <c r="GG1" s="84">
        <v>44749</v>
      </c>
      <c r="GH1" s="84">
        <v>44750</v>
      </c>
      <c r="GI1" s="84">
        <v>44751</v>
      </c>
      <c r="GJ1" s="84">
        <v>44752</v>
      </c>
      <c r="GK1" s="84">
        <v>44753</v>
      </c>
      <c r="GL1" s="84">
        <v>44754</v>
      </c>
      <c r="GM1" s="84">
        <v>44755</v>
      </c>
      <c r="GN1" s="84">
        <v>44756</v>
      </c>
      <c r="GO1" s="84">
        <v>44757</v>
      </c>
      <c r="GP1" s="84">
        <v>44758</v>
      </c>
      <c r="GQ1" s="84">
        <v>44759</v>
      </c>
      <c r="GR1" s="84">
        <v>44760</v>
      </c>
      <c r="GS1" s="84">
        <v>44761</v>
      </c>
      <c r="GT1" s="84">
        <v>44762</v>
      </c>
      <c r="GU1" s="84">
        <v>44763</v>
      </c>
      <c r="GV1" s="84">
        <v>44764</v>
      </c>
      <c r="GW1" s="84">
        <v>44765</v>
      </c>
      <c r="GX1" s="84">
        <v>44766</v>
      </c>
      <c r="GY1" s="84">
        <v>44767</v>
      </c>
      <c r="GZ1" s="84">
        <v>44768</v>
      </c>
      <c r="HA1" s="84">
        <v>44769</v>
      </c>
      <c r="HB1" s="84">
        <v>44770</v>
      </c>
      <c r="HC1" s="84">
        <v>44771</v>
      </c>
      <c r="HD1" s="84">
        <v>44772</v>
      </c>
      <c r="HE1" s="84">
        <v>44773</v>
      </c>
      <c r="HF1" s="84">
        <v>44774</v>
      </c>
      <c r="HG1" s="84">
        <v>44775</v>
      </c>
      <c r="HH1" s="84">
        <v>44776</v>
      </c>
      <c r="HI1" s="84">
        <v>44777</v>
      </c>
      <c r="HJ1" s="84">
        <v>44778</v>
      </c>
      <c r="HK1" s="84">
        <v>44779</v>
      </c>
      <c r="HL1" s="84">
        <v>44780</v>
      </c>
      <c r="HM1" s="84">
        <v>44781</v>
      </c>
      <c r="HN1" s="84">
        <v>44782</v>
      </c>
      <c r="HO1" s="84">
        <v>44783</v>
      </c>
      <c r="HP1" s="84">
        <v>44784</v>
      </c>
      <c r="HQ1" s="84">
        <v>44785</v>
      </c>
      <c r="HR1" s="84">
        <v>44786</v>
      </c>
      <c r="HS1" s="84">
        <v>44787</v>
      </c>
      <c r="HT1" s="84">
        <v>44788</v>
      </c>
      <c r="HU1" s="84">
        <v>44789</v>
      </c>
      <c r="HV1" s="84">
        <v>44790</v>
      </c>
      <c r="HW1" s="84">
        <v>44791</v>
      </c>
      <c r="HX1" s="84">
        <v>44792</v>
      </c>
      <c r="HY1" s="84">
        <v>44793</v>
      </c>
      <c r="HZ1" s="84">
        <v>44794</v>
      </c>
      <c r="IA1" s="84">
        <v>44795</v>
      </c>
      <c r="IB1" s="84">
        <v>44796</v>
      </c>
      <c r="IC1" s="84">
        <v>44797</v>
      </c>
      <c r="ID1" s="84">
        <v>44798</v>
      </c>
      <c r="IE1" s="84">
        <v>44799</v>
      </c>
      <c r="IF1" s="84">
        <v>44800</v>
      </c>
      <c r="IG1" s="84">
        <v>44801</v>
      </c>
      <c r="IH1" s="84">
        <v>44802</v>
      </c>
      <c r="II1" s="84">
        <v>44803</v>
      </c>
      <c r="IJ1" s="84">
        <v>44804</v>
      </c>
      <c r="IK1" s="84">
        <v>44805</v>
      </c>
      <c r="IL1" s="84">
        <v>44806</v>
      </c>
      <c r="IM1" s="84">
        <v>44807</v>
      </c>
      <c r="IN1" s="84">
        <v>44808</v>
      </c>
      <c r="IO1" s="84">
        <v>44809</v>
      </c>
      <c r="IP1" s="84">
        <v>44810</v>
      </c>
      <c r="IQ1" s="84">
        <v>44811</v>
      </c>
      <c r="IR1" s="84">
        <v>44812</v>
      </c>
      <c r="IS1" s="84">
        <v>44813</v>
      </c>
      <c r="IT1" s="84">
        <v>44814</v>
      </c>
      <c r="IU1" s="84">
        <v>44815</v>
      </c>
      <c r="IV1" s="84">
        <v>44816</v>
      </c>
      <c r="IW1" s="84">
        <v>44817</v>
      </c>
      <c r="IX1" s="84">
        <v>44818</v>
      </c>
      <c r="IY1" s="84">
        <v>44819</v>
      </c>
      <c r="IZ1" s="84">
        <v>44820</v>
      </c>
      <c r="JA1" s="84">
        <v>44821</v>
      </c>
      <c r="JB1" s="84">
        <v>44822</v>
      </c>
      <c r="JC1" s="84">
        <v>44823</v>
      </c>
      <c r="JD1" s="84">
        <v>44824</v>
      </c>
      <c r="JE1" s="84">
        <v>44825</v>
      </c>
      <c r="JF1" s="84">
        <v>44826</v>
      </c>
      <c r="JG1" s="84">
        <v>44827</v>
      </c>
      <c r="JH1" s="84">
        <v>44828</v>
      </c>
      <c r="JI1" s="84">
        <v>44829</v>
      </c>
      <c r="JJ1" s="84">
        <v>44830</v>
      </c>
      <c r="JK1" s="84">
        <v>44831</v>
      </c>
      <c r="JL1" s="84">
        <v>44832</v>
      </c>
      <c r="JM1" s="84">
        <v>44833</v>
      </c>
      <c r="JN1" s="84">
        <v>44834</v>
      </c>
      <c r="JO1" s="84">
        <v>44835</v>
      </c>
      <c r="JP1" s="84">
        <v>44836</v>
      </c>
      <c r="JQ1" s="84">
        <v>44837</v>
      </c>
      <c r="JR1" s="84">
        <v>44838</v>
      </c>
      <c r="JS1" s="84">
        <v>44839</v>
      </c>
      <c r="JT1" s="84">
        <v>44840</v>
      </c>
      <c r="JU1" s="84">
        <v>44841</v>
      </c>
      <c r="JV1" s="84">
        <v>44842</v>
      </c>
      <c r="JW1" s="84">
        <v>44843</v>
      </c>
      <c r="JX1" s="84">
        <v>44844</v>
      </c>
      <c r="JY1" s="84">
        <v>44845</v>
      </c>
      <c r="JZ1" s="84">
        <v>44846</v>
      </c>
      <c r="KA1" s="84">
        <v>44847</v>
      </c>
      <c r="KB1" s="84">
        <v>44848</v>
      </c>
      <c r="KC1" s="84">
        <v>44849</v>
      </c>
      <c r="KD1" s="84">
        <v>44850</v>
      </c>
      <c r="KE1" s="84">
        <v>44851</v>
      </c>
      <c r="KF1" s="84">
        <v>44852</v>
      </c>
      <c r="KG1" s="84">
        <v>44853</v>
      </c>
      <c r="KH1" s="84">
        <v>44854</v>
      </c>
      <c r="KI1" s="84">
        <v>44855</v>
      </c>
      <c r="KJ1" s="84">
        <v>44856</v>
      </c>
      <c r="KK1" s="84">
        <v>44857</v>
      </c>
      <c r="KL1" s="84">
        <v>44858</v>
      </c>
      <c r="KM1" s="84">
        <v>44859</v>
      </c>
      <c r="KN1" s="84">
        <v>44860</v>
      </c>
      <c r="KO1" s="84">
        <v>44861</v>
      </c>
      <c r="KP1" s="84">
        <v>44862</v>
      </c>
      <c r="KQ1" s="84">
        <v>44863</v>
      </c>
      <c r="KR1" s="84">
        <v>44864</v>
      </c>
      <c r="KS1" s="84">
        <v>44865</v>
      </c>
      <c r="KT1" s="84">
        <v>44866</v>
      </c>
      <c r="KU1" s="84">
        <v>44867</v>
      </c>
      <c r="KV1" s="84">
        <v>44868</v>
      </c>
      <c r="KW1" s="84">
        <v>44869</v>
      </c>
      <c r="KX1" s="84">
        <v>44870</v>
      </c>
      <c r="KY1" s="84">
        <v>44871</v>
      </c>
      <c r="KZ1" s="84">
        <v>44872</v>
      </c>
      <c r="LA1" s="84">
        <v>44873</v>
      </c>
      <c r="LB1" s="84">
        <v>44874</v>
      </c>
      <c r="LC1" s="84">
        <v>44875</v>
      </c>
      <c r="LD1" s="84">
        <v>44876</v>
      </c>
      <c r="LE1" s="84">
        <v>44877</v>
      </c>
      <c r="LF1" s="84">
        <v>44878</v>
      </c>
      <c r="LG1" s="84">
        <v>44879</v>
      </c>
      <c r="LH1" s="84">
        <v>44880</v>
      </c>
      <c r="LI1" s="84">
        <v>44881</v>
      </c>
      <c r="LJ1" s="84">
        <v>44882</v>
      </c>
      <c r="LK1" s="84">
        <v>44883</v>
      </c>
      <c r="LL1" s="84">
        <v>44884</v>
      </c>
      <c r="LM1" s="84">
        <v>44885</v>
      </c>
      <c r="LN1" s="84">
        <v>44886</v>
      </c>
      <c r="LO1" s="84">
        <v>44887</v>
      </c>
      <c r="LP1" s="84">
        <v>44888</v>
      </c>
      <c r="LQ1" s="84">
        <v>44889</v>
      </c>
      <c r="LR1" s="84">
        <v>44890</v>
      </c>
      <c r="LS1" s="84">
        <v>44891</v>
      </c>
      <c r="LT1" s="84">
        <v>44892</v>
      </c>
      <c r="LU1" s="84">
        <v>44893</v>
      </c>
      <c r="LV1" s="84">
        <v>44894</v>
      </c>
      <c r="LW1" s="84">
        <v>44895</v>
      </c>
      <c r="LX1" s="84">
        <v>44896</v>
      </c>
      <c r="LY1" s="84">
        <v>44897</v>
      </c>
      <c r="LZ1" s="84">
        <v>44898</v>
      </c>
      <c r="MA1" s="84">
        <v>44899</v>
      </c>
      <c r="MB1" s="84">
        <v>44900</v>
      </c>
      <c r="MC1" s="84">
        <v>44901</v>
      </c>
      <c r="MD1" s="84">
        <v>44902</v>
      </c>
      <c r="ME1" s="84">
        <v>44903</v>
      </c>
      <c r="MF1" s="84">
        <v>44904</v>
      </c>
      <c r="MG1" s="84">
        <v>44905</v>
      </c>
      <c r="MH1" s="84">
        <v>44906</v>
      </c>
      <c r="MI1" s="84">
        <v>44907</v>
      </c>
      <c r="MJ1" s="84">
        <v>44908</v>
      </c>
      <c r="MK1" s="84">
        <v>44909</v>
      </c>
      <c r="ML1" s="84">
        <v>44910</v>
      </c>
      <c r="MM1" s="84">
        <v>44911</v>
      </c>
      <c r="MN1" s="84">
        <v>44912</v>
      </c>
      <c r="MO1" s="84">
        <v>44913</v>
      </c>
      <c r="MP1" s="84">
        <v>44914</v>
      </c>
      <c r="MQ1" s="84">
        <v>44915</v>
      </c>
      <c r="MR1" s="84">
        <v>44916</v>
      </c>
      <c r="MS1" s="84">
        <v>44917</v>
      </c>
      <c r="MT1" s="84">
        <v>44918</v>
      </c>
      <c r="MU1" s="84">
        <v>44919</v>
      </c>
      <c r="MV1" s="84">
        <v>44920</v>
      </c>
      <c r="MW1" s="84">
        <v>44921</v>
      </c>
      <c r="MX1" s="84">
        <v>44922</v>
      </c>
      <c r="MY1" s="84">
        <v>44923</v>
      </c>
      <c r="MZ1" s="84">
        <v>44924</v>
      </c>
      <c r="NA1" s="84">
        <v>44925</v>
      </c>
      <c r="NB1" s="84">
        <v>44926</v>
      </c>
    </row>
    <row r="2" spans="1:366" x14ac:dyDescent="0.25">
      <c r="A2" s="69" t="s">
        <v>147</v>
      </c>
      <c r="B2" s="73"/>
      <c r="C2" s="73"/>
      <c r="D2" s="73">
        <v>78.98</v>
      </c>
      <c r="E2" s="73">
        <v>80</v>
      </c>
      <c r="F2" s="73">
        <v>80.8</v>
      </c>
      <c r="G2" s="73">
        <v>81.99</v>
      </c>
      <c r="H2" s="73">
        <v>81.75</v>
      </c>
      <c r="I2" s="73"/>
      <c r="J2" s="73"/>
      <c r="K2" s="73">
        <v>80.87</v>
      </c>
      <c r="L2" s="73">
        <v>83.72</v>
      </c>
      <c r="M2" s="73">
        <v>84.67</v>
      </c>
      <c r="N2" s="73">
        <v>84.47</v>
      </c>
      <c r="O2" s="73">
        <v>86.06</v>
      </c>
      <c r="P2" s="73"/>
      <c r="Q2" s="73"/>
      <c r="R2" s="73">
        <v>86.06</v>
      </c>
      <c r="S2" s="73">
        <v>87.51</v>
      </c>
      <c r="T2" s="73">
        <v>88.47</v>
      </c>
      <c r="U2" s="73">
        <v>88.38</v>
      </c>
      <c r="V2" s="73">
        <v>87.89</v>
      </c>
      <c r="W2" s="73"/>
      <c r="X2" s="73"/>
      <c r="Y2" s="73">
        <v>86.27</v>
      </c>
      <c r="Z2" s="73">
        <v>88.2</v>
      </c>
      <c r="AA2" s="73">
        <v>89.96</v>
      </c>
      <c r="AB2" s="73">
        <v>89.34</v>
      </c>
      <c r="AC2" s="73">
        <v>90.03</v>
      </c>
      <c r="AD2" s="73"/>
      <c r="AE2" s="73"/>
      <c r="AF2" s="73">
        <v>90.03</v>
      </c>
      <c r="AG2" s="73">
        <v>90.03</v>
      </c>
      <c r="AH2" s="73">
        <v>89.47</v>
      </c>
      <c r="AI2" s="73">
        <v>91.11</v>
      </c>
      <c r="AJ2" s="73">
        <v>93.27</v>
      </c>
      <c r="AK2" s="73"/>
      <c r="AL2" s="73"/>
      <c r="AM2" s="73">
        <v>92.69</v>
      </c>
      <c r="AN2" s="73">
        <v>90.78</v>
      </c>
      <c r="AO2" s="73">
        <v>91.55</v>
      </c>
      <c r="AP2" s="73">
        <v>91.41</v>
      </c>
      <c r="AQ2" s="73">
        <v>94.44</v>
      </c>
      <c r="AR2" s="73"/>
      <c r="AS2" s="73"/>
      <c r="AT2" s="73">
        <v>96.48</v>
      </c>
      <c r="AU2" s="73">
        <v>93.28</v>
      </c>
      <c r="AV2" s="73">
        <v>94.81</v>
      </c>
      <c r="AW2" s="73">
        <v>92.97</v>
      </c>
      <c r="AX2" s="73">
        <v>93.54</v>
      </c>
      <c r="AY2" s="73"/>
      <c r="AZ2" s="73"/>
      <c r="BA2" s="73">
        <v>93.54</v>
      </c>
      <c r="BB2" s="73">
        <v>96.84</v>
      </c>
      <c r="BC2" s="73">
        <v>96.84</v>
      </c>
      <c r="BD2" s="73">
        <v>99.08</v>
      </c>
      <c r="BE2" s="73">
        <v>97.93</v>
      </c>
      <c r="BF2" s="73"/>
      <c r="BG2" s="73"/>
      <c r="BH2" s="73">
        <v>97.3</v>
      </c>
      <c r="BI2" s="73">
        <v>97.3</v>
      </c>
      <c r="BJ2" s="73">
        <v>112.93</v>
      </c>
      <c r="BK2" s="73">
        <v>110.46</v>
      </c>
      <c r="BL2" s="73">
        <v>118.11</v>
      </c>
      <c r="BM2" s="73"/>
      <c r="BN2" s="73"/>
      <c r="BO2" s="73">
        <v>123.21</v>
      </c>
      <c r="BP2" s="73">
        <v>127.98</v>
      </c>
      <c r="BQ2" s="73">
        <v>111.14</v>
      </c>
      <c r="BR2" s="73">
        <v>109.33</v>
      </c>
      <c r="BS2" s="73">
        <v>112.67</v>
      </c>
      <c r="BT2" s="73"/>
      <c r="BU2" s="73"/>
      <c r="BV2" s="73">
        <v>106.9</v>
      </c>
      <c r="BW2" s="73">
        <v>99.91</v>
      </c>
      <c r="BX2" s="73">
        <v>98.02</v>
      </c>
      <c r="BY2" s="73">
        <v>106.64</v>
      </c>
      <c r="BZ2" s="73">
        <v>107.93</v>
      </c>
      <c r="CA2" s="73"/>
      <c r="CB2" s="73"/>
      <c r="CC2" s="73">
        <v>115.62</v>
      </c>
      <c r="CD2" s="73">
        <v>115.48</v>
      </c>
      <c r="CE2" s="73">
        <v>121.6</v>
      </c>
      <c r="CF2" s="73">
        <v>119.03</v>
      </c>
      <c r="CG2" s="73">
        <v>120.65</v>
      </c>
      <c r="CH2" s="73"/>
      <c r="CI2" s="73"/>
      <c r="CJ2" s="73">
        <v>112.48</v>
      </c>
      <c r="CK2" s="73">
        <v>110.23</v>
      </c>
      <c r="CL2" s="73">
        <v>113.45</v>
      </c>
      <c r="CM2" s="73">
        <v>113.45</v>
      </c>
      <c r="CN2" s="73">
        <v>113.45</v>
      </c>
      <c r="CO2" s="73"/>
      <c r="CP2" s="73"/>
      <c r="CQ2" s="73">
        <v>107.53</v>
      </c>
      <c r="CR2" s="73">
        <v>106.64</v>
      </c>
      <c r="CS2" s="73">
        <v>101.07</v>
      </c>
      <c r="CT2" s="73">
        <v>100.58</v>
      </c>
      <c r="CU2" s="73">
        <v>102.78</v>
      </c>
      <c r="CV2" s="73"/>
      <c r="CW2" s="73"/>
      <c r="CX2" s="73">
        <v>98.48</v>
      </c>
      <c r="CY2" s="73">
        <v>104.64</v>
      </c>
      <c r="CZ2" s="73">
        <v>108.78</v>
      </c>
      <c r="DA2" s="73">
        <v>111.7</v>
      </c>
      <c r="DB2" s="73">
        <v>111.7</v>
      </c>
      <c r="DC2" s="73"/>
      <c r="DD2" s="73"/>
      <c r="DE2" s="73">
        <v>113.16</v>
      </c>
      <c r="DF2" s="73">
        <v>107.25</v>
      </c>
      <c r="DG2" s="73">
        <v>108.33</v>
      </c>
      <c r="DH2" s="73">
        <v>108.33</v>
      </c>
      <c r="DI2" s="73">
        <v>106.65</v>
      </c>
      <c r="DJ2" s="73"/>
      <c r="DK2" s="73"/>
      <c r="DL2" s="73">
        <v>102.32</v>
      </c>
      <c r="DM2" s="73">
        <v>104.99</v>
      </c>
      <c r="DN2" s="73">
        <v>105.32</v>
      </c>
      <c r="DO2" s="73">
        <v>107.59</v>
      </c>
      <c r="DP2" s="73">
        <v>107.59</v>
      </c>
      <c r="DQ2" s="73"/>
      <c r="DR2" s="73"/>
      <c r="DS2" s="73">
        <v>107.59</v>
      </c>
      <c r="DT2" s="73">
        <v>107.59</v>
      </c>
      <c r="DU2" s="73">
        <v>110.14</v>
      </c>
      <c r="DV2" s="73">
        <v>110.9</v>
      </c>
      <c r="DW2" s="73">
        <v>112.39</v>
      </c>
      <c r="DX2" s="73"/>
      <c r="DY2" s="73"/>
      <c r="DZ2" s="73">
        <v>105.94</v>
      </c>
      <c r="EA2" s="73">
        <v>102.46</v>
      </c>
      <c r="EB2" s="73">
        <v>107.51</v>
      </c>
      <c r="EC2" s="73">
        <v>107.45</v>
      </c>
      <c r="ED2" s="73">
        <v>111.55</v>
      </c>
      <c r="EE2" s="73"/>
      <c r="EF2" s="73"/>
      <c r="EG2" s="73">
        <v>114.24</v>
      </c>
      <c r="EH2" s="73">
        <v>111.93</v>
      </c>
      <c r="EI2" s="73">
        <v>109.11</v>
      </c>
      <c r="EJ2" s="73">
        <v>112.04</v>
      </c>
      <c r="EK2" s="73">
        <v>112.55</v>
      </c>
      <c r="EL2" s="73"/>
      <c r="EM2" s="73"/>
      <c r="EN2" s="73">
        <v>113.42</v>
      </c>
      <c r="EO2" s="73">
        <v>113.56</v>
      </c>
      <c r="EP2" s="73">
        <v>114.03</v>
      </c>
      <c r="EQ2" s="73">
        <v>117.4</v>
      </c>
      <c r="ER2" s="73">
        <v>119.43</v>
      </c>
      <c r="ES2" s="73"/>
      <c r="ET2" s="73"/>
      <c r="EU2" s="73">
        <v>119.43</v>
      </c>
      <c r="EV2" s="73">
        <v>119.43</v>
      </c>
      <c r="EW2" s="73">
        <v>119.43</v>
      </c>
      <c r="EX2" s="73">
        <v>117.61</v>
      </c>
      <c r="EY2" s="73">
        <v>119.72</v>
      </c>
      <c r="EZ2" s="73"/>
      <c r="FA2" s="73"/>
      <c r="FB2" s="73">
        <v>119.51</v>
      </c>
      <c r="FC2" s="73">
        <v>120.57</v>
      </c>
      <c r="FD2" s="73">
        <v>123.58</v>
      </c>
      <c r="FE2" s="73">
        <v>123.07</v>
      </c>
      <c r="FF2" s="73">
        <v>122.01</v>
      </c>
      <c r="FG2" s="73"/>
      <c r="FH2" s="73"/>
      <c r="FI2" s="73">
        <v>122.27</v>
      </c>
      <c r="FJ2" s="73">
        <v>121.17</v>
      </c>
      <c r="FK2" s="73">
        <v>118.51</v>
      </c>
      <c r="FL2" s="73">
        <v>119.81</v>
      </c>
      <c r="FM2" s="73">
        <v>113.12</v>
      </c>
      <c r="FN2" s="73"/>
      <c r="FO2" s="73"/>
      <c r="FP2" s="73">
        <v>113.12</v>
      </c>
      <c r="FQ2" s="73">
        <v>114.65</v>
      </c>
      <c r="FR2" s="73">
        <v>111.74</v>
      </c>
      <c r="FS2" s="73">
        <v>110.05</v>
      </c>
      <c r="FT2" s="73">
        <v>113.12</v>
      </c>
      <c r="FU2" s="73"/>
      <c r="FV2" s="73"/>
      <c r="FW2" s="73">
        <v>115.09</v>
      </c>
      <c r="FX2" s="73">
        <v>117.98</v>
      </c>
      <c r="FY2" s="73">
        <v>116.26</v>
      </c>
      <c r="FZ2" s="73">
        <v>116.26</v>
      </c>
      <c r="GA2" s="73">
        <v>116.26</v>
      </c>
      <c r="GB2" s="73"/>
      <c r="GC2" s="73"/>
      <c r="GD2" s="73">
        <v>116.26</v>
      </c>
      <c r="GE2" s="73">
        <v>102.77</v>
      </c>
      <c r="GF2" s="73">
        <v>100.69</v>
      </c>
      <c r="GG2" s="73">
        <v>104.65</v>
      </c>
      <c r="GH2" s="73">
        <v>107.02</v>
      </c>
      <c r="GI2" s="73"/>
      <c r="GJ2" s="73"/>
      <c r="GK2" s="73">
        <v>107.1</v>
      </c>
      <c r="GL2" s="73">
        <v>99.49</v>
      </c>
      <c r="GM2" s="73">
        <v>99.57</v>
      </c>
      <c r="GN2" s="73">
        <v>99.1</v>
      </c>
      <c r="GO2" s="73">
        <v>99.1</v>
      </c>
      <c r="GP2" s="73"/>
      <c r="GQ2" s="73"/>
      <c r="GR2" s="73">
        <v>106.27</v>
      </c>
      <c r="GS2" s="73">
        <v>107.35</v>
      </c>
      <c r="GT2" s="73">
        <v>106.92</v>
      </c>
      <c r="GU2" s="73">
        <v>103.86</v>
      </c>
      <c r="GV2" s="73">
        <v>103.2</v>
      </c>
      <c r="GW2" s="73"/>
      <c r="GX2" s="73"/>
      <c r="GY2" s="73">
        <v>105.15</v>
      </c>
      <c r="GZ2" s="73">
        <v>104.4</v>
      </c>
      <c r="HA2" s="73">
        <v>106.62</v>
      </c>
      <c r="HB2" s="73">
        <v>101.83</v>
      </c>
      <c r="HC2" s="73">
        <v>103.97</v>
      </c>
      <c r="HD2" s="73"/>
      <c r="HE2" s="73"/>
      <c r="HF2" s="73">
        <v>100.03</v>
      </c>
      <c r="HG2" s="73">
        <v>100.54</v>
      </c>
      <c r="HH2" s="73">
        <v>96.78</v>
      </c>
      <c r="HI2" s="73">
        <v>94.12</v>
      </c>
      <c r="HJ2" s="73">
        <v>94.92</v>
      </c>
      <c r="HK2" s="73"/>
      <c r="HL2" s="73"/>
      <c r="HM2" s="73">
        <v>96.65</v>
      </c>
      <c r="HN2" s="73">
        <v>96.31</v>
      </c>
      <c r="HO2" s="73">
        <v>97.4</v>
      </c>
      <c r="HP2" s="73">
        <v>99.6</v>
      </c>
      <c r="HQ2" s="73">
        <v>98.15</v>
      </c>
      <c r="HR2" s="73"/>
      <c r="HS2" s="73"/>
      <c r="HT2" s="73">
        <v>95.1</v>
      </c>
      <c r="HU2" s="73">
        <v>92.34</v>
      </c>
      <c r="HV2" s="73">
        <v>93.65</v>
      </c>
      <c r="HW2" s="73">
        <v>96.59</v>
      </c>
      <c r="HX2" s="73">
        <v>96.72</v>
      </c>
      <c r="HY2" s="73"/>
      <c r="HZ2" s="73"/>
      <c r="IA2" s="73">
        <v>96.48</v>
      </c>
      <c r="IB2" s="73">
        <v>100.22</v>
      </c>
      <c r="IC2" s="73">
        <v>101.22</v>
      </c>
      <c r="ID2" s="73">
        <v>99.34</v>
      </c>
      <c r="IE2" s="73">
        <v>100.99</v>
      </c>
      <c r="IF2" s="73"/>
      <c r="IG2" s="73"/>
      <c r="IH2" s="73">
        <v>105.09</v>
      </c>
      <c r="II2" s="73">
        <v>97.84</v>
      </c>
      <c r="IJ2" s="73">
        <v>96.49</v>
      </c>
      <c r="IK2" s="73">
        <v>92.36</v>
      </c>
      <c r="IL2" s="73">
        <v>93.02</v>
      </c>
      <c r="IM2" s="73"/>
      <c r="IN2" s="73"/>
      <c r="IO2" s="73">
        <v>93.02</v>
      </c>
      <c r="IP2" s="73">
        <v>88</v>
      </c>
      <c r="IQ2" s="73">
        <v>88</v>
      </c>
      <c r="IR2" s="73">
        <v>89.15</v>
      </c>
      <c r="IS2" s="73">
        <v>92.84</v>
      </c>
      <c r="IT2" s="73"/>
      <c r="IU2" s="73"/>
      <c r="IV2" s="73">
        <v>94</v>
      </c>
      <c r="IW2" s="73">
        <v>93.17</v>
      </c>
      <c r="IX2" s="73">
        <v>94.1</v>
      </c>
      <c r="IY2" s="73">
        <v>90.84</v>
      </c>
      <c r="IZ2" s="73">
        <v>91.35</v>
      </c>
      <c r="JA2" s="73"/>
      <c r="JB2" s="73"/>
      <c r="JC2" s="79">
        <v>90.62</v>
      </c>
      <c r="JD2" s="73">
        <v>90.62</v>
      </c>
      <c r="JE2" s="73">
        <v>89.83</v>
      </c>
      <c r="JF2" s="73">
        <v>90.46</v>
      </c>
      <c r="JG2" s="73">
        <v>86.15</v>
      </c>
      <c r="JH2" s="73"/>
      <c r="JI2" s="73"/>
      <c r="JJ2" s="73">
        <v>84.06</v>
      </c>
      <c r="JK2" s="73">
        <v>86.27</v>
      </c>
      <c r="JL2" s="73">
        <v>89.32</v>
      </c>
      <c r="JM2" s="79">
        <v>85.14</v>
      </c>
      <c r="JN2" s="73">
        <v>85.14</v>
      </c>
      <c r="JO2" s="73"/>
      <c r="JP2" s="73"/>
      <c r="JQ2" s="73">
        <v>88.86</v>
      </c>
      <c r="JR2" s="73">
        <v>91.8</v>
      </c>
      <c r="JS2" s="73">
        <v>93.37</v>
      </c>
      <c r="JT2" s="73">
        <v>94.42</v>
      </c>
      <c r="JU2" s="73">
        <v>97.92</v>
      </c>
      <c r="JV2" s="73"/>
      <c r="JW2" s="73"/>
      <c r="JX2" s="73">
        <v>96.19</v>
      </c>
      <c r="JY2" s="73">
        <v>92.45</v>
      </c>
      <c r="JZ2" s="73">
        <v>92.45</v>
      </c>
      <c r="KA2" s="73">
        <v>94.57</v>
      </c>
      <c r="KB2" s="73">
        <v>91.63</v>
      </c>
      <c r="KC2" s="73"/>
      <c r="KD2" s="73"/>
      <c r="KE2" s="73">
        <v>91.62</v>
      </c>
      <c r="KF2" s="73">
        <v>90.03</v>
      </c>
      <c r="KG2" s="73">
        <v>92.41</v>
      </c>
      <c r="KH2" s="73">
        <v>92.41</v>
      </c>
      <c r="KI2" s="73">
        <v>93.5</v>
      </c>
      <c r="KJ2" s="73"/>
      <c r="KK2" s="73"/>
      <c r="KL2" s="73">
        <v>93.26</v>
      </c>
      <c r="KM2" s="73">
        <v>93.52</v>
      </c>
      <c r="KN2" s="73">
        <v>95.69</v>
      </c>
      <c r="KO2" s="73">
        <v>96.96</v>
      </c>
      <c r="KP2" s="73">
        <v>93.77</v>
      </c>
      <c r="KQ2" s="73"/>
      <c r="KR2" s="73"/>
      <c r="KS2" s="73">
        <v>92.81</v>
      </c>
      <c r="KT2" s="73">
        <v>96.16</v>
      </c>
      <c r="KU2" s="73">
        <v>96.16</v>
      </c>
      <c r="KV2" s="73">
        <v>94.67</v>
      </c>
      <c r="KW2" s="73">
        <v>98.65</v>
      </c>
      <c r="KX2" s="73"/>
      <c r="KY2" s="73"/>
      <c r="KZ2" s="73">
        <v>97.92</v>
      </c>
      <c r="LA2" s="73">
        <v>95.36</v>
      </c>
      <c r="LB2" s="73">
        <v>92.65</v>
      </c>
      <c r="LC2" s="73">
        <v>93.67</v>
      </c>
      <c r="LD2" s="73">
        <v>95.99</v>
      </c>
      <c r="LE2" s="73"/>
      <c r="LF2" s="73"/>
      <c r="LG2" s="73">
        <v>93.14</v>
      </c>
      <c r="LH2" s="73">
        <v>93.86</v>
      </c>
      <c r="LI2" s="73">
        <v>92.86</v>
      </c>
      <c r="LJ2" s="73">
        <v>89.78</v>
      </c>
      <c r="LK2" s="73">
        <v>87.62</v>
      </c>
      <c r="LL2" s="73"/>
      <c r="LM2" s="73"/>
      <c r="LN2" s="73">
        <v>87.45</v>
      </c>
      <c r="LO2" s="73">
        <v>88.36</v>
      </c>
      <c r="LP2" s="73">
        <v>85.41</v>
      </c>
      <c r="LQ2" s="73">
        <v>85.34</v>
      </c>
      <c r="LR2" s="73">
        <v>83.63</v>
      </c>
      <c r="LS2" s="73"/>
      <c r="LT2" s="73"/>
      <c r="LU2" s="73">
        <v>83.19</v>
      </c>
      <c r="LV2" s="73">
        <v>83.03</v>
      </c>
      <c r="LW2" s="73">
        <v>85.43</v>
      </c>
      <c r="LX2" s="73">
        <v>86.88</v>
      </c>
      <c r="LY2" s="73">
        <v>85.57</v>
      </c>
      <c r="LZ2" s="73"/>
      <c r="MA2" s="73"/>
      <c r="MB2" s="73">
        <v>82.68</v>
      </c>
      <c r="MC2" s="73">
        <v>79.349999999999994</v>
      </c>
      <c r="MD2" s="73">
        <v>77.17</v>
      </c>
      <c r="ME2" s="73">
        <v>76.150000000000006</v>
      </c>
      <c r="MF2" s="73">
        <v>76.099999999999994</v>
      </c>
      <c r="MG2" s="73"/>
      <c r="MH2" s="73"/>
      <c r="MI2" s="73">
        <v>77.989999999999995</v>
      </c>
      <c r="MJ2" s="73">
        <v>80.680000000000007</v>
      </c>
      <c r="MK2" s="73">
        <v>82.7</v>
      </c>
      <c r="ML2" s="73">
        <v>81.209999999999994</v>
      </c>
      <c r="MM2" s="73">
        <v>79.040000000000006</v>
      </c>
      <c r="MN2" s="73"/>
      <c r="MO2" s="73"/>
      <c r="MP2" s="73">
        <v>79.8</v>
      </c>
      <c r="MQ2" s="73">
        <v>79.989999999999995</v>
      </c>
      <c r="MR2" s="73">
        <v>82.2</v>
      </c>
      <c r="MS2" s="73">
        <v>80.98</v>
      </c>
      <c r="MT2" s="73">
        <v>83.92</v>
      </c>
      <c r="MU2" s="73"/>
      <c r="MV2" s="73"/>
      <c r="MW2" s="73">
        <v>83.92</v>
      </c>
      <c r="MX2" s="73">
        <v>84.33</v>
      </c>
      <c r="MY2" s="73">
        <v>83.99</v>
      </c>
      <c r="MZ2" s="73">
        <v>82.26</v>
      </c>
      <c r="NA2" s="73">
        <v>85.91</v>
      </c>
      <c r="NB2" s="73"/>
    </row>
    <row r="3" spans="1:366" x14ac:dyDescent="0.25">
      <c r="A3" s="5" t="s">
        <v>161</v>
      </c>
      <c r="B3" s="75"/>
      <c r="C3" s="75"/>
      <c r="D3" s="75">
        <f>D2*7.33</f>
        <v>578.92340000000002</v>
      </c>
      <c r="E3" s="75">
        <f>E2*7.33</f>
        <v>586.4</v>
      </c>
      <c r="F3" s="75">
        <f>F2*7.33</f>
        <v>592.26400000000001</v>
      </c>
      <c r="G3" s="75">
        <f>G2*7.33</f>
        <v>600.98669999999993</v>
      </c>
      <c r="H3" s="75">
        <f>H2*7.33</f>
        <v>599.22749999999996</v>
      </c>
      <c r="I3" s="75"/>
      <c r="J3" s="75"/>
      <c r="K3" s="75">
        <f>K2*7.33</f>
        <v>592.77710000000002</v>
      </c>
      <c r="L3" s="75">
        <f>L2*7.33</f>
        <v>613.66759999999999</v>
      </c>
      <c r="M3" s="75">
        <f>M2*7.33</f>
        <v>620.63110000000006</v>
      </c>
      <c r="N3" s="75">
        <f>N2*7.33</f>
        <v>619.16510000000005</v>
      </c>
      <c r="O3" s="75">
        <f>O2*7.33</f>
        <v>630.81979999999999</v>
      </c>
      <c r="P3" s="75"/>
      <c r="Q3" s="75"/>
      <c r="R3" s="75">
        <f>R2*7.33</f>
        <v>630.81979999999999</v>
      </c>
      <c r="S3" s="75">
        <f>S2*7.33</f>
        <v>641.44830000000002</v>
      </c>
      <c r="T3" s="75">
        <f>T2*7.33</f>
        <v>648.48509999999999</v>
      </c>
      <c r="U3" s="75">
        <f>U2*7.33</f>
        <v>647.82539999999995</v>
      </c>
      <c r="V3" s="75">
        <f>V2*7.33</f>
        <v>644.2337</v>
      </c>
      <c r="W3" s="75"/>
      <c r="X3" s="75"/>
      <c r="Y3" s="75">
        <f>Y2*7.33</f>
        <v>632.35910000000001</v>
      </c>
      <c r="Z3" s="75">
        <f>Z2*7.33</f>
        <v>646.50599999999997</v>
      </c>
      <c r="AA3" s="75">
        <f>AA2*7.33</f>
        <v>659.40679999999998</v>
      </c>
      <c r="AB3" s="75">
        <f>AB2*7.33</f>
        <v>654.86220000000003</v>
      </c>
      <c r="AC3" s="75">
        <f>AC2*7.33</f>
        <v>659.91989999999998</v>
      </c>
      <c r="AD3" s="75"/>
      <c r="AE3" s="75"/>
      <c r="AF3" s="75">
        <f>AF2*7.33</f>
        <v>659.91989999999998</v>
      </c>
      <c r="AG3" s="75">
        <f>AG2*7.33</f>
        <v>659.91989999999998</v>
      </c>
      <c r="AH3" s="75">
        <f>AH2*7.33</f>
        <v>655.81510000000003</v>
      </c>
      <c r="AI3" s="75">
        <f>AI2*7.33</f>
        <v>667.83630000000005</v>
      </c>
      <c r="AJ3" s="75">
        <f>AJ2*7.33</f>
        <v>683.66909999999996</v>
      </c>
      <c r="AK3" s="75"/>
      <c r="AL3" s="75"/>
      <c r="AM3" s="75">
        <f>AM2*7.33</f>
        <v>679.41769999999997</v>
      </c>
      <c r="AN3" s="75">
        <f>AN2*7.33</f>
        <v>665.41740000000004</v>
      </c>
      <c r="AO3" s="75">
        <f>AO2*7.33</f>
        <v>671.06150000000002</v>
      </c>
      <c r="AP3" s="75">
        <f>AP2*7.33</f>
        <v>670.03530000000001</v>
      </c>
      <c r="AQ3" s="75">
        <f>AQ2*7.33</f>
        <v>692.24519999999995</v>
      </c>
      <c r="AR3" s="75"/>
      <c r="AS3" s="75"/>
      <c r="AT3" s="75">
        <f>AT2*7.33</f>
        <v>707.19839999999999</v>
      </c>
      <c r="AU3" s="75">
        <f>AU2*7.33</f>
        <v>683.74239999999998</v>
      </c>
      <c r="AV3" s="75">
        <f>AV2*7.33</f>
        <v>694.95730000000003</v>
      </c>
      <c r="AW3" s="75">
        <f>AW2*7.33</f>
        <v>681.4701</v>
      </c>
      <c r="AX3" s="75">
        <f>AX2*7.33</f>
        <v>685.64820000000009</v>
      </c>
      <c r="AY3" s="75"/>
      <c r="AZ3" s="75"/>
      <c r="BA3" s="75">
        <f>BA2*7.33</f>
        <v>685.64820000000009</v>
      </c>
      <c r="BB3" s="75">
        <f>BB2*7.33</f>
        <v>709.83720000000005</v>
      </c>
      <c r="BC3" s="75">
        <f>BC2*7.33</f>
        <v>709.83720000000005</v>
      </c>
      <c r="BD3" s="75">
        <f>BD2*7.33</f>
        <v>726.25639999999999</v>
      </c>
      <c r="BE3" s="75">
        <f>BE2*7.33</f>
        <v>717.82690000000002</v>
      </c>
      <c r="BF3" s="75"/>
      <c r="BG3" s="75"/>
      <c r="BH3" s="75">
        <f>BH2*7.33</f>
        <v>713.20899999999995</v>
      </c>
      <c r="BI3" s="75">
        <f>BI2*7.33</f>
        <v>713.20899999999995</v>
      </c>
      <c r="BJ3" s="75">
        <f>BJ2*7.33</f>
        <v>827.77690000000007</v>
      </c>
      <c r="BK3" s="75">
        <f>BK2*7.33</f>
        <v>809.67179999999996</v>
      </c>
      <c r="BL3" s="75">
        <f>BL2*7.33</f>
        <v>865.74630000000002</v>
      </c>
      <c r="BM3" s="75"/>
      <c r="BN3" s="75"/>
      <c r="BO3" s="75">
        <f>BO2*7.33</f>
        <v>903.12929999999994</v>
      </c>
      <c r="BP3" s="75">
        <f>BP2*7.33</f>
        <v>938.09340000000009</v>
      </c>
      <c r="BQ3" s="75">
        <f>BQ2*7.33</f>
        <v>814.65620000000001</v>
      </c>
      <c r="BR3" s="75">
        <f>BR2*7.33</f>
        <v>801.38890000000004</v>
      </c>
      <c r="BS3" s="75">
        <f>BS2*7.33</f>
        <v>825.87110000000007</v>
      </c>
      <c r="BT3" s="75"/>
      <c r="BU3" s="75"/>
      <c r="BV3" s="75">
        <f>BV2*7.33</f>
        <v>783.577</v>
      </c>
      <c r="BW3" s="75">
        <f>BW2*7.33</f>
        <v>732.34029999999996</v>
      </c>
      <c r="BX3" s="75">
        <f>BX2*7.33</f>
        <v>718.48659999999995</v>
      </c>
      <c r="BY3" s="75">
        <f>BY2*7.33</f>
        <v>781.6712</v>
      </c>
      <c r="BZ3" s="75">
        <f>BZ2*7.33</f>
        <v>791.12690000000009</v>
      </c>
      <c r="CA3" s="75"/>
      <c r="CB3" s="75"/>
      <c r="CC3" s="75">
        <f>CC2*7.33</f>
        <v>847.49459999999999</v>
      </c>
      <c r="CD3" s="75">
        <f>CD2*7.33</f>
        <v>846.46840000000009</v>
      </c>
      <c r="CE3" s="75">
        <f>CE2*7.33</f>
        <v>891.32799999999997</v>
      </c>
      <c r="CF3" s="75">
        <f>CF2*7.33</f>
        <v>872.48990000000003</v>
      </c>
      <c r="CG3" s="75">
        <f>CG2*7.33</f>
        <v>884.36450000000002</v>
      </c>
      <c r="CH3" s="75"/>
      <c r="CI3" s="75"/>
      <c r="CJ3" s="75">
        <f>CJ2*7.33</f>
        <v>824.47840000000008</v>
      </c>
      <c r="CK3" s="75">
        <f>CK2*7.33</f>
        <v>807.98590000000002</v>
      </c>
      <c r="CL3" s="75">
        <f>CL2*7.33</f>
        <v>831.58850000000007</v>
      </c>
      <c r="CM3" s="75">
        <f>CM2*7.33</f>
        <v>831.58850000000007</v>
      </c>
      <c r="CN3" s="75">
        <f>CN2*7.33</f>
        <v>831.58850000000007</v>
      </c>
      <c r="CO3" s="75"/>
      <c r="CP3" s="75"/>
      <c r="CQ3" s="75">
        <f>CQ2*7.33</f>
        <v>788.19489999999996</v>
      </c>
      <c r="CR3" s="75">
        <f>CR2*7.33</f>
        <v>781.6712</v>
      </c>
      <c r="CS3" s="75">
        <f>CS2*7.33</f>
        <v>740.84309999999994</v>
      </c>
      <c r="CT3" s="75">
        <f>CT2*7.33</f>
        <v>737.25139999999999</v>
      </c>
      <c r="CU3" s="75">
        <f>CU2*7.33</f>
        <v>753.37739999999997</v>
      </c>
      <c r="CV3" s="75"/>
      <c r="CW3" s="75"/>
      <c r="CX3" s="75">
        <f>CX2*7.33</f>
        <v>721.85840000000007</v>
      </c>
      <c r="CY3" s="75">
        <f>CY2*7.33</f>
        <v>767.01120000000003</v>
      </c>
      <c r="CZ3" s="75">
        <f>CZ2*7.33</f>
        <v>797.35739999999998</v>
      </c>
      <c r="DA3" s="75">
        <f>DA2*7.33</f>
        <v>818.76100000000008</v>
      </c>
      <c r="DB3" s="75">
        <f>DB2*7.33</f>
        <v>818.76100000000008</v>
      </c>
      <c r="DC3" s="75"/>
      <c r="DD3" s="75"/>
      <c r="DE3" s="75">
        <f>DE2*7.33</f>
        <v>829.46280000000002</v>
      </c>
      <c r="DF3" s="75">
        <f>DF2*7.33</f>
        <v>786.14250000000004</v>
      </c>
      <c r="DG3" s="75">
        <v>794.05889999999999</v>
      </c>
      <c r="DH3" s="75">
        <v>794.05889999999999</v>
      </c>
      <c r="DI3" s="75">
        <f>DI2*7.33</f>
        <v>781.74450000000002</v>
      </c>
      <c r="DJ3" s="75"/>
      <c r="DK3" s="75"/>
      <c r="DL3" s="75">
        <f>DL2*7.33</f>
        <v>750.00559999999996</v>
      </c>
      <c r="DM3" s="75">
        <f>DM2*7.33</f>
        <v>769.57669999999996</v>
      </c>
      <c r="DN3" s="75">
        <f>DN2*7.33</f>
        <v>771.99559999999997</v>
      </c>
      <c r="DO3" s="75">
        <f>DO2*7.33</f>
        <v>788.63470000000007</v>
      </c>
      <c r="DP3" s="75">
        <f>DP2*7.33</f>
        <v>788.63470000000007</v>
      </c>
      <c r="DQ3" s="75"/>
      <c r="DR3" s="75"/>
      <c r="DS3" s="75">
        <f>DS2*7.33</f>
        <v>788.63470000000007</v>
      </c>
      <c r="DT3" s="75">
        <f>DT2*7.33</f>
        <v>788.63470000000007</v>
      </c>
      <c r="DU3" s="75">
        <f>DU2*7.33</f>
        <v>807.32619999999997</v>
      </c>
      <c r="DV3" s="75">
        <f>DV2*7.33</f>
        <v>812.89700000000005</v>
      </c>
      <c r="DW3" s="75">
        <f>DW2*7.33</f>
        <v>823.81870000000004</v>
      </c>
      <c r="DX3" s="75"/>
      <c r="DY3" s="75"/>
      <c r="DZ3" s="75">
        <f>DZ2*7.33</f>
        <v>776.54020000000003</v>
      </c>
      <c r="EA3" s="75">
        <f>EA2*7.33</f>
        <v>751.03179999999998</v>
      </c>
      <c r="EB3" s="75">
        <f>EB2*7.33</f>
        <v>788.04830000000004</v>
      </c>
      <c r="EC3" s="75">
        <f>EC2*7.33</f>
        <v>787.60850000000005</v>
      </c>
      <c r="ED3" s="75">
        <f>ED2*7.33</f>
        <v>817.66149999999993</v>
      </c>
      <c r="EE3" s="75"/>
      <c r="EF3" s="75"/>
      <c r="EG3" s="75">
        <f>EG2*7.33</f>
        <v>837.37919999999997</v>
      </c>
      <c r="EH3" s="75">
        <f>EH2*7.33</f>
        <v>820.44690000000003</v>
      </c>
      <c r="EI3" s="75">
        <f>EI2*7.33</f>
        <v>799.77629999999999</v>
      </c>
      <c r="EJ3" s="75">
        <f>EJ2*7.33</f>
        <v>821.25320000000011</v>
      </c>
      <c r="EK3" s="75">
        <f>EK2*7.33</f>
        <v>824.99149999999997</v>
      </c>
      <c r="EL3" s="75"/>
      <c r="EM3" s="75"/>
      <c r="EN3" s="75">
        <f>EN2*7.33</f>
        <v>831.36860000000001</v>
      </c>
      <c r="EO3" s="75">
        <f>EO2*7.33</f>
        <v>832.39480000000003</v>
      </c>
      <c r="EP3" s="75">
        <f>EP2*7.33</f>
        <v>835.83990000000006</v>
      </c>
      <c r="EQ3" s="75">
        <f>EQ2*7.33</f>
        <v>860.54200000000003</v>
      </c>
      <c r="ER3" s="75">
        <f>ER2*7.33</f>
        <v>875.42190000000005</v>
      </c>
      <c r="ES3" s="75"/>
      <c r="ET3" s="75"/>
      <c r="EU3" s="75">
        <f>EU2*7.33</f>
        <v>875.42190000000005</v>
      </c>
      <c r="EV3" s="75">
        <f>EV2*7.33</f>
        <v>875.42190000000005</v>
      </c>
      <c r="EW3" s="75">
        <f>EW2*7.33</f>
        <v>875.42190000000005</v>
      </c>
      <c r="EX3" s="75">
        <f>EX2*7.33</f>
        <v>862.08130000000006</v>
      </c>
      <c r="EY3" s="75">
        <f>EY2*7.33</f>
        <v>877.54759999999999</v>
      </c>
      <c r="EZ3" s="75"/>
      <c r="FA3" s="75"/>
      <c r="FB3" s="75">
        <f>FB2*7.33</f>
        <v>876.00830000000008</v>
      </c>
      <c r="FC3" s="75">
        <f>FC2*7.33</f>
        <v>883.77809999999999</v>
      </c>
      <c r="FD3" s="75">
        <f>FD2*7.33</f>
        <v>905.84140000000002</v>
      </c>
      <c r="FE3" s="75">
        <f>FE2*7.33</f>
        <v>902.10309999999993</v>
      </c>
      <c r="FF3" s="75">
        <f>FF2*7.33</f>
        <v>894.33330000000001</v>
      </c>
      <c r="FG3" s="75"/>
      <c r="FH3" s="75"/>
      <c r="FI3" s="75">
        <f>FI2*7.33</f>
        <v>896.23910000000001</v>
      </c>
      <c r="FJ3" s="75">
        <f>FJ2*7.33</f>
        <v>888.17610000000002</v>
      </c>
      <c r="FK3" s="75">
        <f>FK2*7.33</f>
        <v>868.67830000000004</v>
      </c>
      <c r="FL3" s="75">
        <f>FL2*7.33</f>
        <v>878.20730000000003</v>
      </c>
      <c r="FM3" s="75">
        <f>FM2*7.33</f>
        <v>829.16960000000006</v>
      </c>
      <c r="FN3" s="75"/>
      <c r="FO3" s="75"/>
      <c r="FP3" s="75">
        <f>FP2*7.33</f>
        <v>829.16960000000006</v>
      </c>
      <c r="FQ3" s="75">
        <f>FQ2*7.33</f>
        <v>840.3845</v>
      </c>
      <c r="FR3" s="75">
        <f>FR2*7.33</f>
        <v>819.05419999999992</v>
      </c>
      <c r="FS3" s="75">
        <f>FS2*7.33</f>
        <v>806.66650000000004</v>
      </c>
      <c r="FT3" s="75">
        <f>FT2*7.33</f>
        <v>829.16960000000006</v>
      </c>
      <c r="FU3" s="75"/>
      <c r="FV3" s="75"/>
      <c r="FW3" s="75">
        <f>FW2*7.33</f>
        <v>843.60970000000009</v>
      </c>
      <c r="FX3" s="75">
        <f>FX2*7.33</f>
        <v>864.79340000000002</v>
      </c>
      <c r="FY3" s="75">
        <f>FY2*7.33</f>
        <v>852.18580000000009</v>
      </c>
      <c r="FZ3" s="75">
        <f>FZ2*7.33</f>
        <v>852.18580000000009</v>
      </c>
      <c r="GA3" s="75">
        <f>GA2*7.33</f>
        <v>852.18580000000009</v>
      </c>
      <c r="GB3" s="75"/>
      <c r="GC3" s="75"/>
      <c r="GD3" s="75">
        <f>GD2*7.33</f>
        <v>852.18580000000009</v>
      </c>
      <c r="GE3" s="75">
        <f>GE2*7.33</f>
        <v>753.30409999999995</v>
      </c>
      <c r="GF3" s="75">
        <f>GF2*7.33</f>
        <v>738.05769999999995</v>
      </c>
      <c r="GG3" s="75">
        <f>GG2*7.33</f>
        <v>767.08450000000005</v>
      </c>
      <c r="GH3" s="75">
        <f>GH2*7.33</f>
        <v>784.45659999999998</v>
      </c>
      <c r="GI3" s="75"/>
      <c r="GJ3" s="75"/>
      <c r="GK3" s="75">
        <f>GK2*7.33</f>
        <v>785.04300000000001</v>
      </c>
      <c r="GL3" s="75">
        <f>GL2*7.33</f>
        <v>729.26170000000002</v>
      </c>
      <c r="GM3" s="75">
        <f>GM2*7.33</f>
        <v>729.84809999999993</v>
      </c>
      <c r="GN3" s="75">
        <f>GN2*7.33</f>
        <v>726.40300000000002</v>
      </c>
      <c r="GO3" s="75">
        <f>GO2*7.33</f>
        <v>726.40300000000002</v>
      </c>
      <c r="GP3" s="75"/>
      <c r="GQ3" s="75"/>
      <c r="GR3" s="75">
        <f>GR2*7.33</f>
        <v>778.95910000000003</v>
      </c>
      <c r="GS3" s="75">
        <f>GS2*7.33</f>
        <v>786.87549999999999</v>
      </c>
      <c r="GT3" s="75">
        <f>GT2*7.33</f>
        <v>783.72360000000003</v>
      </c>
      <c r="GU3" s="75">
        <f>GU2*7.33</f>
        <v>761.29380000000003</v>
      </c>
      <c r="GV3" s="75">
        <f>GV2*7.33</f>
        <v>756.45600000000002</v>
      </c>
      <c r="GW3" s="75"/>
      <c r="GX3" s="75"/>
      <c r="GY3" s="75">
        <f>GY2*7.33</f>
        <v>770.74950000000001</v>
      </c>
      <c r="GZ3" s="75">
        <f>GZ2*7.33</f>
        <v>765.25200000000007</v>
      </c>
      <c r="HA3" s="75">
        <f>HA2*7.33</f>
        <v>781.52460000000008</v>
      </c>
      <c r="HB3" s="75">
        <f>HB2*7.33</f>
        <v>746.41390000000001</v>
      </c>
      <c r="HC3" s="75">
        <f>HC2*7.33</f>
        <v>762.1001</v>
      </c>
      <c r="HD3" s="75"/>
      <c r="HE3" s="75"/>
      <c r="HF3" s="75">
        <f>HF2*7.33</f>
        <v>733.21990000000005</v>
      </c>
      <c r="HG3" s="75">
        <f>HG2*7.33</f>
        <v>736.95820000000003</v>
      </c>
      <c r="HH3" s="75">
        <f>HH2*7.33</f>
        <v>709.39740000000006</v>
      </c>
      <c r="HI3" s="75">
        <f>HI2*7.33</f>
        <v>689.89960000000008</v>
      </c>
      <c r="HJ3" s="75">
        <f>HJ2*7.33</f>
        <v>695.7636</v>
      </c>
      <c r="HK3" s="75"/>
      <c r="HL3" s="75"/>
      <c r="HM3" s="75">
        <f>HM2*7.33</f>
        <v>708.44450000000006</v>
      </c>
      <c r="HN3" s="75">
        <f>HN2*7.33</f>
        <v>705.95230000000004</v>
      </c>
      <c r="HO3" s="75">
        <f>HO2*7.33</f>
        <v>713.94200000000001</v>
      </c>
      <c r="HP3" s="75">
        <f>HP2*7.33</f>
        <v>730.06799999999998</v>
      </c>
      <c r="HQ3" s="75">
        <f>HQ2*7.33</f>
        <v>719.43950000000007</v>
      </c>
      <c r="HR3" s="75"/>
      <c r="HS3" s="75"/>
      <c r="HT3" s="75">
        <f>HT2*7.33</f>
        <v>697.08299999999997</v>
      </c>
      <c r="HU3" s="75">
        <f>HU2*7.33</f>
        <v>676.85220000000004</v>
      </c>
      <c r="HV3" s="75">
        <f>HV2*7.33</f>
        <v>686.45450000000005</v>
      </c>
      <c r="HW3" s="75">
        <f>HW2*7.33</f>
        <v>708.00470000000007</v>
      </c>
      <c r="HX3" s="75">
        <f>HX2*7.33</f>
        <v>708.95759999999996</v>
      </c>
      <c r="HY3" s="75"/>
      <c r="HZ3" s="75"/>
      <c r="IA3" s="75">
        <f>IA2*7.33</f>
        <v>707.19839999999999</v>
      </c>
      <c r="IB3" s="75">
        <f>IB2*7.33</f>
        <v>734.61260000000004</v>
      </c>
      <c r="IC3" s="75">
        <f>IC2*7.33</f>
        <v>741.94259999999997</v>
      </c>
      <c r="ID3" s="75">
        <f>ID2*7.33</f>
        <v>728.16219999999998</v>
      </c>
      <c r="IE3" s="75">
        <f>IE2*7.33</f>
        <v>740.25670000000002</v>
      </c>
      <c r="IF3" s="75"/>
      <c r="IG3" s="75"/>
      <c r="IH3" s="75">
        <f>IH2*7.33</f>
        <v>770.30970000000002</v>
      </c>
      <c r="II3" s="75">
        <f>II2*7.33</f>
        <v>717.16719999999998</v>
      </c>
      <c r="IJ3" s="75">
        <f>IJ2*7.33</f>
        <v>707.27170000000001</v>
      </c>
      <c r="IK3" s="75">
        <f>IK2*7.33</f>
        <v>676.99879999999996</v>
      </c>
      <c r="IL3" s="75">
        <f>IL2*7.33</f>
        <v>681.83659999999998</v>
      </c>
      <c r="IM3" s="75"/>
      <c r="IN3" s="75"/>
      <c r="IO3" s="75">
        <f>IO2*7.33</f>
        <v>681.83659999999998</v>
      </c>
      <c r="IP3" s="75">
        <f>IP2*7.33</f>
        <v>645.04</v>
      </c>
      <c r="IQ3" s="75">
        <v>645.04</v>
      </c>
      <c r="IR3" s="75">
        <f>IR2*7.33</f>
        <v>653.46950000000004</v>
      </c>
      <c r="IS3" s="75">
        <f>IS2*7.33</f>
        <v>680.5172</v>
      </c>
      <c r="IT3" s="75"/>
      <c r="IU3" s="75"/>
      <c r="IV3" s="75">
        <f>IV2*7.33</f>
        <v>689.02</v>
      </c>
      <c r="IW3" s="75">
        <f>IW2*7.33</f>
        <v>682.93610000000001</v>
      </c>
      <c r="IX3" s="75">
        <f>IX2*7.33</f>
        <v>689.75299999999993</v>
      </c>
      <c r="IY3" s="75">
        <f>IY2*7.33</f>
        <v>665.85720000000003</v>
      </c>
      <c r="IZ3" s="75">
        <f>IZ2*7.33</f>
        <v>669.59550000000002</v>
      </c>
      <c r="JA3" s="75"/>
      <c r="JB3" s="75"/>
      <c r="JC3" s="75">
        <f>JC2*7.33</f>
        <v>664.24459999999999</v>
      </c>
      <c r="JD3" s="75">
        <f>JD2*7.33</f>
        <v>664.24459999999999</v>
      </c>
      <c r="JE3" s="75">
        <f>JE2*7.33</f>
        <v>658.45389999999998</v>
      </c>
      <c r="JF3" s="75">
        <f>JF2*7.33</f>
        <v>663.07179999999994</v>
      </c>
      <c r="JG3" s="75">
        <f>JG2*7.33</f>
        <v>631.47950000000003</v>
      </c>
      <c r="JH3" s="75"/>
      <c r="JI3" s="75"/>
      <c r="JJ3" s="75">
        <f>JJ2*7.33</f>
        <v>616.15980000000002</v>
      </c>
      <c r="JK3" s="75">
        <f>JK2*7.33</f>
        <v>632.35910000000001</v>
      </c>
      <c r="JL3" s="75">
        <f>JL2*7.33</f>
        <v>654.71559999999999</v>
      </c>
      <c r="JM3" s="75">
        <f>JM2*7.33</f>
        <v>624.07619999999997</v>
      </c>
      <c r="JN3" s="75">
        <f>JN2*7.33</f>
        <v>624.07619999999997</v>
      </c>
      <c r="JO3" s="75"/>
      <c r="JP3" s="75"/>
      <c r="JQ3" s="75">
        <f>JQ2*7.33</f>
        <v>651.34379999999999</v>
      </c>
      <c r="JR3" s="75">
        <f>JR2*7.33</f>
        <v>672.89400000000001</v>
      </c>
      <c r="JS3" s="75">
        <f>JS2*7.33</f>
        <v>684.40210000000002</v>
      </c>
      <c r="JT3" s="75">
        <f>JT2*7.33</f>
        <v>692.09860000000003</v>
      </c>
      <c r="JU3" s="75">
        <f>JU2*7.33</f>
        <v>717.75360000000001</v>
      </c>
      <c r="JV3" s="75"/>
      <c r="JW3" s="75"/>
      <c r="JX3" s="75">
        <f>JX2*7.33</f>
        <v>705.07269999999994</v>
      </c>
      <c r="JY3" s="75">
        <f>JY2*7.33</f>
        <v>677.6585</v>
      </c>
      <c r="JZ3" s="75">
        <v>677.6585</v>
      </c>
      <c r="KA3" s="75">
        <f>KA2*7.33</f>
        <v>693.19809999999995</v>
      </c>
      <c r="KB3" s="75">
        <f>KB2*7.33</f>
        <v>671.64789999999994</v>
      </c>
      <c r="KC3" s="75"/>
      <c r="KD3" s="75"/>
      <c r="KE3" s="75">
        <f>KE2*7.33</f>
        <v>671.57460000000003</v>
      </c>
      <c r="KF3" s="75">
        <f>KF2*7.33</f>
        <v>659.91989999999998</v>
      </c>
      <c r="KG3" s="75">
        <f>KG2*7.33</f>
        <v>677.36529999999993</v>
      </c>
      <c r="KH3" s="75">
        <f>KH2*7.33</f>
        <v>677.36529999999993</v>
      </c>
      <c r="KI3" s="75">
        <f>KI2*7.33</f>
        <v>685.35500000000002</v>
      </c>
      <c r="KJ3" s="75"/>
      <c r="KK3" s="75"/>
      <c r="KL3" s="75">
        <f>KL2*7.33</f>
        <v>683.59580000000005</v>
      </c>
      <c r="KM3" s="75">
        <f>KM2*7.33</f>
        <v>685.50159999999994</v>
      </c>
      <c r="KN3" s="75">
        <f>KN2*7.33</f>
        <v>701.40769999999998</v>
      </c>
      <c r="KO3" s="75">
        <f>KO2*7.33</f>
        <v>710.71679999999992</v>
      </c>
      <c r="KP3" s="75">
        <f>KP2*7.33</f>
        <v>687.33409999999992</v>
      </c>
      <c r="KQ3" s="75"/>
      <c r="KR3" s="75"/>
      <c r="KS3" s="75">
        <f>KS2*7.33</f>
        <v>680.29730000000006</v>
      </c>
      <c r="KT3" s="75">
        <f>KT2*7.33</f>
        <v>704.8528</v>
      </c>
      <c r="KU3" s="75">
        <v>704.8528</v>
      </c>
      <c r="KV3" s="75">
        <f>KV2*7.33</f>
        <v>693.93110000000001</v>
      </c>
      <c r="KW3" s="75">
        <f>KW2*7.33</f>
        <v>723.10450000000003</v>
      </c>
      <c r="KX3" s="75"/>
      <c r="KY3" s="75"/>
      <c r="KZ3" s="75">
        <f>KZ2*7.33</f>
        <v>717.75360000000001</v>
      </c>
      <c r="LA3" s="75">
        <f>LA2*7.33</f>
        <v>698.98879999999997</v>
      </c>
      <c r="LB3" s="75">
        <f>LB2*7.33</f>
        <v>679.12450000000001</v>
      </c>
      <c r="LC3" s="75">
        <f>LC2*7.33</f>
        <v>686.60109999999997</v>
      </c>
      <c r="LD3" s="75">
        <f>LD2*7.33</f>
        <v>703.60669999999993</v>
      </c>
      <c r="LE3" s="75"/>
      <c r="LF3" s="75"/>
      <c r="LG3" s="75">
        <f>LG2*7.33</f>
        <v>682.71619999999996</v>
      </c>
      <c r="LH3" s="75">
        <f>LH2*7.33</f>
        <v>687.99379999999996</v>
      </c>
      <c r="LI3" s="75">
        <f>LI2*7.33</f>
        <v>680.66380000000004</v>
      </c>
      <c r="LJ3" s="75">
        <f>LJ2*7.33</f>
        <v>658.0874</v>
      </c>
      <c r="LK3" s="75">
        <f>LK2*7.33</f>
        <v>642.2546000000001</v>
      </c>
      <c r="LL3" s="75"/>
      <c r="LM3" s="75"/>
      <c r="LN3" s="75">
        <f>LN2*7.33</f>
        <v>641.00850000000003</v>
      </c>
      <c r="LO3" s="75">
        <f>LO2*7.33</f>
        <v>647.67880000000002</v>
      </c>
      <c r="LP3" s="75">
        <f>LP2*7.33</f>
        <v>626.05529999999999</v>
      </c>
      <c r="LQ3" s="75">
        <f>LQ2*7.33</f>
        <v>625.54219999999998</v>
      </c>
      <c r="LR3" s="75">
        <f>LR2*7.33</f>
        <v>613.00789999999995</v>
      </c>
      <c r="LS3" s="75"/>
      <c r="LT3" s="75"/>
      <c r="LU3" s="75">
        <f>LU2*7.33</f>
        <v>609.78269999999998</v>
      </c>
      <c r="LV3" s="75">
        <f>LV2*7.33</f>
        <v>608.60990000000004</v>
      </c>
      <c r="LW3" s="75">
        <f>LW2*7.33</f>
        <v>626.20190000000002</v>
      </c>
      <c r="LX3" s="75">
        <f>LX2*7.33</f>
        <v>636.83039999999994</v>
      </c>
      <c r="LY3" s="75">
        <f>LY2*7.33</f>
        <v>627.22809999999993</v>
      </c>
      <c r="LZ3" s="75"/>
      <c r="MA3" s="75"/>
      <c r="MB3" s="75">
        <f>MB2*7.33</f>
        <v>606.04440000000011</v>
      </c>
      <c r="MC3" s="75">
        <f>MC2*7.33</f>
        <v>581.63549999999998</v>
      </c>
      <c r="MD3" s="75">
        <f>MD2*7.33</f>
        <v>565.65610000000004</v>
      </c>
      <c r="ME3" s="75">
        <f>ME2*7.33</f>
        <v>558.17950000000008</v>
      </c>
      <c r="MF3" s="75">
        <f>MF2*7.33</f>
        <v>557.81299999999999</v>
      </c>
      <c r="MG3" s="75"/>
      <c r="MH3" s="75"/>
      <c r="MI3" s="75">
        <f>MI2*7.33</f>
        <v>571.66669999999999</v>
      </c>
      <c r="MJ3" s="75">
        <f>MJ2*7.33</f>
        <v>591.38440000000003</v>
      </c>
      <c r="MK3" s="75">
        <f>MK2*7.33</f>
        <v>606.19100000000003</v>
      </c>
      <c r="ML3" s="75">
        <f>ML2*7.33</f>
        <v>595.26929999999993</v>
      </c>
      <c r="MM3" s="75">
        <f>MM2*7.33</f>
        <v>579.36320000000001</v>
      </c>
      <c r="MN3" s="75"/>
      <c r="MO3" s="75"/>
      <c r="MP3" s="75">
        <f>MP2*7.33</f>
        <v>584.93399999999997</v>
      </c>
      <c r="MQ3" s="75">
        <f>MQ2*7.33</f>
        <v>586.32669999999996</v>
      </c>
      <c r="MR3" s="75">
        <f>MR2*7.33</f>
        <v>602.52600000000007</v>
      </c>
      <c r="MS3" s="75">
        <f>MS2*7.33</f>
        <v>593.58339999999998</v>
      </c>
      <c r="MT3" s="75">
        <f>MT2*7.33</f>
        <v>615.1336</v>
      </c>
      <c r="MU3" s="75"/>
      <c r="MV3" s="75"/>
      <c r="MW3" s="75">
        <f>MW2*7.33</f>
        <v>615.1336</v>
      </c>
      <c r="MX3" s="75">
        <f>MX2*7.33</f>
        <v>618.13890000000004</v>
      </c>
      <c r="MY3" s="75">
        <f>MY2*7.33</f>
        <v>615.64670000000001</v>
      </c>
      <c r="MZ3" s="75">
        <f>MZ2*7.33</f>
        <v>602.96580000000006</v>
      </c>
      <c r="NA3" s="75">
        <f>NA2*7.33</f>
        <v>629.72029999999995</v>
      </c>
      <c r="NB3" s="75"/>
    </row>
    <row r="4" spans="1:366" hidden="1" x14ac:dyDescent="0.25">
      <c r="A4" s="69" t="s">
        <v>174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3"/>
      <c r="DP4" s="73"/>
      <c r="DQ4" s="73"/>
      <c r="DR4" s="73"/>
      <c r="DS4" s="73"/>
      <c r="DT4" s="73"/>
      <c r="DU4" s="73"/>
      <c r="DV4" s="73"/>
      <c r="DW4" s="73"/>
      <c r="DX4" s="73"/>
      <c r="DY4" s="73"/>
      <c r="DZ4" s="73"/>
      <c r="EA4" s="73"/>
      <c r="EB4" s="73"/>
      <c r="EC4" s="73"/>
      <c r="ED4" s="73"/>
      <c r="EE4" s="73"/>
      <c r="EF4" s="73"/>
      <c r="EG4" s="73"/>
      <c r="EH4" s="73"/>
      <c r="EI4" s="73"/>
      <c r="EJ4" s="73"/>
      <c r="EK4" s="73"/>
      <c r="EL4" s="73"/>
      <c r="EM4" s="73"/>
      <c r="EN4" s="73"/>
      <c r="EO4" s="73"/>
      <c r="EP4" s="73"/>
      <c r="EQ4" s="73"/>
      <c r="ER4" s="73"/>
      <c r="ES4" s="73"/>
      <c r="ET4" s="73"/>
      <c r="EU4" s="73"/>
      <c r="EV4" s="73"/>
      <c r="EW4" s="73"/>
      <c r="EX4" s="73"/>
      <c r="EY4" s="73"/>
      <c r="EZ4" s="73"/>
      <c r="FA4" s="73"/>
      <c r="FB4" s="73"/>
      <c r="FC4" s="73"/>
      <c r="FD4" s="73"/>
      <c r="FE4" s="73"/>
      <c r="FF4" s="73"/>
      <c r="FG4" s="73"/>
      <c r="FH4" s="73"/>
      <c r="FI4" s="73"/>
      <c r="FJ4" s="73"/>
      <c r="FK4" s="73"/>
      <c r="FL4" s="73"/>
      <c r="FM4" s="73"/>
      <c r="FN4" s="73"/>
      <c r="FO4" s="73"/>
      <c r="FP4" s="73"/>
      <c r="FQ4" s="73"/>
      <c r="FR4" s="73"/>
      <c r="FS4" s="73"/>
      <c r="FT4" s="73"/>
      <c r="FU4" s="73"/>
      <c r="FV4" s="73"/>
      <c r="FW4" s="73"/>
      <c r="FX4" s="73"/>
      <c r="FY4" s="73"/>
      <c r="FZ4" s="73"/>
      <c r="GA4" s="73"/>
      <c r="GB4" s="73"/>
      <c r="GC4" s="73"/>
      <c r="GD4" s="73"/>
      <c r="GE4" s="73"/>
      <c r="GF4" s="73"/>
      <c r="GG4" s="73"/>
      <c r="GH4" s="73"/>
      <c r="GI4" s="73"/>
      <c r="GJ4" s="73"/>
      <c r="GK4" s="73"/>
      <c r="GL4" s="73"/>
      <c r="GM4" s="73"/>
      <c r="GN4" s="73"/>
      <c r="GO4" s="73"/>
      <c r="GP4" s="73"/>
      <c r="GQ4" s="73"/>
      <c r="GR4" s="73"/>
      <c r="GS4" s="73"/>
      <c r="GT4" s="73"/>
      <c r="GU4" s="73"/>
      <c r="GV4" s="73"/>
      <c r="GW4" s="73"/>
      <c r="GX4" s="73"/>
      <c r="GY4" s="73"/>
      <c r="GZ4" s="73"/>
      <c r="HA4" s="73"/>
      <c r="HB4" s="73"/>
      <c r="HC4" s="73"/>
      <c r="HD4" s="73"/>
      <c r="HE4" s="73"/>
      <c r="HF4" s="73"/>
      <c r="HG4" s="73"/>
      <c r="HH4" s="73"/>
      <c r="HI4" s="73"/>
      <c r="HJ4" s="73"/>
      <c r="HK4" s="73"/>
      <c r="HL4" s="73"/>
      <c r="HM4" s="73"/>
      <c r="HN4" s="73"/>
      <c r="HO4" s="73"/>
      <c r="HP4" s="73"/>
      <c r="HQ4" s="73"/>
      <c r="HR4" s="73"/>
      <c r="HS4" s="73"/>
      <c r="HT4" s="73"/>
      <c r="HU4" s="73"/>
      <c r="HV4" s="73"/>
      <c r="HW4" s="73"/>
      <c r="HX4" s="73"/>
      <c r="HY4" s="73"/>
      <c r="HZ4" s="73"/>
      <c r="IA4" s="73"/>
      <c r="IB4" s="73"/>
      <c r="IC4" s="73"/>
      <c r="ID4" s="73"/>
      <c r="IE4" s="73"/>
      <c r="IF4" s="73"/>
      <c r="IG4" s="73"/>
      <c r="IH4" s="73"/>
      <c r="II4" s="73"/>
      <c r="IJ4" s="73"/>
      <c r="IK4" s="73"/>
      <c r="IL4" s="73"/>
      <c r="IM4" s="73"/>
      <c r="IN4" s="73"/>
      <c r="IO4" s="73"/>
      <c r="IP4" s="73"/>
      <c r="IQ4" s="73"/>
      <c r="IR4" s="73"/>
      <c r="IS4" s="73"/>
      <c r="IT4" s="73"/>
      <c r="IU4" s="73"/>
      <c r="IV4" s="73"/>
      <c r="IW4" s="73"/>
      <c r="IX4" s="73"/>
      <c r="IY4" s="73"/>
      <c r="IZ4" s="73"/>
      <c r="JA4" s="73"/>
      <c r="JB4" s="73"/>
      <c r="JC4" s="73"/>
      <c r="JD4" s="73"/>
      <c r="JE4" s="73"/>
      <c r="JF4" s="73"/>
      <c r="JG4" s="73"/>
      <c r="JH4" s="73"/>
      <c r="JI4" s="73"/>
      <c r="JJ4" s="73"/>
      <c r="JK4" s="73"/>
      <c r="JL4" s="73"/>
      <c r="JM4" s="73"/>
      <c r="JN4" s="73"/>
      <c r="JO4" s="73"/>
      <c r="JP4" s="73"/>
      <c r="JQ4" s="73"/>
      <c r="JR4" s="73"/>
      <c r="JS4" s="73"/>
      <c r="JT4" s="73"/>
      <c r="JU4" s="73"/>
      <c r="JV4" s="73"/>
      <c r="JW4" s="73"/>
      <c r="JX4" s="73"/>
      <c r="JY4" s="73"/>
      <c r="JZ4" s="73"/>
      <c r="KA4" s="73"/>
      <c r="KB4" s="73"/>
      <c r="KC4" s="73"/>
      <c r="KD4" s="73"/>
      <c r="KE4" s="73"/>
      <c r="KF4" s="73"/>
      <c r="KG4" s="73"/>
      <c r="KH4" s="73"/>
      <c r="KI4" s="73"/>
      <c r="KJ4" s="73"/>
      <c r="KK4" s="73"/>
      <c r="KL4" s="73"/>
      <c r="KM4" s="73"/>
      <c r="KN4" s="73"/>
      <c r="KO4" s="73"/>
      <c r="KP4" s="73"/>
      <c r="KQ4" s="73"/>
      <c r="KR4" s="73"/>
      <c r="KS4" s="73"/>
      <c r="KT4" s="73"/>
      <c r="KU4" s="73"/>
      <c r="KV4" s="73"/>
      <c r="KW4" s="73"/>
      <c r="KX4" s="73"/>
      <c r="KY4" s="73"/>
      <c r="KZ4" s="73"/>
      <c r="LA4" s="73"/>
      <c r="LB4" s="73"/>
      <c r="LC4" s="73"/>
      <c r="LD4" s="73"/>
      <c r="LE4" s="73"/>
      <c r="LF4" s="73"/>
      <c r="LG4" s="73"/>
      <c r="LH4" s="73"/>
      <c r="LI4" s="73"/>
      <c r="LJ4" s="73"/>
      <c r="LK4" s="73"/>
      <c r="LL4" s="73"/>
      <c r="LM4" s="73"/>
      <c r="LN4" s="73"/>
      <c r="LO4" s="73"/>
      <c r="LP4" s="73"/>
      <c r="LQ4" s="73"/>
      <c r="LR4" s="73"/>
      <c r="LS4" s="73"/>
      <c r="LT4" s="73"/>
      <c r="LU4" s="73"/>
      <c r="LV4" s="73"/>
      <c r="LW4" s="73"/>
      <c r="LX4" s="73"/>
      <c r="LY4" s="73"/>
      <c r="LZ4" s="73"/>
      <c r="MA4" s="73"/>
      <c r="MB4" s="73"/>
      <c r="MC4" s="73"/>
      <c r="MD4" s="73"/>
      <c r="ME4" s="73"/>
      <c r="MF4" s="73"/>
      <c r="MG4" s="73"/>
      <c r="MH4" s="73"/>
      <c r="MI4" s="73"/>
      <c r="MJ4" s="73"/>
      <c r="MK4" s="73"/>
      <c r="ML4" s="73"/>
      <c r="MM4" s="73"/>
      <c r="MN4" s="73"/>
      <c r="MO4" s="73"/>
      <c r="MP4" s="73"/>
      <c r="MQ4" s="73"/>
      <c r="MR4" s="73"/>
      <c r="MS4" s="73"/>
      <c r="MT4" s="73"/>
      <c r="MU4" s="73"/>
      <c r="MV4" s="73"/>
      <c r="MW4" s="73"/>
      <c r="MX4" s="73"/>
      <c r="MY4" s="73"/>
      <c r="MZ4" s="73"/>
      <c r="NA4" s="73"/>
      <c r="NB4" s="73"/>
    </row>
    <row r="5" spans="1:366" hidden="1" x14ac:dyDescent="0.25">
      <c r="A5" t="s">
        <v>173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/>
      <c r="DP5" s="53"/>
      <c r="DQ5" s="53"/>
      <c r="DR5" s="53"/>
      <c r="DS5" s="53"/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3"/>
      <c r="EE5" s="53"/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3"/>
      <c r="EQ5" s="53"/>
      <c r="ER5" s="53"/>
      <c r="ES5" s="53"/>
      <c r="ET5" s="53"/>
      <c r="EU5" s="53"/>
      <c r="EV5" s="53"/>
      <c r="EW5" s="53"/>
      <c r="EX5" s="53"/>
      <c r="EY5" s="53"/>
      <c r="EZ5" s="53"/>
      <c r="FA5" s="53"/>
      <c r="FB5" s="53"/>
      <c r="FC5" s="53"/>
      <c r="FD5" s="53"/>
      <c r="FE5" s="53"/>
      <c r="FF5" s="53"/>
      <c r="FG5" s="53"/>
      <c r="FH5" s="53"/>
      <c r="FI5" s="53"/>
      <c r="FJ5" s="53"/>
      <c r="FK5" s="53"/>
      <c r="FL5" s="53"/>
      <c r="FM5" s="53"/>
      <c r="FN5" s="53"/>
      <c r="FO5" s="53"/>
      <c r="FP5" s="53"/>
      <c r="FQ5" s="53"/>
      <c r="FR5" s="53"/>
      <c r="FS5" s="53"/>
      <c r="FT5" s="53"/>
      <c r="FU5" s="53"/>
      <c r="FV5" s="53"/>
      <c r="FW5" s="53"/>
      <c r="FX5" s="53"/>
      <c r="FY5" s="53"/>
      <c r="FZ5" s="53"/>
      <c r="GA5" s="53"/>
      <c r="GB5" s="53"/>
      <c r="GC5" s="53"/>
      <c r="GD5" s="53"/>
      <c r="GE5" s="53"/>
      <c r="GF5" s="53"/>
      <c r="GG5" s="53"/>
      <c r="GH5" s="53"/>
      <c r="GI5" s="53"/>
      <c r="GJ5" s="53"/>
      <c r="GK5" s="53"/>
      <c r="GL5" s="53"/>
      <c r="GM5" s="53"/>
      <c r="GN5" s="53"/>
      <c r="GO5" s="53"/>
      <c r="GP5" s="53"/>
      <c r="GQ5" s="53"/>
      <c r="GR5" s="53"/>
      <c r="GS5" s="53"/>
      <c r="GT5" s="53"/>
      <c r="GU5" s="53"/>
      <c r="GV5" s="53"/>
      <c r="GW5" s="53"/>
      <c r="GX5" s="53"/>
      <c r="GY5" s="53"/>
      <c r="GZ5" s="53"/>
      <c r="HA5" s="53"/>
      <c r="HB5" s="53"/>
      <c r="HC5" s="53"/>
      <c r="HD5" s="53"/>
      <c r="HE5" s="53"/>
      <c r="HF5" s="53"/>
      <c r="HG5" s="53"/>
      <c r="HH5" s="53"/>
      <c r="HI5" s="53"/>
      <c r="HJ5" s="53"/>
      <c r="HK5" s="53"/>
      <c r="HL5" s="53"/>
      <c r="HM5" s="53"/>
      <c r="HN5" s="53"/>
      <c r="HO5" s="53"/>
      <c r="HP5" s="53"/>
      <c r="HQ5" s="53"/>
      <c r="HR5" s="53"/>
      <c r="HS5" s="53"/>
      <c r="HT5" s="53"/>
      <c r="HU5" s="53"/>
      <c r="HV5" s="53"/>
      <c r="HW5" s="53"/>
      <c r="HX5" s="53"/>
      <c r="HY5" s="53"/>
      <c r="HZ5" s="53"/>
      <c r="IA5" s="53"/>
      <c r="IB5" s="53"/>
      <c r="IC5" s="53"/>
      <c r="ID5" s="53"/>
      <c r="IE5" s="53"/>
      <c r="IF5" s="53"/>
      <c r="IG5" s="53"/>
      <c r="IH5" s="53"/>
      <c r="II5" s="53"/>
      <c r="IJ5" s="53"/>
      <c r="IK5" s="53"/>
      <c r="IL5" s="53"/>
      <c r="IM5" s="53"/>
      <c r="IN5" s="53"/>
      <c r="IO5" s="53"/>
      <c r="IP5" s="53"/>
      <c r="IQ5" s="53"/>
      <c r="IR5" s="53"/>
      <c r="IS5" s="53"/>
      <c r="IT5" s="53"/>
      <c r="IU5" s="53"/>
      <c r="IV5" s="53"/>
      <c r="IW5" s="53"/>
      <c r="IX5" s="53"/>
      <c r="IY5" s="53"/>
      <c r="IZ5" s="53"/>
      <c r="JA5" s="53"/>
      <c r="JB5" s="53"/>
      <c r="JC5" s="53"/>
      <c r="JD5" s="53"/>
      <c r="JE5" s="53"/>
      <c r="JF5" s="53"/>
      <c r="JG5" s="53"/>
      <c r="JH5" s="53"/>
      <c r="JI5" s="53"/>
      <c r="JJ5" s="53"/>
      <c r="JK5" s="53"/>
      <c r="JL5" s="53"/>
      <c r="JM5" s="53"/>
      <c r="JN5" s="53"/>
      <c r="JO5" s="53"/>
      <c r="JP5" s="53"/>
      <c r="JQ5" s="53"/>
      <c r="JR5" s="53"/>
      <c r="JS5" s="53"/>
      <c r="JT5" s="53"/>
      <c r="JU5" s="53"/>
      <c r="JV5" s="53"/>
      <c r="JW5" s="53"/>
      <c r="JX5" s="53"/>
      <c r="JY5" s="53"/>
      <c r="JZ5" s="53"/>
      <c r="KA5" s="53"/>
      <c r="KB5" s="53"/>
      <c r="KC5" s="53"/>
      <c r="KD5" s="53"/>
      <c r="KE5" s="53"/>
      <c r="KF5" s="53"/>
      <c r="KG5" s="53"/>
      <c r="KH5" s="53"/>
      <c r="KI5" s="53"/>
      <c r="KJ5" s="53"/>
      <c r="KK5" s="53"/>
      <c r="KL5" s="53"/>
      <c r="KM5" s="53"/>
      <c r="KN5" s="53"/>
      <c r="KO5" s="53"/>
      <c r="KP5" s="53"/>
      <c r="KQ5" s="53"/>
      <c r="KR5" s="53"/>
      <c r="KS5" s="53"/>
      <c r="KT5" s="53"/>
      <c r="KU5" s="53"/>
      <c r="KV5" s="53"/>
      <c r="KW5" s="53"/>
      <c r="KX5" s="53"/>
      <c r="KY5" s="53"/>
      <c r="KZ5" s="53"/>
      <c r="LA5" s="53"/>
      <c r="LB5" s="53"/>
      <c r="LC5" s="53"/>
      <c r="LD5" s="53"/>
      <c r="LE5" s="53"/>
      <c r="LF5" s="53"/>
      <c r="LG5" s="53"/>
      <c r="LH5" s="53"/>
      <c r="LI5" s="53"/>
      <c r="LJ5" s="53"/>
      <c r="LK5" s="53"/>
      <c r="LL5" s="53"/>
      <c r="LM5" s="53"/>
      <c r="LN5" s="53"/>
      <c r="LO5" s="53"/>
      <c r="LP5" s="53"/>
      <c r="LQ5" s="53"/>
      <c r="LR5" s="53"/>
      <c r="LS5" s="53"/>
      <c r="LT5" s="53"/>
      <c r="LU5" s="53"/>
      <c r="LV5" s="53"/>
      <c r="LW5" s="53"/>
      <c r="LX5" s="53"/>
      <c r="LY5" s="53"/>
      <c r="LZ5" s="53"/>
      <c r="MA5" s="53"/>
      <c r="MB5" s="53"/>
      <c r="MC5" s="53"/>
      <c r="MD5" s="53"/>
      <c r="ME5" s="53"/>
      <c r="MF5" s="53"/>
      <c r="MG5" s="53"/>
      <c r="MH5" s="53"/>
      <c r="MI5" s="53"/>
      <c r="MJ5" s="53"/>
      <c r="MK5" s="53"/>
      <c r="ML5" s="53"/>
      <c r="MM5" s="53"/>
      <c r="MN5" s="53"/>
      <c r="MO5" s="53"/>
      <c r="MP5" s="53"/>
      <c r="MQ5" s="53"/>
      <c r="MR5" s="53"/>
      <c r="MS5" s="53"/>
      <c r="MT5" s="53"/>
      <c r="MU5" s="53"/>
      <c r="MV5" s="53"/>
      <c r="MW5" s="53"/>
      <c r="MX5" s="53"/>
      <c r="MY5" s="53"/>
      <c r="MZ5" s="53"/>
      <c r="NA5" s="53"/>
      <c r="NB5" s="53"/>
    </row>
    <row r="6" spans="1:366" hidden="1" x14ac:dyDescent="0.25">
      <c r="A6" s="69" t="s">
        <v>172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</row>
    <row r="7" spans="1:366" x14ac:dyDescent="0.25">
      <c r="A7" s="62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76"/>
      <c r="DI7" s="76"/>
      <c r="DJ7" s="76"/>
      <c r="DK7" s="76"/>
      <c r="DL7" s="76"/>
      <c r="DM7" s="76"/>
      <c r="DN7" s="76"/>
      <c r="DO7" s="76"/>
      <c r="DP7" s="76"/>
      <c r="DQ7" s="76"/>
      <c r="DR7" s="76"/>
      <c r="DS7" s="76"/>
      <c r="DT7" s="76"/>
      <c r="DU7" s="76"/>
      <c r="DV7" s="76"/>
      <c r="DW7" s="76"/>
      <c r="DX7" s="76"/>
      <c r="DY7" s="76"/>
      <c r="DZ7" s="76"/>
      <c r="EA7" s="76"/>
      <c r="EB7" s="76"/>
      <c r="EC7" s="76"/>
      <c r="ED7" s="76"/>
      <c r="EE7" s="76"/>
      <c r="EF7" s="76"/>
      <c r="EG7" s="76"/>
      <c r="EH7" s="76"/>
      <c r="EI7" s="76"/>
      <c r="EJ7" s="76"/>
      <c r="EK7" s="76"/>
      <c r="EL7" s="76"/>
      <c r="EM7" s="76"/>
      <c r="EN7" s="76"/>
      <c r="EO7" s="76"/>
      <c r="EP7" s="76"/>
      <c r="EQ7" s="76"/>
      <c r="ER7" s="76"/>
      <c r="ES7" s="76"/>
      <c r="ET7" s="76"/>
      <c r="EU7" s="76"/>
      <c r="EV7" s="76"/>
      <c r="EW7" s="76"/>
      <c r="EX7" s="76"/>
      <c r="EY7" s="76"/>
      <c r="EZ7" s="76"/>
      <c r="FA7" s="76"/>
      <c r="FB7" s="76"/>
      <c r="FC7" s="76"/>
      <c r="FD7" s="76"/>
      <c r="FE7" s="76"/>
      <c r="FF7" s="76"/>
      <c r="FG7" s="76"/>
      <c r="FH7" s="76"/>
      <c r="FI7" s="76"/>
      <c r="FJ7" s="76"/>
      <c r="FK7" s="76"/>
      <c r="FL7" s="76"/>
      <c r="FM7" s="76"/>
      <c r="FN7" s="76"/>
      <c r="FO7" s="76"/>
      <c r="FP7" s="76"/>
      <c r="FQ7" s="76"/>
      <c r="FR7" s="76"/>
      <c r="FS7" s="76"/>
      <c r="FT7" s="76"/>
      <c r="FU7" s="76"/>
      <c r="FV7" s="76"/>
      <c r="FW7" s="76"/>
      <c r="FX7" s="76"/>
      <c r="FY7" s="76"/>
      <c r="FZ7" s="76"/>
      <c r="GA7" s="76"/>
      <c r="GB7" s="76"/>
      <c r="GC7" s="76"/>
      <c r="GD7" s="76"/>
      <c r="GE7" s="76"/>
      <c r="GF7" s="76"/>
      <c r="GG7" s="76"/>
      <c r="GH7" s="76"/>
      <c r="GI7" s="76"/>
      <c r="GJ7" s="76"/>
      <c r="GK7" s="76"/>
      <c r="GL7" s="76"/>
      <c r="GM7" s="76"/>
      <c r="GN7" s="76"/>
      <c r="GO7" s="76"/>
      <c r="GP7" s="76"/>
      <c r="GQ7" s="76"/>
      <c r="GR7" s="76"/>
      <c r="GS7" s="76"/>
      <c r="GT7" s="76"/>
      <c r="GU7" s="76"/>
      <c r="GV7" s="76"/>
      <c r="GW7" s="76"/>
      <c r="GX7" s="76"/>
      <c r="GY7" s="76"/>
      <c r="GZ7" s="76"/>
      <c r="HA7" s="76"/>
      <c r="HB7" s="76"/>
      <c r="HC7" s="76"/>
      <c r="HD7" s="76"/>
      <c r="HE7" s="76"/>
      <c r="HF7" s="76"/>
      <c r="HG7" s="76"/>
      <c r="HH7" s="76"/>
      <c r="HI7" s="76"/>
      <c r="HJ7" s="76"/>
      <c r="HK7" s="76"/>
      <c r="HL7" s="76"/>
      <c r="HM7" s="76"/>
      <c r="HN7" s="76"/>
      <c r="HO7" s="76"/>
      <c r="HP7" s="76"/>
      <c r="HQ7" s="76"/>
      <c r="HR7" s="76"/>
      <c r="HS7" s="76"/>
      <c r="HT7" s="76"/>
      <c r="HU7" s="76"/>
      <c r="HV7" s="76"/>
      <c r="HW7" s="76"/>
      <c r="HX7" s="76"/>
      <c r="HY7" s="76"/>
      <c r="HZ7" s="76"/>
      <c r="IA7" s="76"/>
      <c r="IB7" s="76"/>
      <c r="IC7" s="76"/>
      <c r="ID7" s="76"/>
      <c r="IE7" s="76"/>
      <c r="IF7" s="76"/>
      <c r="IG7" s="76"/>
      <c r="IH7" s="76"/>
      <c r="II7" s="76"/>
      <c r="IJ7" s="76"/>
      <c r="IK7" s="76"/>
      <c r="IL7" s="76"/>
      <c r="IM7" s="76"/>
      <c r="IN7" s="76"/>
      <c r="IO7" s="76"/>
      <c r="IP7" s="76"/>
      <c r="IQ7" s="76"/>
      <c r="IR7" s="76"/>
      <c r="IS7" s="76"/>
      <c r="IT7" s="76"/>
      <c r="IU7" s="76"/>
      <c r="IV7" s="76"/>
      <c r="IW7" s="76"/>
      <c r="IX7" s="76"/>
      <c r="IY7" s="76"/>
      <c r="IZ7" s="76"/>
      <c r="JA7" s="76"/>
      <c r="JB7" s="76"/>
      <c r="JC7" s="76"/>
      <c r="JD7" s="76"/>
      <c r="JE7" s="76"/>
      <c r="JF7" s="76"/>
      <c r="JG7" s="76"/>
      <c r="JH7" s="76"/>
      <c r="JI7" s="76"/>
      <c r="JJ7" s="76"/>
      <c r="JK7" s="76"/>
      <c r="JL7" s="76"/>
      <c r="JM7" s="76"/>
      <c r="JN7" s="76"/>
      <c r="JO7" s="76"/>
      <c r="JP7" s="76"/>
      <c r="JQ7" s="76"/>
      <c r="JR7" s="76"/>
      <c r="JS7" s="76"/>
      <c r="JT7" s="76"/>
      <c r="JU7" s="76"/>
      <c r="JV7" s="76"/>
      <c r="JW7" s="76"/>
      <c r="JX7" s="76"/>
      <c r="JY7" s="76"/>
      <c r="JZ7" s="76"/>
      <c r="KA7" s="76"/>
      <c r="KB7" s="76"/>
      <c r="KC7" s="76"/>
      <c r="KD7" s="76"/>
      <c r="KE7" s="76"/>
      <c r="KF7" s="76"/>
      <c r="KG7" s="76"/>
      <c r="KH7" s="76"/>
      <c r="KI7" s="76"/>
      <c r="KJ7" s="76"/>
      <c r="KK7" s="76"/>
      <c r="KL7" s="76"/>
      <c r="KM7" s="76"/>
      <c r="KN7" s="76"/>
      <c r="KO7" s="76"/>
      <c r="KP7" s="76"/>
      <c r="KQ7" s="76"/>
      <c r="KR7" s="76"/>
      <c r="KS7" s="76"/>
      <c r="KT7" s="76"/>
      <c r="KU7" s="76"/>
      <c r="KV7" s="76"/>
      <c r="KW7" s="76"/>
      <c r="KX7" s="76"/>
      <c r="KY7" s="76"/>
      <c r="KZ7" s="76"/>
      <c r="LA7" s="76"/>
      <c r="LB7" s="76"/>
      <c r="LC7" s="76"/>
      <c r="LD7" s="76"/>
      <c r="LE7" s="76"/>
      <c r="LF7" s="76"/>
      <c r="LG7" s="76"/>
      <c r="LH7" s="76"/>
      <c r="LI7" s="76"/>
      <c r="LJ7" s="76"/>
      <c r="LK7" s="76"/>
      <c r="LL7" s="76"/>
      <c r="LM7" s="76"/>
      <c r="LN7" s="76"/>
      <c r="LO7" s="76"/>
      <c r="LP7" s="76"/>
      <c r="LQ7" s="76"/>
      <c r="LR7" s="76"/>
      <c r="LS7" s="76"/>
      <c r="LT7" s="76"/>
      <c r="LU7" s="76"/>
      <c r="LV7" s="76"/>
      <c r="LW7" s="76"/>
      <c r="LX7" s="76"/>
      <c r="LY7" s="76"/>
      <c r="LZ7" s="76"/>
      <c r="MA7" s="76"/>
      <c r="MB7" s="76"/>
      <c r="MC7" s="76"/>
      <c r="MD7" s="76"/>
      <c r="ME7" s="76"/>
      <c r="MF7" s="76"/>
      <c r="MG7" s="76"/>
      <c r="MH7" s="76"/>
      <c r="MI7" s="76"/>
      <c r="MJ7" s="76"/>
      <c r="MK7" s="76"/>
      <c r="ML7" s="76"/>
      <c r="MM7" s="76"/>
      <c r="MN7" s="76"/>
      <c r="MO7" s="76"/>
      <c r="MP7" s="76"/>
      <c r="MQ7" s="76"/>
      <c r="MR7" s="76"/>
      <c r="MS7" s="76"/>
      <c r="MT7" s="76"/>
      <c r="MU7" s="76"/>
      <c r="MV7" s="76"/>
      <c r="MW7" s="76"/>
      <c r="MX7" s="76"/>
      <c r="MY7" s="76"/>
      <c r="MZ7" s="76"/>
      <c r="NA7" s="76"/>
      <c r="NB7" s="76"/>
    </row>
    <row r="8" spans="1:366" x14ac:dyDescent="0.25">
      <c r="A8" s="5" t="s">
        <v>77</v>
      </c>
      <c r="B8" s="75"/>
      <c r="C8" s="75"/>
      <c r="D8" s="51">
        <f>((1344*60)/27.2155)/100</f>
        <v>29.630173981738348</v>
      </c>
      <c r="E8" s="51">
        <f>((1378.75*60)/27.2155)/100</f>
        <v>30.396281530745352</v>
      </c>
      <c r="F8" s="51">
        <f>((1384.25*60)/27.2155)/100</f>
        <v>30.517535962962285</v>
      </c>
      <c r="G8" s="51">
        <f>((1377.25*60)/27.2155)/100</f>
        <v>30.363212140140732</v>
      </c>
      <c r="H8" s="51">
        <f>((1401.5*60)/27.2155)/100</f>
        <v>30.897833954915399</v>
      </c>
      <c r="I8" s="51"/>
      <c r="J8" s="51"/>
      <c r="K8" s="51">
        <f>((1374.75*60)/27.2155)/100</f>
        <v>30.308096489133032</v>
      </c>
      <c r="L8" s="51">
        <f>((1376.75*60)/27.2155)/100</f>
        <v>30.352189009939188</v>
      </c>
      <c r="M8" s="51">
        <f>((1391.25*60)/27.2155)/100</f>
        <v>30.671859785783838</v>
      </c>
      <c r="N8" s="51">
        <f>((1365.25*60)/27.2155)/100</f>
        <v>30.098657015303779</v>
      </c>
      <c r="O8" s="51">
        <f>((1356.75*60)/27.2155)/100</f>
        <v>29.91126380187761</v>
      </c>
      <c r="P8" s="51"/>
      <c r="Q8" s="51"/>
      <c r="R8" s="51">
        <f>((1369.75*60)/27.2155)/100</f>
        <v>30.197865187117635</v>
      </c>
      <c r="S8" s="51">
        <f>((1361.25*60)/27.2155)/100</f>
        <v>30.010471973691466</v>
      </c>
      <c r="T8" s="51">
        <f>((1391.25*60)/27.2155)/100</f>
        <v>30.671859785783838</v>
      </c>
      <c r="U8" s="51">
        <f>((1425.75*60)/27.2155)/100</f>
        <v>31.432455769690069</v>
      </c>
      <c r="V8" s="51">
        <f>((1414.25*60)/27.2155)/100</f>
        <v>31.17892377505466</v>
      </c>
      <c r="W8" s="51"/>
      <c r="X8" s="51"/>
      <c r="Y8" s="51">
        <f>((1403*60)/27.2155)/100</f>
        <v>30.930903345520019</v>
      </c>
      <c r="Z8" s="51">
        <f>((1407.25*60)/27.2155)/100</f>
        <v>31.024599952233103</v>
      </c>
      <c r="AA8" s="51">
        <f>((1440*60)/27.2155)/100</f>
        <v>31.746614980433947</v>
      </c>
      <c r="AB8" s="51">
        <f>((1448.25*60)/27.2155)/100</f>
        <v>31.928496628759348</v>
      </c>
      <c r="AC8" s="51">
        <f>((1470*60)/27.2155)/100</f>
        <v>32.408002792526318</v>
      </c>
      <c r="AD8" s="51"/>
      <c r="AE8" s="51"/>
      <c r="AF8" s="51">
        <f>((1490.5*60)/27.2155)/100</f>
        <v>32.85995113078944</v>
      </c>
      <c r="AG8" s="51">
        <f>((1528.5*60)/27.2155)/100</f>
        <v>33.697709026106452</v>
      </c>
      <c r="AH8" s="51">
        <f>((1545.25*60)/27.2155)/100</f>
        <v>34.066983887858022</v>
      </c>
      <c r="AI8" s="51">
        <f>((1544.25*60)/27.2155)/100</f>
        <v>34.044937627454949</v>
      </c>
      <c r="AJ8" s="51">
        <f>((1553.5*60)/27.2155)/100</f>
        <v>34.248865536183423</v>
      </c>
      <c r="AK8" s="51"/>
      <c r="AL8" s="51"/>
      <c r="AM8" s="51">
        <f>((1581.75*60)/27.2155)/100</f>
        <v>34.87167239257041</v>
      </c>
      <c r="AN8" s="51">
        <f>((1569*60)/27.2155)/100</f>
        <v>34.590582572431153</v>
      </c>
      <c r="AO8" s="51">
        <f>((1594.75*60)/27.2155)/100</f>
        <v>35.158273777810443</v>
      </c>
      <c r="AP8" s="51">
        <f>((1574.25*60)/27.2155)/100</f>
        <v>34.706325439547321</v>
      </c>
      <c r="AQ8" s="51">
        <f>((1583*60)/27.2155)/100</f>
        <v>34.899230218074266</v>
      </c>
      <c r="AR8" s="51"/>
      <c r="AS8" s="51"/>
      <c r="AT8" s="51">
        <f>((1570*60)/27.2155)/100</f>
        <v>34.612628832834233</v>
      </c>
      <c r="AU8" s="51">
        <f>((1551.25*60)/27.2155)/100</f>
        <v>34.199261450276502</v>
      </c>
      <c r="AV8" s="51">
        <f>((1587.5*60)/27.2155)/100</f>
        <v>34.998438389888115</v>
      </c>
      <c r="AW8" s="51">
        <f>((1592*60)/27.2155)/100</f>
        <v>35.097646561701971</v>
      </c>
      <c r="AX8" s="51">
        <f>((1601.5*60)/27.2155)/100</f>
        <v>35.307086035531228</v>
      </c>
      <c r="AY8" s="51"/>
      <c r="AZ8" s="51"/>
      <c r="BA8" s="51">
        <f>((1601.5*60)/27.2155)/100</f>
        <v>35.307086035531228</v>
      </c>
      <c r="BB8" s="51">
        <f>((1635*60)/27.2155)/100</f>
        <v>36.045635759034376</v>
      </c>
      <c r="BC8" s="51">
        <f>((1675*60)/27.2155)/100</f>
        <v>36.92748617515754</v>
      </c>
      <c r="BD8" s="51">
        <f>((1661.5*60)/27.2155)/100</f>
        <v>36.629861659715971</v>
      </c>
      <c r="BE8" s="51">
        <f>((1590.25*60)/27.2155)/100</f>
        <v>35.059065605996587</v>
      </c>
      <c r="BF8" s="51"/>
      <c r="BG8" s="51"/>
      <c r="BH8" s="51">
        <f>((1590.25*60)/27.2155)/100</f>
        <v>35.059065605996587</v>
      </c>
      <c r="BI8" s="51">
        <f>((1590.25*60)/27.2155)/100</f>
        <v>35.059065605996587</v>
      </c>
      <c r="BJ8" s="51">
        <f>((1677.5*60)/27.2155)/100</f>
        <v>36.982601826165237</v>
      </c>
      <c r="BK8" s="51">
        <f>((1680.25*60)/27.2155)/100</f>
        <v>37.043229042273708</v>
      </c>
      <c r="BL8" s="51">
        <f>((1676.25*60)/27.2155)/100</f>
        <v>36.955044000661388</v>
      </c>
      <c r="BM8" s="51"/>
      <c r="BN8" s="51"/>
      <c r="BO8" s="51">
        <f>((1674.25*60)/27.2155)/100</f>
        <v>36.910951479855228</v>
      </c>
      <c r="BP8" s="51">
        <f>((1704.5*60)/27.2155)/100</f>
        <v>37.577850857048375</v>
      </c>
      <c r="BQ8" s="51">
        <f>((1686.5*60)/27.2155)/100</f>
        <v>37.181018169792949</v>
      </c>
      <c r="BR8" s="51">
        <f>((1700*60)/27.2155)/100</f>
        <v>37.478642685234519</v>
      </c>
      <c r="BS8" s="51">
        <f>((1690.75*60)/27.2155)/100</f>
        <v>37.274714776506038</v>
      </c>
      <c r="BT8" s="51"/>
      <c r="BU8" s="51"/>
      <c r="BV8" s="51">
        <f>((1687.25*60)/27.2155)/100</f>
        <v>37.197552865095261</v>
      </c>
      <c r="BW8" s="51">
        <f>((1658.75*60)/27.2155)/100</f>
        <v>36.569234443607506</v>
      </c>
      <c r="BX8" s="51">
        <f>((1649.25*60)/27.2155)/100</f>
        <v>36.359794969778257</v>
      </c>
      <c r="BY8" s="51">
        <f>((1649.25*60)/27.2155)/100</f>
        <v>36.359794969778257</v>
      </c>
      <c r="BZ8" s="51">
        <f>((1668*60)/27.2155)/100</f>
        <v>36.773162352335987</v>
      </c>
      <c r="CA8" s="51"/>
      <c r="CB8" s="51"/>
      <c r="CC8" s="51">
        <f>((1691*60)/27.2155)/100</f>
        <v>37.280226341606806</v>
      </c>
      <c r="CD8" s="51">
        <f>((1696.5*60)/27.2155)/100</f>
        <v>37.401480773823742</v>
      </c>
      <c r="CE8" s="51">
        <f>((1718.75*60)/27.2155)/100</f>
        <v>37.892010067792256</v>
      </c>
      <c r="CF8" s="51">
        <f>((1700.75*60)/27.2155)/100</f>
        <v>37.49517738053683</v>
      </c>
      <c r="CG8" s="51">
        <f>((1710.25*60)/27.2155)/100</f>
        <v>37.70461685436608</v>
      </c>
      <c r="CH8" s="51"/>
      <c r="CI8" s="51"/>
      <c r="CJ8" s="51">
        <f>((1664.25*60)/27.2155)/100</f>
        <v>36.690488875824443</v>
      </c>
      <c r="CK8" s="51">
        <f>((1643*60)/27.2155)/100</f>
        <v>36.222005842259009</v>
      </c>
      <c r="CL8" s="51">
        <f>((1664*60)/27.2155)/100</f>
        <v>36.684977310723667</v>
      </c>
      <c r="CM8" s="51">
        <f>((1618.25*60)/27.2155)/100</f>
        <v>35.676360897282798</v>
      </c>
      <c r="CN8" s="51">
        <f>((1582.75*60)/27.2155)/100</f>
        <v>34.89371865297349</v>
      </c>
      <c r="CO8" s="51"/>
      <c r="CP8" s="51"/>
      <c r="CQ8" s="51">
        <f>((1602.25*60)/27.2155)/100</f>
        <v>35.323620730833539</v>
      </c>
      <c r="CR8" s="51">
        <f>((1631*60)/27.2155)/100</f>
        <v>35.957450717422056</v>
      </c>
      <c r="CS8" s="51">
        <f>((1619.5*60)/27.2155)/100</f>
        <v>35.703918722786646</v>
      </c>
      <c r="CT8" s="51">
        <f>((1645.5*60)/27.2155)/100</f>
        <v>36.277121493266705</v>
      </c>
      <c r="CU8" s="51">
        <f>((1689*60)/27.2155)/100</f>
        <v>37.236133820800646</v>
      </c>
      <c r="CV8" s="51"/>
      <c r="CW8" s="51"/>
      <c r="CX8" s="51">
        <f>((1655.25*60)/27.2155)/100</f>
        <v>36.492072532196723</v>
      </c>
      <c r="CY8" s="51">
        <f>((1670.25*60)/27.2155)/100</f>
        <v>36.822766438242915</v>
      </c>
      <c r="CZ8" s="51">
        <f>((1676*60)/27.2155)/100</f>
        <v>36.94953243556062</v>
      </c>
      <c r="DA8" s="51">
        <f>((1682.25*60)/27.2155)/100</f>
        <v>37.087321563079861</v>
      </c>
      <c r="DB8" s="51">
        <f>((1682.25*60)/27.2155)/100</f>
        <v>37.087321563079861</v>
      </c>
      <c r="DC8" s="51"/>
      <c r="DD8" s="51"/>
      <c r="DE8" s="51">
        <f>((1714.75*60)/27.2155)/100</f>
        <v>37.803825026179936</v>
      </c>
      <c r="DF8" s="51">
        <f>((1716.5*60)/27.2155)/100</f>
        <v>37.842405981885328</v>
      </c>
      <c r="DG8" s="51">
        <v>38.509305359078468</v>
      </c>
      <c r="DH8" s="51">
        <v>38.509305359078468</v>
      </c>
      <c r="DI8" s="51">
        <f>((1716*60)/27.2155)/100</f>
        <v>37.831382851683784</v>
      </c>
      <c r="DJ8" s="51"/>
      <c r="DK8" s="51"/>
      <c r="DL8" s="51">
        <f>((1703.5*60)/27.2155)/100</f>
        <v>37.555804596645295</v>
      </c>
      <c r="DM8" s="51">
        <f>((1705.25*60)/27.2155)/100</f>
        <v>37.594385552350687</v>
      </c>
      <c r="DN8" s="51">
        <f>((1726.5*60)/27.2155)/100</f>
        <v>38.062868585916114</v>
      </c>
      <c r="DO8" s="51">
        <f>((1706.5*60)/27.2155)/100</f>
        <v>37.621943377854535</v>
      </c>
      <c r="DP8" s="51">
        <f>((1708.25*60)/27.2155)/100</f>
        <v>37.66052433355992</v>
      </c>
      <c r="DQ8" s="51"/>
      <c r="DR8" s="51"/>
      <c r="DS8" s="51">
        <f>((1674*60)/27.2155)/100</f>
        <v>36.90543991475446</v>
      </c>
      <c r="DT8" s="51">
        <f>((1659*60)/27.2155)/100</f>
        <v>36.574746008708274</v>
      </c>
      <c r="DU8" s="51">
        <f>((1669.75*60)/27.2155)/100</f>
        <v>36.811743308041372</v>
      </c>
      <c r="DV8" s="51">
        <f>((1678.5*60)/27.2155)/100</f>
        <v>37.004648086568317</v>
      </c>
      <c r="DW8" s="51">
        <f>((1655.5*60)/27.2155)/100</f>
        <v>36.497584097297498</v>
      </c>
      <c r="DX8" s="51"/>
      <c r="DY8" s="51"/>
      <c r="DZ8" s="51">
        <f>((1621*60)/27.2155)/100</f>
        <v>35.73698811339127</v>
      </c>
      <c r="EA8" s="51">
        <f>((1630*60)/27.2155)/100</f>
        <v>35.935404457018983</v>
      </c>
      <c r="EB8" s="51">
        <f>((1650.25*60)/27.2155)/100</f>
        <v>36.38184123018133</v>
      </c>
      <c r="EC8" s="51">
        <f>((1660.25*60)/27.2155)/100</f>
        <v>36.602303834212123</v>
      </c>
      <c r="ED8" s="51">
        <f>((1723.25*60)/27.2155)/100</f>
        <v>37.991218239606113</v>
      </c>
      <c r="EE8" s="51"/>
      <c r="EF8" s="51"/>
      <c r="EG8" s="51">
        <f>((1656.5*60)/27.2155)/100</f>
        <v>36.519630357700578</v>
      </c>
      <c r="EH8" s="51">
        <f>((1678*60)/27.2155)/100</f>
        <v>36.99362495636678</v>
      </c>
      <c r="EI8" s="51">
        <f>((1662.75*60)/27.2155)/100</f>
        <v>36.657419485219819</v>
      </c>
      <c r="EJ8" s="51">
        <f>((1690.5*60)/27.2155)/100</f>
        <v>37.269203211405262</v>
      </c>
      <c r="EK8" s="51">
        <f>((1705.25*60)/27.2155)/100</f>
        <v>37.594385552350687</v>
      </c>
      <c r="EL8" s="51"/>
      <c r="EM8" s="51"/>
      <c r="EN8" s="51">
        <f>((1687*60)/27.2155)/100</f>
        <v>37.192041299994486</v>
      </c>
      <c r="EO8" s="51">
        <f>((1693*60)/27.2155)/100</f>
        <v>37.324318862412966</v>
      </c>
      <c r="EP8" s="51">
        <f>((1681*60)/27.2155)/100</f>
        <v>37.059763737576013</v>
      </c>
      <c r="EQ8" s="51">
        <f>((1726.5*60)/27.2155)/100</f>
        <v>38.062868585916114</v>
      </c>
      <c r="ER8" s="51">
        <f>((1732.25*60)/27.2155)/100</f>
        <v>38.189634583233818</v>
      </c>
      <c r="ES8" s="51"/>
      <c r="ET8" s="51"/>
      <c r="EU8" s="51">
        <f>((1732.25*60)/27.2155)/100</f>
        <v>38.189634583233818</v>
      </c>
      <c r="EV8" s="51">
        <f>((1683.25*60)/27.2155)/100</f>
        <v>37.109367823482941</v>
      </c>
      <c r="EW8" s="51">
        <f>((1690.25*60)/27.2155)/100</f>
        <v>37.263691646304494</v>
      </c>
      <c r="EX8" s="117">
        <f>((1729.25*60)/27.2155)/100</f>
        <v>38.123495802024578</v>
      </c>
      <c r="EY8" s="117">
        <v>37.42903859932759</v>
      </c>
      <c r="EZ8" s="51"/>
      <c r="FA8" s="51"/>
      <c r="FB8" s="117">
        <f>((1699.25*60)/27.2155)/100</f>
        <v>37.462107989932207</v>
      </c>
      <c r="FC8" s="117">
        <f>((1728.25*60)/27.2155)/100</f>
        <v>38.101449541621506</v>
      </c>
      <c r="FD8" s="117">
        <f>((1740*60)/27.2155)/100</f>
        <v>38.360493101357683</v>
      </c>
      <c r="FE8" s="117">
        <f>((1769*60)/27.2155)/100</f>
        <v>38.999834653046975</v>
      </c>
      <c r="FF8" s="117">
        <f>((1745.5*60)/27.2155)/100</f>
        <v>38.48174753357462</v>
      </c>
      <c r="FG8" s="51"/>
      <c r="FH8" s="51"/>
      <c r="FI8" s="117">
        <f>((1707.5*60)/27.2155)/100</f>
        <v>37.643989638257615</v>
      </c>
      <c r="FJ8" s="117">
        <f>((1707.5*60)/27.2155)/100</f>
        <v>37.643989638257615</v>
      </c>
      <c r="FK8" s="117">
        <f>((1693.75*60)/27.2155)/100</f>
        <v>37.34085355771527</v>
      </c>
      <c r="FL8" s="117">
        <f>((1693.75*60)/27.2155)/100</f>
        <v>37.34085355771527</v>
      </c>
      <c r="FM8" s="117">
        <f>((1702*60)/27.2155)/100</f>
        <v>37.522735206040679</v>
      </c>
      <c r="FN8" s="51"/>
      <c r="FO8" s="51"/>
      <c r="FP8" s="117">
        <f>((1702*60)/27.2155)/100</f>
        <v>37.522735206040679</v>
      </c>
      <c r="FQ8" s="117">
        <f>((1681*60)/27.2155)/100</f>
        <v>37.059763737576013</v>
      </c>
      <c r="FR8" s="117">
        <f>((1652.75*60)/27.2155)/100</f>
        <v>36.436956881189033</v>
      </c>
      <c r="FS8" s="117">
        <f>((1593.25*60)/27.2155)/100</f>
        <v>35.12520438720582</v>
      </c>
      <c r="FT8" s="117">
        <f>((1610.75*60)/27.2155)/100</f>
        <v>35.511013944259709</v>
      </c>
      <c r="FU8" s="51"/>
      <c r="FV8" s="51"/>
      <c r="FW8" s="117">
        <f>((1630.5*60)/27.2155)/100</f>
        <v>35.946427587220519</v>
      </c>
      <c r="FX8" s="117">
        <f>((1663.75*60)/27.2155)/100</f>
        <v>36.679465745622899</v>
      </c>
      <c r="FY8" s="117">
        <f>((1674.25*60)/27.2155)/100</f>
        <v>36.910951479855228</v>
      </c>
      <c r="FZ8" s="117">
        <f>((1675*60)/27.2155)/100</f>
        <v>36.92748617515754</v>
      </c>
      <c r="GA8" s="117">
        <f>((1626*60)/27.2155)/100</f>
        <v>35.847219415406663</v>
      </c>
      <c r="GB8" s="51"/>
      <c r="GC8" s="51"/>
      <c r="GD8" s="117">
        <f>((1626*60)/27.2155)/100</f>
        <v>35.847219415406663</v>
      </c>
      <c r="GE8" s="117">
        <f>((1575.25*60)/27.2155)/100</f>
        <v>34.728371699950401</v>
      </c>
      <c r="GF8" s="117">
        <f>((1580.25*60)/27.2155)/100</f>
        <v>34.838603001965794</v>
      </c>
      <c r="GG8" s="117">
        <f>((1591.25*60)/27.2155)/100</f>
        <v>35.081111866399667</v>
      </c>
      <c r="GH8" s="117">
        <f>((1630.25*60)/27.2155)/100</f>
        <v>35.940916022119751</v>
      </c>
      <c r="GI8" s="51"/>
      <c r="GJ8" s="51"/>
      <c r="GK8" s="51">
        <f>((1641*60)/27.2155)/100</f>
        <v>36.177913321452849</v>
      </c>
      <c r="GL8" s="51">
        <f>((1692.75*60)/27.2155)/100</f>
        <v>37.318807297312198</v>
      </c>
      <c r="GM8" s="51">
        <f>((1588.25*60)/27.2155)/100</f>
        <v>35.014973085190427</v>
      </c>
      <c r="GN8" s="51">
        <f>((1610*60)/27.2155)/100</f>
        <v>35.494479248957397</v>
      </c>
      <c r="GO8" s="51">
        <f>((1466*60)/27.2155)/100</f>
        <v>32.319817750914005</v>
      </c>
      <c r="GP8" s="51"/>
      <c r="GQ8" s="51"/>
      <c r="GR8" s="51">
        <f>((1497.25*60)/27.2155)/100</f>
        <v>33.008763388510225</v>
      </c>
      <c r="GS8" s="51">
        <f>((1477.25*60)/27.2155)/100</f>
        <v>32.567838180448646</v>
      </c>
      <c r="GT8" s="51">
        <f>((1449*60)/27.2155)/100</f>
        <v>31.945031324061656</v>
      </c>
      <c r="GU8" s="51">
        <f>((1418.5*60)/27.2155)/100</f>
        <v>31.272620381767741</v>
      </c>
      <c r="GV8" s="51">
        <f>((1434.5*60)/27.2155)/100</f>
        <v>31.62536054821701</v>
      </c>
      <c r="GW8" s="51"/>
      <c r="GX8" s="51"/>
      <c r="GY8" s="51">
        <f>((1473*60)/27.2155)/100</f>
        <v>32.474141573735558</v>
      </c>
      <c r="GZ8" s="51">
        <f>((1532.75*60)/27.2155)/100</f>
        <v>33.791405632819533</v>
      </c>
      <c r="HA8" s="51">
        <f>((1609.25*60)/27.2155)/100</f>
        <v>35.477944553655085</v>
      </c>
      <c r="HB8" s="51">
        <f>((1578.75*60)/27.2155)/100</f>
        <v>34.805533611361177</v>
      </c>
      <c r="HC8" s="51">
        <f>((1637*60)/27.2155)/100</f>
        <v>36.089728279840536</v>
      </c>
      <c r="HD8" s="51"/>
      <c r="HE8" s="51"/>
      <c r="HF8" s="51">
        <f>((1594.25*60)/27.2155)/100</f>
        <v>35.147250647608899</v>
      </c>
      <c r="HG8" s="51">
        <f>((1569.25*60)/27.2155)/100</f>
        <v>34.596094137531921</v>
      </c>
      <c r="HH8" s="51">
        <f>((1558*60)/27.2155)/100</f>
        <v>34.34807370799728</v>
      </c>
      <c r="HI8" s="51">
        <f>((1615*60)/27.2155)/100</f>
        <v>35.60471055097279</v>
      </c>
      <c r="HJ8" s="51">
        <f>((1449*60)/27.2155)/100</f>
        <v>31.945031324061656</v>
      </c>
      <c r="HK8" s="51"/>
      <c r="HL8" s="51"/>
      <c r="HM8" s="51">
        <f>((1619.5*60)/27.2155)/100</f>
        <v>35.703918722786646</v>
      </c>
      <c r="HN8" s="51">
        <f>((1693.25*60)/27.2155)/100</f>
        <v>37.329830427513734</v>
      </c>
      <c r="HO8" s="51">
        <f>((1688.75*60)/27.2155)/100</f>
        <v>37.230622255699878</v>
      </c>
      <c r="HP8" s="51">
        <f>((1709.5*60)/27.2155)/100</f>
        <v>37.688082159063768</v>
      </c>
      <c r="HQ8" s="51">
        <f>((1669.25*60)/27.2155)/100</f>
        <v>36.800720177839835</v>
      </c>
      <c r="HR8" s="51"/>
      <c r="HS8" s="51"/>
      <c r="HT8" s="51">
        <f>((1494*60)/27.2155)/100</f>
        <v>32.937113042200217</v>
      </c>
      <c r="HU8" s="51">
        <f>((1454.25*60)/27.2155)/100</f>
        <v>32.060774191177828</v>
      </c>
      <c r="HV8" s="51">
        <f>((1475.25*60)/27.2155)/100</f>
        <v>32.523745659642486</v>
      </c>
      <c r="HW8" s="51">
        <f>((1495.5*60)/27.2155)/100</f>
        <v>32.970182432804833</v>
      </c>
      <c r="HX8" s="51">
        <f>((1488.75*60)/27.2155)/100</f>
        <v>32.821370175084056</v>
      </c>
      <c r="HY8" s="51"/>
      <c r="HZ8" s="51"/>
      <c r="IA8" s="51">
        <f>((1527*60)/27.2155)/100</f>
        <v>33.664639635501828</v>
      </c>
      <c r="IB8" s="51">
        <f>((1566.75*60)/27.2155)/100</f>
        <v>34.540978486524224</v>
      </c>
      <c r="IC8" s="51">
        <f>((1560.75*60)/27.2155)/100</f>
        <v>34.408700924105752</v>
      </c>
      <c r="ID8" s="51">
        <f>((1552.5*60)/27.2155)/100</f>
        <v>34.22681927578035</v>
      </c>
      <c r="IE8" s="51">
        <f>((1605.25*60)/27.2155)/100</f>
        <v>35.389759512042772</v>
      </c>
      <c r="IF8" s="51"/>
      <c r="IG8" s="51"/>
      <c r="IH8" s="51">
        <f>((1534.75*60)/27.2155)/100</f>
        <v>33.835498153625693</v>
      </c>
      <c r="II8" s="51">
        <f>((1513*60)/27.2155)/100</f>
        <v>33.355991989858722</v>
      </c>
      <c r="IJ8" s="51">
        <f>((1507.5*60)/27.2155)/100</f>
        <v>33.234737557641786</v>
      </c>
      <c r="IK8" s="51">
        <f>((1472.75*60)/27.2155)/100</f>
        <v>32.46863000863479</v>
      </c>
      <c r="IL8" s="51">
        <f>((1510.5*60)/27.2155)/100</f>
        <v>33.300876338851026</v>
      </c>
      <c r="IM8" s="51"/>
      <c r="IN8" s="51"/>
      <c r="IO8" s="51">
        <f>((1510.5*60)/27.2155)/100</f>
        <v>33.300876338851026</v>
      </c>
      <c r="IP8" s="51">
        <f>((1490*60)/27.2155)/100</f>
        <v>32.848928000587904</v>
      </c>
      <c r="IQ8" s="51">
        <v>32.848928000587904</v>
      </c>
      <c r="IR8" s="51">
        <f>((1470.5*60)/27.2155)/100</f>
        <v>32.419025922727862</v>
      </c>
      <c r="IS8" s="51">
        <f>((1489.25*60)/27.2155)/100</f>
        <v>32.832393305285592</v>
      </c>
      <c r="IT8" s="51"/>
      <c r="IU8" s="51"/>
      <c r="IV8" s="51">
        <f>((1549.75*60)/27.2155)/100</f>
        <v>34.166192059671879</v>
      </c>
      <c r="IW8" s="51">
        <f>((1534.25*60)/27.2155)/100</f>
        <v>33.824475023424149</v>
      </c>
      <c r="IX8" s="51">
        <f>((1503.75*60)/27.2155)/100</f>
        <v>33.152064081130241</v>
      </c>
      <c r="IY8" s="51">
        <f>((1451.5*60)/27.2155)/100</f>
        <v>32.000146975069356</v>
      </c>
      <c r="IZ8" s="51">
        <f>((1448.5*60)/27.2155)/100</f>
        <v>31.934008193860119</v>
      </c>
      <c r="JA8" s="51"/>
      <c r="JB8" s="51"/>
      <c r="JC8" s="51">
        <f>((1461.25*60)/27.2155)/100</f>
        <v>32.215098013999381</v>
      </c>
      <c r="JD8" s="51">
        <f>((1478.75*60)/27.2155)/100</f>
        <v>32.600907571053263</v>
      </c>
      <c r="JE8" s="51">
        <f>((1461.25*60)/27.2155)/100</f>
        <v>32.215098013999381</v>
      </c>
      <c r="JF8" s="51">
        <f>((1457*60)/27.2155)/100</f>
        <v>32.121401407286292</v>
      </c>
      <c r="JG8" s="51">
        <f>((1425.75*60)/27.2155)/100</f>
        <v>31.432455769690069</v>
      </c>
      <c r="JH8" s="51"/>
      <c r="JI8" s="51"/>
      <c r="JJ8" s="51">
        <f>((1411.25*60)/27.2155)/100</f>
        <v>31.11278499384542</v>
      </c>
      <c r="JK8" s="51">
        <f>((1408*60)/27.2155)/100</f>
        <v>31.041134647535415</v>
      </c>
      <c r="JL8" s="51">
        <f>((1408.75*60)/27.2155)/100</f>
        <v>31.05766934283772</v>
      </c>
      <c r="JM8" s="51">
        <f>((1410.75*60)/27.2155)/100</f>
        <v>31.101761863643883</v>
      </c>
      <c r="JN8" s="51">
        <f>((1364.75*60)/27.2155)/100</f>
        <v>30.087633885102242</v>
      </c>
      <c r="JO8" s="51"/>
      <c r="JP8" s="51"/>
      <c r="JQ8" s="51">
        <f>((1374*60)/27.2155)/100</f>
        <v>30.291561793830724</v>
      </c>
      <c r="JR8" s="51">
        <f>((1383.5*60)/27.2155)/100</f>
        <v>30.501001267659976</v>
      </c>
      <c r="JS8" s="51">
        <f>((1369.75*60)/27.2155)/100</f>
        <v>30.197865187117635</v>
      </c>
      <c r="JT8" s="51">
        <f>((1358*60)/27.2155)/100</f>
        <v>29.938821627381458</v>
      </c>
      <c r="JU8" s="51">
        <f>((1367*60)/27.2155)/100</f>
        <v>30.137237971009167</v>
      </c>
      <c r="JV8" s="51"/>
      <c r="JW8" s="51"/>
      <c r="JX8" s="51">
        <f>((1374*60)/27.2155)/100</f>
        <v>30.291561793830724</v>
      </c>
      <c r="JY8" s="51">
        <f>((1376.25*60)/27.2155)/100</f>
        <v>30.341165879737652</v>
      </c>
      <c r="JZ8" s="51">
        <v>30.341165879737652</v>
      </c>
      <c r="KA8" s="51">
        <f>((1395.75*60)/27.2155)/100</f>
        <v>30.771067957597694</v>
      </c>
      <c r="KB8" s="51">
        <f>((1383.75*60)/27.2155)/100</f>
        <v>30.506512832760745</v>
      </c>
      <c r="KC8" s="51"/>
      <c r="KD8" s="51"/>
      <c r="KE8" s="51">
        <f>((1385.25*60)/27.2155)/100</f>
        <v>30.539582223365365</v>
      </c>
      <c r="KF8" s="51">
        <f>((1372*60)/27.2155)/100</f>
        <v>30.247469273024564</v>
      </c>
      <c r="KG8" s="51">
        <f>((1372.5*60)/27.2155)/100</f>
        <v>30.258492403226104</v>
      </c>
      <c r="KH8" s="51">
        <f>((1391.5*60)/27.2155)/100</f>
        <v>30.677371350884609</v>
      </c>
      <c r="KI8" s="51">
        <f>((1395.5*60)/27.2155)/100</f>
        <v>30.765556392496922</v>
      </c>
      <c r="KJ8" s="51"/>
      <c r="KK8" s="51"/>
      <c r="KL8" s="51">
        <f>((1372*60)/27.2155)/100</f>
        <v>30.247469273024564</v>
      </c>
      <c r="KM8" s="51">
        <f>((1382*60)/27.2155)/100</f>
        <v>30.467931877055356</v>
      </c>
      <c r="KN8" s="51">
        <f>((1381.75*60)/27.2155)/100</f>
        <v>30.462420311954588</v>
      </c>
      <c r="KO8" s="51">
        <f>((1382.25*60)/27.2155)/100</f>
        <v>30.473443442156125</v>
      </c>
      <c r="KP8" s="51">
        <f>((1387.75*60)/27.2155)/100</f>
        <v>30.594697874373061</v>
      </c>
      <c r="KQ8" s="51"/>
      <c r="KR8" s="51"/>
      <c r="KS8" s="51">
        <f>((1407*60)/27.2155)/100</f>
        <v>31.019088387132332</v>
      </c>
      <c r="KT8" s="51">
        <f>((1435.75*60)/27.2155)/100</f>
        <v>31.652918373720858</v>
      </c>
      <c r="KU8" s="51">
        <v>31.652918373720858</v>
      </c>
      <c r="KV8" s="51">
        <f>((1426.75*60)/27.2155)/100</f>
        <v>31.454502030093149</v>
      </c>
      <c r="KW8" s="51">
        <f>((1451.5*60)/27.2155)/100</f>
        <v>32.000146975069356</v>
      </c>
      <c r="KX8" s="51"/>
      <c r="KY8" s="51"/>
      <c r="KZ8" s="51">
        <f>((1440*60)/27.2155)/100</f>
        <v>31.746614980433947</v>
      </c>
      <c r="LA8" s="51">
        <f>((1444*60)/27.2155)/100</f>
        <v>31.834800022046259</v>
      </c>
      <c r="LB8" s="51">
        <f>((1459.75*60)/27.2155)/100</f>
        <v>32.182028623394757</v>
      </c>
      <c r="LC8" s="51">
        <f>((1430.5*60)/27.2155)/100</f>
        <v>31.537175506604694</v>
      </c>
      <c r="LD8" s="51">
        <f>((1455.5*60)/27.2155)/100</f>
        <v>32.088332016681669</v>
      </c>
      <c r="LE8" s="51"/>
      <c r="LF8" s="51"/>
      <c r="LG8" s="51">
        <f>((1441.75*60)/27.2155)/100</f>
        <v>31.785195936139335</v>
      </c>
      <c r="LH8" s="51">
        <f>((1441.75*60)/27.2155)/100</f>
        <v>31.785195936139335</v>
      </c>
      <c r="LI8" s="51">
        <f>((1429.25*60)/27.2155)/100</f>
        <v>31.509617681100845</v>
      </c>
      <c r="LJ8" s="51">
        <f>((1417*60)/27.2155)/100</f>
        <v>31.239550991163124</v>
      </c>
      <c r="LK8" s="51">
        <f>((1428.25*60)/27.2155)/100</f>
        <v>31.487571420697762</v>
      </c>
      <c r="LL8" s="51"/>
      <c r="LM8" s="51"/>
      <c r="LN8" s="51">
        <f>((1436.75*60)/27.2155)/100</f>
        <v>31.674964634123938</v>
      </c>
      <c r="LO8" s="51">
        <f>((1429.75*60)/27.2155)/100</f>
        <v>31.520640811302382</v>
      </c>
      <c r="LP8" s="51">
        <f>((1436*60)/27.2155)/100</f>
        <v>31.658429938821627</v>
      </c>
      <c r="LQ8" s="51">
        <f>((1436*60)/27.2155)/100</f>
        <v>31.658429938821627</v>
      </c>
      <c r="LR8" s="51">
        <f>((1436.25*60)/27.2155)/100</f>
        <v>31.663941503922398</v>
      </c>
      <c r="LS8" s="51"/>
      <c r="LT8" s="51"/>
      <c r="LU8" s="51">
        <f>((1457.25*60)/27.2155)/100</f>
        <v>32.126912972387061</v>
      </c>
      <c r="LV8" s="51">
        <f>((1459.5*60)/27.2155)/100</f>
        <v>32.176517058293989</v>
      </c>
      <c r="LW8" s="51">
        <f>((1469.5*60)/27.2155)/100</f>
        <v>32.396979662324782</v>
      </c>
      <c r="LX8" s="51">
        <f>((1429.75*60)/27.2155)/100</f>
        <v>31.520640811302382</v>
      </c>
      <c r="LY8" s="51">
        <f>((1438.5*60)/27.2155)/100</f>
        <v>31.713545589829327</v>
      </c>
      <c r="LZ8" s="51"/>
      <c r="MA8" s="51"/>
      <c r="MB8" s="51">
        <f>((1437.75*60)/27.2155)/100</f>
        <v>31.697010894527015</v>
      </c>
      <c r="MC8" s="51">
        <f>((1455*60)/27.2155)/100</f>
        <v>32.077308886480132</v>
      </c>
      <c r="MD8" s="51">
        <f>((1472*60)/27.2155)/100</f>
        <v>32.452095313332478</v>
      </c>
      <c r="ME8" s="51">
        <f>((1438.75*60)/27.2155)/100</f>
        <v>31.719057154930098</v>
      </c>
      <c r="MF8" s="51">
        <f>((1438.75*60)/27.2155)/100</f>
        <v>31.719057154930098</v>
      </c>
      <c r="MG8" s="51"/>
      <c r="MH8" s="51"/>
      <c r="MI8" s="51">
        <f>((1460.5*60)/27.2155)/100</f>
        <v>32.198563318697069</v>
      </c>
      <c r="MJ8" s="51">
        <f>((1479.75*60)/27.2155)/100</f>
        <v>32.622953831456336</v>
      </c>
      <c r="MK8" s="51">
        <f>((1482.25*60)/27.2155)/100</f>
        <v>32.678069482464039</v>
      </c>
      <c r="ML8" s="51">
        <f>((1473.5*60)/27.2155)/100</f>
        <v>32.485164703937102</v>
      </c>
      <c r="MM8" s="51">
        <f>((1480*60)/27.2155)/100</f>
        <v>32.628465396557111</v>
      </c>
      <c r="MN8" s="51"/>
      <c r="MO8" s="51"/>
      <c r="MP8" s="51">
        <f>((1460.75*60)/27.2155)/100</f>
        <v>32.204074883797837</v>
      </c>
      <c r="MQ8" s="51">
        <f>((1478.5*60)/27.2155)/100</f>
        <v>32.595396005952495</v>
      </c>
      <c r="MR8" s="51">
        <f>((1481*60)/27.2155)/100</f>
        <v>32.650511656960191</v>
      </c>
      <c r="MS8" s="51">
        <f>((1467.75*60)/27.2155)/100</f>
        <v>32.35839870661939</v>
      </c>
      <c r="MT8" s="51">
        <f>((1479*60)/27.2155)/100</f>
        <v>32.606419136154031</v>
      </c>
      <c r="MU8" s="51"/>
      <c r="MV8" s="51"/>
      <c r="MW8" s="51">
        <f>((1479*60)/27.2155)/100</f>
        <v>32.606419136154031</v>
      </c>
      <c r="MX8" s="51">
        <f>((1482.25*60)/27.2155)/100</f>
        <v>32.678069482464039</v>
      </c>
      <c r="MY8" s="51">
        <f>((1506.5*60)/27.2155)/100</f>
        <v>33.212691297238706</v>
      </c>
      <c r="MZ8" s="51">
        <f>((1508.75*60)/27.2155)/100</f>
        <v>33.262295383145634</v>
      </c>
      <c r="NA8" s="51">
        <f>((1508.75*60)/27.2155)/100</f>
        <v>33.262295383145634</v>
      </c>
      <c r="NB8" s="51"/>
    </row>
    <row r="9" spans="1:366" x14ac:dyDescent="0.25">
      <c r="A9" s="69" t="s">
        <v>78</v>
      </c>
      <c r="B9" s="73"/>
      <c r="C9" s="73"/>
      <c r="D9" s="73">
        <v>417.8</v>
      </c>
      <c r="E9" s="73">
        <v>424</v>
      </c>
      <c r="F9" s="73">
        <v>427.6</v>
      </c>
      <c r="G9" s="73">
        <v>420</v>
      </c>
      <c r="H9" s="73">
        <v>418.9</v>
      </c>
      <c r="I9" s="73"/>
      <c r="J9" s="73"/>
      <c r="K9" s="73">
        <v>432</v>
      </c>
      <c r="L9" s="73">
        <v>426.1</v>
      </c>
      <c r="M9" s="73">
        <v>425.1</v>
      </c>
      <c r="N9" s="73">
        <v>425.4</v>
      </c>
      <c r="O9" s="73">
        <v>445</v>
      </c>
      <c r="P9" s="73"/>
      <c r="Q9" s="73"/>
      <c r="R9" s="73">
        <v>445</v>
      </c>
      <c r="S9" s="73">
        <v>403.5</v>
      </c>
      <c r="T9" s="73">
        <v>391.9</v>
      </c>
      <c r="U9" s="112">
        <v>391.9</v>
      </c>
      <c r="V9" s="73">
        <v>400.6</v>
      </c>
      <c r="W9" s="73"/>
      <c r="X9" s="73"/>
      <c r="Y9" s="73">
        <v>365.4</v>
      </c>
      <c r="Z9" s="73">
        <v>393.7</v>
      </c>
      <c r="AA9" s="73">
        <v>391.9</v>
      </c>
      <c r="AB9" s="73">
        <v>399.9</v>
      </c>
      <c r="AC9" s="73">
        <v>403.7</v>
      </c>
      <c r="AD9" s="73"/>
      <c r="AE9" s="73"/>
      <c r="AF9" s="73">
        <v>413</v>
      </c>
      <c r="AG9" s="73">
        <v>418.7</v>
      </c>
      <c r="AH9" s="73">
        <v>436.1</v>
      </c>
      <c r="AI9" s="73">
        <v>435.6</v>
      </c>
      <c r="AJ9" s="73">
        <v>437.5</v>
      </c>
      <c r="AK9" s="73"/>
      <c r="AL9" s="73"/>
      <c r="AM9" s="73">
        <v>446</v>
      </c>
      <c r="AN9" s="73">
        <v>454.8</v>
      </c>
      <c r="AO9" s="73">
        <v>454.7</v>
      </c>
      <c r="AP9" s="73">
        <v>462.5</v>
      </c>
      <c r="AQ9" s="73">
        <v>452.4</v>
      </c>
      <c r="AR9" s="73"/>
      <c r="AS9" s="73"/>
      <c r="AT9" s="73">
        <v>456.7</v>
      </c>
      <c r="AU9" s="73">
        <v>448.5</v>
      </c>
      <c r="AV9" s="73">
        <v>439.1</v>
      </c>
      <c r="AW9" s="73">
        <v>449.3</v>
      </c>
      <c r="AX9" s="73">
        <v>448.2</v>
      </c>
      <c r="AY9" s="73"/>
      <c r="AZ9" s="73"/>
      <c r="BA9" s="73">
        <v>448.2</v>
      </c>
      <c r="BB9" s="73">
        <v>448.5</v>
      </c>
      <c r="BC9" s="73">
        <v>454.7</v>
      </c>
      <c r="BD9" s="73">
        <v>471</v>
      </c>
      <c r="BE9" s="73">
        <v>457.9</v>
      </c>
      <c r="BF9" s="73"/>
      <c r="BG9" s="73"/>
      <c r="BH9" s="73">
        <v>457.9</v>
      </c>
      <c r="BI9" s="73">
        <v>457.9</v>
      </c>
      <c r="BJ9" s="73">
        <v>466.6</v>
      </c>
      <c r="BK9" s="73">
        <v>459.7</v>
      </c>
      <c r="BL9" s="73">
        <v>469.2</v>
      </c>
      <c r="BM9" s="73"/>
      <c r="BN9" s="73"/>
      <c r="BO9" s="73">
        <v>474.9</v>
      </c>
      <c r="BP9" s="73">
        <v>467</v>
      </c>
      <c r="BQ9" s="73">
        <v>496</v>
      </c>
      <c r="BR9" s="73">
        <v>506.8</v>
      </c>
      <c r="BS9" s="73">
        <v>505.9</v>
      </c>
      <c r="BT9" s="73"/>
      <c r="BU9" s="73"/>
      <c r="BV9" s="73">
        <v>497.9</v>
      </c>
      <c r="BW9" s="73">
        <v>485.1</v>
      </c>
      <c r="BX9" s="73">
        <v>483.3</v>
      </c>
      <c r="BY9" s="73">
        <v>478.5</v>
      </c>
      <c r="BZ9" s="73">
        <v>474.2</v>
      </c>
      <c r="CA9" s="73"/>
      <c r="CB9" s="73"/>
      <c r="CC9" s="73">
        <v>477.1</v>
      </c>
      <c r="CD9" s="73">
        <v>481</v>
      </c>
      <c r="CE9" s="73">
        <v>477</v>
      </c>
      <c r="CF9" s="73">
        <v>485.1</v>
      </c>
      <c r="CG9" s="73">
        <v>487</v>
      </c>
      <c r="CH9" s="73"/>
      <c r="CI9" s="73"/>
      <c r="CJ9" s="73">
        <v>486</v>
      </c>
      <c r="CK9" s="73">
        <v>477.8</v>
      </c>
      <c r="CL9" s="73">
        <v>467.8</v>
      </c>
      <c r="CM9" s="73">
        <v>474.1</v>
      </c>
      <c r="CN9" s="73">
        <v>468.3</v>
      </c>
      <c r="CO9" s="73"/>
      <c r="CP9" s="73"/>
      <c r="CQ9" s="73">
        <v>451</v>
      </c>
      <c r="CR9" s="73">
        <v>455.1</v>
      </c>
      <c r="CS9" s="73">
        <v>466.2</v>
      </c>
      <c r="CT9" s="73">
        <v>459.9</v>
      </c>
      <c r="CU9" s="73">
        <v>460.9</v>
      </c>
      <c r="CV9" s="73"/>
      <c r="CW9" s="73"/>
      <c r="CX9" s="73">
        <v>468.5</v>
      </c>
      <c r="CY9" s="73">
        <v>460.9</v>
      </c>
      <c r="CZ9" s="73">
        <v>461.7</v>
      </c>
      <c r="DA9" s="73">
        <v>459.1</v>
      </c>
      <c r="DB9" s="73">
        <v>459.1</v>
      </c>
      <c r="DC9" s="73"/>
      <c r="DD9" s="73"/>
      <c r="DE9" s="73">
        <v>460.9</v>
      </c>
      <c r="DF9" s="73">
        <v>466</v>
      </c>
      <c r="DG9" s="73">
        <v>473</v>
      </c>
      <c r="DH9" s="73">
        <v>473</v>
      </c>
      <c r="DI9" s="73">
        <v>469</v>
      </c>
      <c r="DJ9" s="73"/>
      <c r="DK9" s="73"/>
      <c r="DL9" s="73">
        <v>458.6</v>
      </c>
      <c r="DM9" s="73">
        <v>453.3</v>
      </c>
      <c r="DN9" s="73">
        <v>446.3</v>
      </c>
      <c r="DO9" s="73">
        <v>451.2</v>
      </c>
      <c r="DP9" s="73">
        <v>440.5</v>
      </c>
      <c r="DQ9" s="73"/>
      <c r="DR9" s="73"/>
      <c r="DS9" s="73">
        <v>441.7</v>
      </c>
      <c r="DT9" s="73">
        <v>445</v>
      </c>
      <c r="DU9" s="73">
        <v>435.1</v>
      </c>
      <c r="DV9" s="73">
        <v>427.5</v>
      </c>
      <c r="DW9" s="73">
        <v>427.5</v>
      </c>
      <c r="DX9" s="73"/>
      <c r="DY9" s="73"/>
      <c r="DZ9" s="73">
        <v>423.1</v>
      </c>
      <c r="EA9" s="73">
        <v>408</v>
      </c>
      <c r="EB9" s="73">
        <v>410</v>
      </c>
      <c r="EC9" s="73">
        <v>403.7</v>
      </c>
      <c r="ED9" s="73">
        <v>406.4</v>
      </c>
      <c r="EE9" s="73"/>
      <c r="EF9" s="73"/>
      <c r="EG9" s="73">
        <v>413.9</v>
      </c>
      <c r="EH9" s="73">
        <v>413.5</v>
      </c>
      <c r="EI9" s="73">
        <v>412</v>
      </c>
      <c r="EJ9" s="73">
        <v>414.6</v>
      </c>
      <c r="EK9" s="73">
        <v>425.5</v>
      </c>
      <c r="EL9" s="73"/>
      <c r="EM9" s="73"/>
      <c r="EN9" s="73">
        <v>430</v>
      </c>
      <c r="EO9" s="73">
        <v>422.5</v>
      </c>
      <c r="EP9" s="73">
        <v>426.9</v>
      </c>
      <c r="EQ9" s="73">
        <v>423.9</v>
      </c>
      <c r="ER9" s="73">
        <v>428.4</v>
      </c>
      <c r="ES9" s="73"/>
      <c r="ET9" s="73"/>
      <c r="EU9" s="73">
        <v>428.4</v>
      </c>
      <c r="EV9" s="73">
        <v>433.3</v>
      </c>
      <c r="EW9" s="73">
        <v>415.9</v>
      </c>
      <c r="EX9" s="73">
        <v>413.5</v>
      </c>
      <c r="EY9" s="73">
        <v>414.9</v>
      </c>
      <c r="EZ9" s="73"/>
      <c r="FA9" s="73"/>
      <c r="FB9" s="73">
        <v>409</v>
      </c>
      <c r="FC9" s="73">
        <v>408</v>
      </c>
      <c r="FD9" s="73">
        <v>417.7</v>
      </c>
      <c r="FE9" s="73">
        <v>415.6</v>
      </c>
      <c r="FF9" s="73">
        <v>427.5</v>
      </c>
      <c r="FG9" s="73"/>
      <c r="FH9" s="79"/>
      <c r="FI9" s="73">
        <v>429.2</v>
      </c>
      <c r="FJ9" s="73">
        <v>420.2</v>
      </c>
      <c r="FK9" s="73">
        <v>418</v>
      </c>
      <c r="FL9" s="73">
        <v>418</v>
      </c>
      <c r="FM9" s="73">
        <v>429.6</v>
      </c>
      <c r="FN9" s="73"/>
      <c r="FO9" s="73"/>
      <c r="FP9" s="73">
        <v>429.6</v>
      </c>
      <c r="FQ9" s="73">
        <v>432.4</v>
      </c>
      <c r="FR9" s="73">
        <v>432.4</v>
      </c>
      <c r="FS9" s="73">
        <v>432.5</v>
      </c>
      <c r="FT9" s="73">
        <v>427.5</v>
      </c>
      <c r="FU9" s="73"/>
      <c r="FV9" s="73"/>
      <c r="FW9" s="73">
        <v>432</v>
      </c>
      <c r="FX9" s="73">
        <v>456.1</v>
      </c>
      <c r="FY9" s="73">
        <v>456.1</v>
      </c>
      <c r="FZ9" s="73">
        <v>464.5</v>
      </c>
      <c r="GA9" s="73">
        <v>470</v>
      </c>
      <c r="GB9" s="73"/>
      <c r="GC9" s="73"/>
      <c r="GD9" s="73">
        <v>470</v>
      </c>
      <c r="GE9" s="73">
        <v>470</v>
      </c>
      <c r="GF9" s="119">
        <v>470</v>
      </c>
      <c r="GG9" s="73">
        <v>467.4</v>
      </c>
      <c r="GH9" s="73">
        <v>474.8</v>
      </c>
      <c r="GI9" s="73"/>
      <c r="GJ9" s="73"/>
      <c r="GK9" s="73">
        <v>484.6</v>
      </c>
      <c r="GL9" s="73">
        <v>480</v>
      </c>
      <c r="GM9" s="73">
        <v>478.2</v>
      </c>
      <c r="GN9" s="73">
        <v>498.9</v>
      </c>
      <c r="GO9" s="73">
        <v>440</v>
      </c>
      <c r="GP9" s="73"/>
      <c r="GQ9" s="73"/>
      <c r="GR9" s="73">
        <v>432.1</v>
      </c>
      <c r="GS9" s="73">
        <v>435.7</v>
      </c>
      <c r="GT9" s="73">
        <v>435</v>
      </c>
      <c r="GU9" s="73">
        <v>437.5</v>
      </c>
      <c r="GV9" s="73">
        <v>434.4</v>
      </c>
      <c r="GW9" s="73"/>
      <c r="GX9" s="73"/>
      <c r="GY9" s="73">
        <v>434.9</v>
      </c>
      <c r="GZ9" s="73">
        <v>448.1</v>
      </c>
      <c r="HA9" s="73">
        <v>472.4</v>
      </c>
      <c r="HB9" s="73">
        <v>489.2</v>
      </c>
      <c r="HC9" s="73">
        <v>498.9</v>
      </c>
      <c r="HD9" s="73"/>
      <c r="HE9" s="73"/>
      <c r="HF9" s="73">
        <v>499.1</v>
      </c>
      <c r="HG9" s="73">
        <v>486.5</v>
      </c>
      <c r="HH9" s="73">
        <v>490</v>
      </c>
      <c r="HI9" s="73">
        <v>481.8</v>
      </c>
      <c r="HJ9" s="73">
        <v>516.29999999999995</v>
      </c>
      <c r="HK9" s="73"/>
      <c r="HL9" s="73"/>
      <c r="HM9" s="73">
        <v>498.3</v>
      </c>
      <c r="HN9" s="73">
        <v>512.4</v>
      </c>
      <c r="HO9" s="73">
        <v>528</v>
      </c>
      <c r="HP9" s="73">
        <v>523</v>
      </c>
      <c r="HQ9" s="73">
        <v>520.20000000000005</v>
      </c>
      <c r="HR9" s="73"/>
      <c r="HS9" s="73"/>
      <c r="HT9" s="73">
        <v>465</v>
      </c>
      <c r="HU9" s="73">
        <v>452.6</v>
      </c>
      <c r="HV9" s="73">
        <v>437.8</v>
      </c>
      <c r="HW9" s="73">
        <v>441</v>
      </c>
      <c r="HX9" s="73">
        <v>450</v>
      </c>
      <c r="HY9" s="73"/>
      <c r="HZ9" s="73"/>
      <c r="IA9" s="73">
        <v>449.3</v>
      </c>
      <c r="IB9" s="73">
        <v>460</v>
      </c>
      <c r="IC9" s="73">
        <v>468.5</v>
      </c>
      <c r="ID9" s="73">
        <v>467</v>
      </c>
      <c r="IE9" s="73">
        <v>458.3</v>
      </c>
      <c r="IF9" s="73"/>
      <c r="IG9" s="73"/>
      <c r="IH9" s="73">
        <v>478.3</v>
      </c>
      <c r="II9" s="73">
        <v>480.1</v>
      </c>
      <c r="IJ9" s="79">
        <v>480.1</v>
      </c>
      <c r="IK9" s="73">
        <f>IL9+7.9</f>
        <v>460.09999999999997</v>
      </c>
      <c r="IL9" s="73">
        <v>452.2</v>
      </c>
      <c r="IM9" s="73"/>
      <c r="IN9" s="73"/>
      <c r="IO9" s="73">
        <v>452.2</v>
      </c>
      <c r="IP9" s="73">
        <v>437.9</v>
      </c>
      <c r="IQ9" s="73">
        <v>437.9</v>
      </c>
      <c r="IR9" s="73">
        <v>439.2</v>
      </c>
      <c r="IS9" s="73">
        <v>430.8</v>
      </c>
      <c r="IT9" s="73"/>
      <c r="IU9" s="73"/>
      <c r="IV9" s="73">
        <v>454.4</v>
      </c>
      <c r="IW9" s="73">
        <v>470.9</v>
      </c>
      <c r="IX9" s="73">
        <v>464.8</v>
      </c>
      <c r="IY9" s="73">
        <v>431</v>
      </c>
      <c r="IZ9" s="73">
        <v>432.5</v>
      </c>
      <c r="JA9" s="73"/>
      <c r="JB9" s="73"/>
      <c r="JC9" s="79">
        <v>437.4</v>
      </c>
      <c r="JD9" s="73">
        <v>437.4</v>
      </c>
      <c r="JE9" s="73">
        <v>450.1</v>
      </c>
      <c r="JF9" s="73">
        <v>454.3</v>
      </c>
      <c r="JG9" s="73">
        <v>446</v>
      </c>
      <c r="JH9" s="73"/>
      <c r="JI9" s="73"/>
      <c r="JJ9" s="73">
        <v>440.1</v>
      </c>
      <c r="JK9" s="73">
        <v>432.6</v>
      </c>
      <c r="JL9" s="73">
        <v>427</v>
      </c>
      <c r="JM9" s="79">
        <v>409</v>
      </c>
      <c r="JN9" s="73">
        <v>409</v>
      </c>
      <c r="JO9" s="73"/>
      <c r="JP9" s="73"/>
      <c r="JQ9" s="73">
        <v>403.2</v>
      </c>
      <c r="JR9" s="73">
        <v>408.9</v>
      </c>
      <c r="JS9" s="73">
        <v>408.8</v>
      </c>
      <c r="JT9" s="73">
        <v>405.7</v>
      </c>
      <c r="JU9" s="73">
        <v>399.7</v>
      </c>
      <c r="JV9" s="73"/>
      <c r="JW9" s="73"/>
      <c r="JX9" s="73">
        <v>407.3</v>
      </c>
      <c r="JY9" s="73">
        <v>410.4</v>
      </c>
      <c r="JZ9" s="73">
        <v>410.4</v>
      </c>
      <c r="KA9" s="73">
        <v>414.2</v>
      </c>
      <c r="KB9" s="73">
        <v>418.5</v>
      </c>
      <c r="KC9" s="73"/>
      <c r="KD9" s="73"/>
      <c r="KE9" s="73">
        <v>411.3</v>
      </c>
      <c r="KF9" s="73">
        <v>410.7</v>
      </c>
      <c r="KG9" s="73">
        <v>402.6</v>
      </c>
      <c r="KH9" s="73">
        <v>401.9</v>
      </c>
      <c r="KI9" s="73">
        <v>412.5</v>
      </c>
      <c r="KJ9" s="73"/>
      <c r="KK9" s="73"/>
      <c r="KL9" s="73">
        <v>417.9</v>
      </c>
      <c r="KM9" s="73">
        <v>408.7</v>
      </c>
      <c r="KN9" s="73">
        <v>415</v>
      </c>
      <c r="KO9" s="73">
        <v>409</v>
      </c>
      <c r="KP9" s="73">
        <v>415.2</v>
      </c>
      <c r="KQ9" s="73"/>
      <c r="KR9" s="73"/>
      <c r="KS9" s="73">
        <v>434</v>
      </c>
      <c r="KT9" s="73">
        <v>424.8</v>
      </c>
      <c r="KU9" s="73">
        <v>424.8</v>
      </c>
      <c r="KV9" s="73">
        <v>424.6</v>
      </c>
      <c r="KW9" s="73">
        <v>415</v>
      </c>
      <c r="KX9" s="73"/>
      <c r="KY9" s="73"/>
      <c r="KZ9" s="73">
        <v>419.6</v>
      </c>
      <c r="LA9" s="73">
        <v>419.1</v>
      </c>
      <c r="LB9" s="73">
        <v>419.3</v>
      </c>
      <c r="LC9" s="73">
        <v>419.3</v>
      </c>
      <c r="LD9" s="73">
        <v>404.3</v>
      </c>
      <c r="LE9" s="73"/>
      <c r="LF9" s="73"/>
      <c r="LG9" s="73">
        <v>407.9</v>
      </c>
      <c r="LH9" s="73">
        <v>406.1</v>
      </c>
      <c r="LI9" s="73">
        <v>409.9</v>
      </c>
      <c r="LJ9" s="73">
        <v>407.1</v>
      </c>
      <c r="LK9" s="73">
        <v>406.2</v>
      </c>
      <c r="LL9" s="73"/>
      <c r="LM9" s="73"/>
      <c r="LN9" s="73">
        <v>410.3</v>
      </c>
      <c r="LO9" s="73">
        <v>412</v>
      </c>
      <c r="LP9" s="73">
        <v>408.6</v>
      </c>
      <c r="LQ9" s="73">
        <v>408.6</v>
      </c>
      <c r="LR9" s="73">
        <v>409.7</v>
      </c>
      <c r="LS9" s="73"/>
      <c r="LT9" s="73"/>
      <c r="LU9" s="73">
        <v>408.8</v>
      </c>
      <c r="LV9" s="73">
        <v>412.8</v>
      </c>
      <c r="LW9" s="79">
        <v>412.8</v>
      </c>
      <c r="LX9" s="79">
        <v>418.7</v>
      </c>
      <c r="LY9" s="73">
        <v>418.7</v>
      </c>
      <c r="LZ9" s="73"/>
      <c r="MA9" s="73"/>
      <c r="MB9" s="73">
        <v>424.8</v>
      </c>
      <c r="MC9" s="73">
        <v>439.5</v>
      </c>
      <c r="MD9" s="73">
        <v>453.1</v>
      </c>
      <c r="ME9" s="73">
        <v>462</v>
      </c>
      <c r="MF9" s="73">
        <v>462</v>
      </c>
      <c r="MG9" s="73"/>
      <c r="MH9" s="73"/>
      <c r="MI9" s="73">
        <v>465.9</v>
      </c>
      <c r="MJ9" s="73">
        <v>453.1</v>
      </c>
      <c r="MK9" s="73">
        <v>456</v>
      </c>
      <c r="ML9" s="73">
        <v>459.5</v>
      </c>
      <c r="MM9" s="73">
        <v>455.8</v>
      </c>
      <c r="MN9" s="73"/>
      <c r="MO9" s="73"/>
      <c r="MP9" s="73">
        <v>461</v>
      </c>
      <c r="MQ9" s="73">
        <v>449.2</v>
      </c>
      <c r="MR9" s="73">
        <v>451.9</v>
      </c>
      <c r="MS9" s="73">
        <v>456</v>
      </c>
      <c r="MT9" s="73">
        <v>451.6</v>
      </c>
      <c r="MU9" s="73"/>
      <c r="MV9" s="73"/>
      <c r="MW9" s="73">
        <v>451.6</v>
      </c>
      <c r="MX9" s="73">
        <v>457</v>
      </c>
      <c r="MY9" s="73">
        <v>452.8</v>
      </c>
      <c r="MZ9" s="73">
        <v>465.5</v>
      </c>
      <c r="NA9" s="73">
        <v>465.5</v>
      </c>
      <c r="NB9" s="73"/>
    </row>
    <row r="10" spans="1:366" x14ac:dyDescent="0.25">
      <c r="A10" s="77" t="s">
        <v>19</v>
      </c>
      <c r="B10" s="54"/>
      <c r="C10" s="54"/>
      <c r="D10" s="54">
        <v>5621</v>
      </c>
      <c r="E10" s="54">
        <v>5814</v>
      </c>
      <c r="F10" s="54">
        <v>5826</v>
      </c>
      <c r="G10" s="54">
        <v>5878</v>
      </c>
      <c r="H10" s="54">
        <v>5863</v>
      </c>
      <c r="I10" s="54"/>
      <c r="J10" s="54"/>
      <c r="K10" s="54">
        <v>5789</v>
      </c>
      <c r="L10" s="54">
        <v>5889</v>
      </c>
      <c r="M10" s="54">
        <v>5928</v>
      </c>
      <c r="N10" s="54">
        <v>5881</v>
      </c>
      <c r="O10" s="54">
        <v>5815</v>
      </c>
      <c r="P10" s="54"/>
      <c r="Q10" s="54"/>
      <c r="R10" s="54">
        <v>5846</v>
      </c>
      <c r="S10" s="54">
        <v>5908</v>
      </c>
      <c r="T10" s="54">
        <v>6076</v>
      </c>
      <c r="U10" s="54">
        <v>6288</v>
      </c>
      <c r="V10" s="54">
        <v>6300</v>
      </c>
      <c r="W10" s="54"/>
      <c r="X10" s="54"/>
      <c r="Y10" s="54">
        <v>6197</v>
      </c>
      <c r="Z10" s="54">
        <v>6251</v>
      </c>
      <c r="AA10" s="54">
        <v>6393</v>
      </c>
      <c r="AB10" s="54">
        <v>6434</v>
      </c>
      <c r="AC10" s="54">
        <v>6527</v>
      </c>
      <c r="AD10" s="54"/>
      <c r="AE10" s="54"/>
      <c r="AF10" s="54">
        <v>6482</v>
      </c>
      <c r="AG10" s="54">
        <v>6583</v>
      </c>
      <c r="AH10" s="54">
        <v>6598</v>
      </c>
      <c r="AI10" s="54">
        <v>6575</v>
      </c>
      <c r="AJ10" s="54">
        <v>6536</v>
      </c>
      <c r="AK10" s="54"/>
      <c r="AL10" s="54"/>
      <c r="AM10" s="54">
        <v>6534</v>
      </c>
      <c r="AN10" s="54">
        <v>6335</v>
      </c>
      <c r="AO10" s="54">
        <v>6410</v>
      </c>
      <c r="AP10" s="54">
        <v>6451</v>
      </c>
      <c r="AQ10" s="54">
        <v>6572</v>
      </c>
      <c r="AR10" s="54"/>
      <c r="AS10" s="54"/>
      <c r="AT10" s="54">
        <v>6581</v>
      </c>
      <c r="AU10" s="54">
        <v>6563</v>
      </c>
      <c r="AV10" s="54">
        <v>6697</v>
      </c>
      <c r="AW10" s="54">
        <v>6681</v>
      </c>
      <c r="AX10" s="54">
        <v>6757</v>
      </c>
      <c r="AY10" s="54"/>
      <c r="AZ10" s="54"/>
      <c r="BA10" s="54">
        <v>6757</v>
      </c>
      <c r="BB10" s="54">
        <v>7015</v>
      </c>
      <c r="BC10" s="54">
        <v>7072</v>
      </c>
      <c r="BD10" s="54">
        <v>7200</v>
      </c>
      <c r="BE10" s="54">
        <v>6875</v>
      </c>
      <c r="BF10" s="54"/>
      <c r="BG10" s="54"/>
      <c r="BH10" s="54">
        <v>6875</v>
      </c>
      <c r="BI10" s="54">
        <v>6875</v>
      </c>
      <c r="BJ10" s="54">
        <v>6875</v>
      </c>
      <c r="BK10" s="54">
        <v>7830</v>
      </c>
      <c r="BL10" s="54">
        <v>7680</v>
      </c>
      <c r="BM10" s="54"/>
      <c r="BN10" s="54"/>
      <c r="BO10" s="54">
        <v>7815</v>
      </c>
      <c r="BP10" s="54">
        <v>7968</v>
      </c>
      <c r="BQ10" s="54">
        <v>8007</v>
      </c>
      <c r="BR10" s="54">
        <v>8085</v>
      </c>
      <c r="BS10" s="54">
        <v>8218</v>
      </c>
      <c r="BT10" s="54"/>
      <c r="BU10" s="54"/>
      <c r="BV10" s="54">
        <v>7873</v>
      </c>
      <c r="BW10" s="54">
        <v>7368</v>
      </c>
      <c r="BX10" s="54">
        <v>7355</v>
      </c>
      <c r="BY10" s="54">
        <v>7463</v>
      </c>
      <c r="BZ10" s="54">
        <v>7229</v>
      </c>
      <c r="CA10" s="54"/>
      <c r="CB10" s="54"/>
      <c r="CC10" s="54">
        <v>7371</v>
      </c>
      <c r="CD10" s="54">
        <v>7454</v>
      </c>
      <c r="CE10" s="54">
        <v>7597</v>
      </c>
      <c r="CF10" s="54">
        <v>7429</v>
      </c>
      <c r="CG10" s="54">
        <v>7475</v>
      </c>
      <c r="CH10" s="54"/>
      <c r="CI10" s="54"/>
      <c r="CJ10" s="54">
        <v>7245</v>
      </c>
      <c r="CK10" s="54">
        <v>7166</v>
      </c>
      <c r="CL10" s="54">
        <v>7222</v>
      </c>
      <c r="CM10" s="54">
        <v>6994</v>
      </c>
      <c r="CN10" s="54">
        <v>7120</v>
      </c>
      <c r="CO10" s="54"/>
      <c r="CP10" s="54"/>
      <c r="CQ10" s="54">
        <v>7234</v>
      </c>
      <c r="CR10" s="54">
        <v>7241</v>
      </c>
      <c r="CS10" s="54">
        <v>7183</v>
      </c>
      <c r="CT10" s="54">
        <v>7302</v>
      </c>
      <c r="CU10" s="54">
        <v>7512</v>
      </c>
      <c r="CV10" s="54"/>
      <c r="CW10" s="54"/>
      <c r="CX10" s="54">
        <v>7430</v>
      </c>
      <c r="CY10" s="54">
        <v>7543</v>
      </c>
      <c r="CZ10" s="54">
        <v>7811</v>
      </c>
      <c r="DA10" s="54">
        <v>7891</v>
      </c>
      <c r="DB10" s="54">
        <v>7891</v>
      </c>
      <c r="DC10" s="54"/>
      <c r="DD10" s="54"/>
      <c r="DE10" s="54">
        <v>7999</v>
      </c>
      <c r="DF10" s="54">
        <v>8021</v>
      </c>
      <c r="DG10" s="54">
        <v>8081</v>
      </c>
      <c r="DH10" s="54">
        <v>8081</v>
      </c>
      <c r="DI10" s="54">
        <v>8326</v>
      </c>
      <c r="DJ10" s="54"/>
      <c r="DK10" s="54"/>
      <c r="DL10" s="54">
        <v>8274</v>
      </c>
      <c r="DM10" s="54">
        <v>8529</v>
      </c>
      <c r="DN10" s="54">
        <v>8780</v>
      </c>
      <c r="DO10" s="54">
        <v>9060</v>
      </c>
      <c r="DP10" s="54">
        <v>8917</v>
      </c>
      <c r="DQ10" s="54"/>
      <c r="DR10" s="54"/>
      <c r="DS10" s="54">
        <v>8270</v>
      </c>
      <c r="DT10" s="54">
        <v>8430</v>
      </c>
      <c r="DU10" s="54">
        <v>8708</v>
      </c>
      <c r="DV10" s="54">
        <v>8650</v>
      </c>
      <c r="DW10" s="54">
        <v>8840</v>
      </c>
      <c r="DX10" s="54"/>
      <c r="DY10" s="54"/>
      <c r="DZ10" s="54">
        <v>8718</v>
      </c>
      <c r="EA10" s="54">
        <v>8796</v>
      </c>
      <c r="EB10" s="54">
        <v>8945</v>
      </c>
      <c r="EC10" s="54">
        <v>8852</v>
      </c>
      <c r="ED10" s="54">
        <v>8834</v>
      </c>
      <c r="EE10" s="54"/>
      <c r="EF10" s="54"/>
      <c r="EG10" s="54">
        <v>8299</v>
      </c>
      <c r="EH10" s="54">
        <v>8349</v>
      </c>
      <c r="EI10" s="54">
        <v>8055</v>
      </c>
      <c r="EJ10" s="54">
        <v>7953</v>
      </c>
      <c r="EK10" s="54">
        <v>8093</v>
      </c>
      <c r="EL10" s="54"/>
      <c r="EM10" s="54"/>
      <c r="EN10" s="54">
        <v>8047</v>
      </c>
      <c r="EO10" s="54">
        <v>8012</v>
      </c>
      <c r="EP10" s="54">
        <v>7892</v>
      </c>
      <c r="EQ10" s="54">
        <v>8052</v>
      </c>
      <c r="ER10" s="54">
        <v>7957</v>
      </c>
      <c r="ES10" s="54"/>
      <c r="ET10" s="54"/>
      <c r="EU10" s="54">
        <v>7957</v>
      </c>
      <c r="EV10" s="54">
        <v>7792</v>
      </c>
      <c r="EW10" s="54">
        <v>7811</v>
      </c>
      <c r="EX10" s="54">
        <v>8144</v>
      </c>
      <c r="EY10" s="54">
        <v>8185</v>
      </c>
      <c r="EZ10" s="54"/>
      <c r="FA10" s="54"/>
      <c r="FB10" s="54">
        <v>8119</v>
      </c>
      <c r="FC10" s="54">
        <v>8144</v>
      </c>
      <c r="FD10" s="54">
        <v>8294</v>
      </c>
      <c r="FE10" s="54">
        <v>8263</v>
      </c>
      <c r="FF10" s="54">
        <v>8081</v>
      </c>
      <c r="FG10" s="54"/>
      <c r="FH10" s="54"/>
      <c r="FI10" s="54">
        <v>7951</v>
      </c>
      <c r="FJ10" s="54">
        <v>7828</v>
      </c>
      <c r="FK10" s="54">
        <v>7767</v>
      </c>
      <c r="FL10" s="54">
        <v>7767</v>
      </c>
      <c r="FM10" s="54">
        <v>7379</v>
      </c>
      <c r="FN10" s="54"/>
      <c r="FO10" s="54"/>
      <c r="FP10" s="54">
        <v>7379</v>
      </c>
      <c r="FQ10" s="54">
        <v>7337</v>
      </c>
      <c r="FR10" s="54">
        <v>7066</v>
      </c>
      <c r="FS10" s="54">
        <v>6771</v>
      </c>
      <c r="FT10" s="54">
        <v>6975</v>
      </c>
      <c r="FU10" s="54"/>
      <c r="FV10" s="54"/>
      <c r="FW10" s="54">
        <v>7082</v>
      </c>
      <c r="FX10" s="54">
        <v>7209</v>
      </c>
      <c r="FY10" s="54">
        <v>7260</v>
      </c>
      <c r="FZ10" s="54">
        <v>6993</v>
      </c>
      <c r="GA10" s="54">
        <v>6568</v>
      </c>
      <c r="GB10" s="54"/>
      <c r="GC10" s="54"/>
      <c r="GD10" s="54">
        <v>6568</v>
      </c>
      <c r="GE10" s="54">
        <v>6052</v>
      </c>
      <c r="GF10" s="54">
        <v>6022</v>
      </c>
      <c r="GG10" s="54">
        <v>6317</v>
      </c>
      <c r="GH10" s="54">
        <v>6407</v>
      </c>
      <c r="GI10" s="54"/>
      <c r="GJ10" s="54"/>
      <c r="GK10" s="54">
        <v>6521</v>
      </c>
      <c r="GL10" s="54">
        <v>6141</v>
      </c>
      <c r="GM10" s="54">
        <v>6021</v>
      </c>
      <c r="GN10" s="54">
        <v>5980</v>
      </c>
      <c r="GO10" s="54">
        <v>6008</v>
      </c>
      <c r="GP10" s="54"/>
      <c r="GQ10" s="54"/>
      <c r="GR10" s="54">
        <v>6320</v>
      </c>
      <c r="GS10" s="54">
        <v>6189</v>
      </c>
      <c r="GT10" s="54">
        <v>6003</v>
      </c>
      <c r="GU10" s="54">
        <v>5860</v>
      </c>
      <c r="GV10" s="54">
        <v>6032</v>
      </c>
      <c r="GW10" s="54"/>
      <c r="GX10" s="54"/>
      <c r="GY10" s="54">
        <v>6001</v>
      </c>
      <c r="GZ10" s="54">
        <v>6042</v>
      </c>
      <c r="HA10" s="54">
        <v>6118</v>
      </c>
      <c r="HB10" s="54">
        <v>6584</v>
      </c>
      <c r="HC10" s="54">
        <v>6860</v>
      </c>
      <c r="HD10" s="54"/>
      <c r="HE10" s="54"/>
      <c r="HF10" s="54">
        <v>6623</v>
      </c>
      <c r="HG10" s="54">
        <v>6520</v>
      </c>
      <c r="HH10" s="54">
        <v>6508</v>
      </c>
      <c r="HI10" s="54">
        <v>6604</v>
      </c>
      <c r="HJ10" s="54">
        <v>6859</v>
      </c>
      <c r="HK10" s="54"/>
      <c r="HL10" s="54"/>
      <c r="HM10" s="54">
        <v>6920</v>
      </c>
      <c r="HN10" s="54">
        <v>6969</v>
      </c>
      <c r="HO10" s="54">
        <v>7056</v>
      </c>
      <c r="HP10" s="54">
        <v>7197</v>
      </c>
      <c r="HQ10" s="54">
        <v>7197</v>
      </c>
      <c r="HR10" s="54"/>
      <c r="HS10" s="54"/>
      <c r="HT10" s="54">
        <v>6894</v>
      </c>
      <c r="HU10" s="54">
        <v>6784</v>
      </c>
      <c r="HV10" s="54">
        <v>6741</v>
      </c>
      <c r="HW10" s="54">
        <v>6626</v>
      </c>
      <c r="HX10" s="54">
        <v>6790</v>
      </c>
      <c r="HY10" s="54"/>
      <c r="HZ10" s="54"/>
      <c r="IA10" s="54">
        <v>6877</v>
      </c>
      <c r="IB10" s="54">
        <v>6959</v>
      </c>
      <c r="IC10" s="54">
        <v>6877</v>
      </c>
      <c r="ID10" s="54">
        <v>6909</v>
      </c>
      <c r="IE10" s="54">
        <v>7082</v>
      </c>
      <c r="IF10" s="54"/>
      <c r="IG10" s="54"/>
      <c r="IH10" s="54">
        <v>7098</v>
      </c>
      <c r="II10" s="54">
        <v>7079</v>
      </c>
      <c r="IJ10" s="54">
        <v>7274</v>
      </c>
      <c r="IK10" s="54">
        <v>6852</v>
      </c>
      <c r="IL10" s="54">
        <v>7150</v>
      </c>
      <c r="IM10" s="54"/>
      <c r="IN10" s="54"/>
      <c r="IO10" s="54">
        <v>7150</v>
      </c>
      <c r="IP10" s="54">
        <v>6898</v>
      </c>
      <c r="IQ10" s="54">
        <v>6898</v>
      </c>
      <c r="IR10" s="54">
        <v>6886</v>
      </c>
      <c r="IS10" s="54">
        <v>7025</v>
      </c>
      <c r="IT10" s="54"/>
      <c r="IU10" s="54"/>
      <c r="IV10" s="54">
        <v>7192</v>
      </c>
      <c r="IW10" s="54">
        <v>7196</v>
      </c>
      <c r="IX10" s="54">
        <v>6851</v>
      </c>
      <c r="IY10" s="54">
        <v>6679</v>
      </c>
      <c r="IZ10" s="54">
        <v>6866</v>
      </c>
      <c r="JA10" s="54"/>
      <c r="JB10" s="54"/>
      <c r="JC10" s="54">
        <v>6800</v>
      </c>
      <c r="JD10" s="54">
        <v>6859</v>
      </c>
      <c r="JE10" s="54">
        <v>6783</v>
      </c>
      <c r="JF10" s="54">
        <v>6943</v>
      </c>
      <c r="JG10" s="54">
        <v>6700</v>
      </c>
      <c r="JH10" s="54"/>
      <c r="JI10" s="54"/>
      <c r="JJ10" s="54">
        <v>6611</v>
      </c>
      <c r="JK10" s="54">
        <v>6566</v>
      </c>
      <c r="JL10" s="54">
        <v>6552</v>
      </c>
      <c r="JM10" s="54">
        <v>6748</v>
      </c>
      <c r="JN10" s="54">
        <v>6535</v>
      </c>
      <c r="JO10" s="54"/>
      <c r="JP10" s="54"/>
      <c r="JQ10" s="54">
        <v>6688</v>
      </c>
      <c r="JR10" s="54">
        <v>6863</v>
      </c>
      <c r="JS10" s="54">
        <v>6902</v>
      </c>
      <c r="JT10" s="54">
        <v>6967</v>
      </c>
      <c r="JU10" s="54">
        <v>7008</v>
      </c>
      <c r="JV10" s="54"/>
      <c r="JW10" s="54"/>
      <c r="JX10" s="54">
        <v>6954</v>
      </c>
      <c r="JY10" s="54">
        <v>6898</v>
      </c>
      <c r="JZ10" s="54">
        <v>6898</v>
      </c>
      <c r="KA10" s="54">
        <v>7001</v>
      </c>
      <c r="KB10" s="54">
        <v>6957</v>
      </c>
      <c r="KC10" s="54"/>
      <c r="KD10" s="54"/>
      <c r="KE10" s="54">
        <v>6684</v>
      </c>
      <c r="KF10" s="54">
        <v>6874</v>
      </c>
      <c r="KG10" s="54">
        <v>7064</v>
      </c>
      <c r="KH10" s="54">
        <v>7042</v>
      </c>
      <c r="KI10" s="54">
        <v>7150</v>
      </c>
      <c r="KJ10" s="54"/>
      <c r="KK10" s="54"/>
      <c r="KL10" s="54">
        <v>7187</v>
      </c>
      <c r="KM10" s="54">
        <v>7228</v>
      </c>
      <c r="KN10" s="54">
        <v>7342</v>
      </c>
      <c r="KO10" s="54">
        <v>7230</v>
      </c>
      <c r="KP10" s="54">
        <v>7179</v>
      </c>
      <c r="KQ10" s="54"/>
      <c r="KR10" s="54"/>
      <c r="KS10" s="54">
        <v>7321</v>
      </c>
      <c r="KT10" s="54">
        <v>7337</v>
      </c>
      <c r="KU10" s="54">
        <v>7337</v>
      </c>
      <c r="KV10" s="54">
        <v>7529</v>
      </c>
      <c r="KW10" s="54">
        <v>7717</v>
      </c>
      <c r="KX10" s="54"/>
      <c r="KY10" s="54"/>
      <c r="KZ10" s="54">
        <v>7633</v>
      </c>
      <c r="LA10" s="54">
        <v>7503</v>
      </c>
      <c r="LB10" s="54">
        <v>7554</v>
      </c>
      <c r="LC10" s="54">
        <v>7609</v>
      </c>
      <c r="LD10" s="54">
        <v>7697</v>
      </c>
      <c r="LE10" s="54"/>
      <c r="LF10" s="54"/>
      <c r="LG10" s="54">
        <v>7628</v>
      </c>
      <c r="LH10" s="54">
        <v>7628</v>
      </c>
      <c r="LI10" s="54">
        <v>7408</v>
      </c>
      <c r="LJ10" s="54">
        <v>7213</v>
      </c>
      <c r="LK10" s="54">
        <v>7274</v>
      </c>
      <c r="LL10" s="54"/>
      <c r="LM10" s="54"/>
      <c r="LN10" s="54">
        <v>7300</v>
      </c>
      <c r="LO10" s="54">
        <v>7384</v>
      </c>
      <c r="LP10" s="54">
        <v>7491</v>
      </c>
      <c r="LQ10" s="54">
        <v>7491</v>
      </c>
      <c r="LR10" s="54">
        <v>7452</v>
      </c>
      <c r="LS10" s="54"/>
      <c r="LT10" s="54"/>
      <c r="LU10" s="54">
        <v>7606</v>
      </c>
      <c r="LV10" s="54">
        <v>7654</v>
      </c>
      <c r="LW10" s="54">
        <v>7523</v>
      </c>
      <c r="LX10" s="54">
        <v>6840</v>
      </c>
      <c r="LY10" s="54">
        <v>6759</v>
      </c>
      <c r="LZ10" s="54"/>
      <c r="MA10" s="54"/>
      <c r="MB10" s="54">
        <v>6490</v>
      </c>
      <c r="MC10" s="54">
        <v>6387</v>
      </c>
      <c r="MD10" s="54">
        <v>6315</v>
      </c>
      <c r="ME10" s="54">
        <v>6350</v>
      </c>
      <c r="MF10" s="54">
        <v>6220</v>
      </c>
      <c r="MG10" s="54"/>
      <c r="MH10" s="54"/>
      <c r="MI10" s="54">
        <v>6439</v>
      </c>
      <c r="MJ10" s="54">
        <v>6631</v>
      </c>
      <c r="MK10" s="54">
        <v>6631</v>
      </c>
      <c r="ML10" s="54">
        <v>6382</v>
      </c>
      <c r="MM10" s="54">
        <v>6336</v>
      </c>
      <c r="MN10" s="54"/>
      <c r="MO10" s="54"/>
      <c r="MP10" s="54">
        <v>6441</v>
      </c>
      <c r="MQ10" s="54">
        <v>6605</v>
      </c>
      <c r="MR10" s="54">
        <v>6631</v>
      </c>
      <c r="MS10" s="54">
        <v>6580</v>
      </c>
      <c r="MT10" s="54">
        <v>6593</v>
      </c>
      <c r="MU10" s="54"/>
      <c r="MV10" s="54"/>
      <c r="MW10" s="54">
        <v>6593</v>
      </c>
      <c r="MX10" s="54">
        <v>6765</v>
      </c>
      <c r="MY10" s="54">
        <v>6580</v>
      </c>
      <c r="MZ10" s="54">
        <v>6640</v>
      </c>
      <c r="NA10" s="54">
        <v>6640</v>
      </c>
      <c r="NB10" s="54"/>
    </row>
    <row r="11" spans="1:366" x14ac:dyDescent="0.25">
      <c r="A11" s="69" t="s">
        <v>79</v>
      </c>
      <c r="B11" s="55"/>
      <c r="C11" s="55"/>
      <c r="D11" s="55">
        <f>D10*0.220462</f>
        <v>1239.2169019999999</v>
      </c>
      <c r="E11" s="55">
        <f>E10*0.220462</f>
        <v>1281.7660679999999</v>
      </c>
      <c r="F11" s="55">
        <f>F10*0.220462</f>
        <v>1284.4116119999999</v>
      </c>
      <c r="G11" s="55">
        <f>G10*0.220462</f>
        <v>1295.875636</v>
      </c>
      <c r="H11" s="55">
        <f>H10*0.220462</f>
        <v>1292.568706</v>
      </c>
      <c r="I11" s="55"/>
      <c r="J11" s="55"/>
      <c r="K11" s="55">
        <f>K10*0.220462</f>
        <v>1276.254518</v>
      </c>
      <c r="L11" s="55">
        <f>L10*0.220462</f>
        <v>1298.300718</v>
      </c>
      <c r="M11" s="55">
        <f>M10*0.220462</f>
        <v>1306.8987359999999</v>
      </c>
      <c r="N11" s="55">
        <f>N10*0.220462</f>
        <v>1296.537022</v>
      </c>
      <c r="O11" s="55">
        <f>O10*0.220462</f>
        <v>1281.9865299999999</v>
      </c>
      <c r="P11" s="55"/>
      <c r="Q11" s="55"/>
      <c r="R11" s="55">
        <f>R10*0.220462</f>
        <v>1288.8208520000001</v>
      </c>
      <c r="S11" s="55">
        <f>S10*0.220462</f>
        <v>1302.4894959999999</v>
      </c>
      <c r="T11" s="55">
        <f>T10*0.220462</f>
        <v>1339.527112</v>
      </c>
      <c r="U11" s="55">
        <f>U10*0.220462</f>
        <v>1386.265056</v>
      </c>
      <c r="V11" s="55">
        <f>V10*0.220462</f>
        <v>1388.9105999999999</v>
      </c>
      <c r="W11" s="55"/>
      <c r="X11" s="55"/>
      <c r="Y11" s="55">
        <f>Y10*0.220462</f>
        <v>1366.2030139999999</v>
      </c>
      <c r="Z11" s="55">
        <f>Z10*0.220462</f>
        <v>1378.107962</v>
      </c>
      <c r="AA11" s="55">
        <f>AA10*0.220462</f>
        <v>1409.4135659999999</v>
      </c>
      <c r="AB11" s="55">
        <f>AB10*0.220462</f>
        <v>1418.4525079999999</v>
      </c>
      <c r="AC11" s="55">
        <f>AC10*0.220462</f>
        <v>1438.9554739999999</v>
      </c>
      <c r="AD11" s="55"/>
      <c r="AE11" s="55"/>
      <c r="AF11" s="55">
        <f>AF10*0.220462</f>
        <v>1429.034684</v>
      </c>
      <c r="AG11" s="55">
        <f>AG10*0.220462</f>
        <v>1451.301346</v>
      </c>
      <c r="AH11" s="55">
        <f>AH10*0.220462</f>
        <v>1454.6082759999999</v>
      </c>
      <c r="AI11" s="55">
        <f>AI10*0.220462</f>
        <v>1449.53765</v>
      </c>
      <c r="AJ11" s="55">
        <f>AJ10*0.220462</f>
        <v>1440.9396319999998</v>
      </c>
      <c r="AK11" s="55"/>
      <c r="AL11" s="55"/>
      <c r="AM11" s="55">
        <f>AM10*0.220462</f>
        <v>1440.4987079999999</v>
      </c>
      <c r="AN11" s="55">
        <f>AN10*0.220462</f>
        <v>1396.6267699999999</v>
      </c>
      <c r="AO11" s="55">
        <f>AO10*0.220462</f>
        <v>1413.1614199999999</v>
      </c>
      <c r="AP11" s="55">
        <f>AP10*0.220462</f>
        <v>1422.200362</v>
      </c>
      <c r="AQ11" s="55">
        <f>AQ10*0.220462</f>
        <v>1448.876264</v>
      </c>
      <c r="AR11" s="55"/>
      <c r="AS11" s="55"/>
      <c r="AT11" s="55">
        <f>AT10*0.220462</f>
        <v>1450.860422</v>
      </c>
      <c r="AU11" s="55">
        <f>AU10*0.220462</f>
        <v>1446.892106</v>
      </c>
      <c r="AV11" s="55">
        <f>AV10*0.220462</f>
        <v>1476.4340139999999</v>
      </c>
      <c r="AW11" s="55">
        <f>AW10*0.220462</f>
        <v>1472.906622</v>
      </c>
      <c r="AX11" s="55">
        <f>AX10*0.220462</f>
        <v>1489.661734</v>
      </c>
      <c r="AY11" s="55"/>
      <c r="AZ11" s="55"/>
      <c r="BA11" s="55">
        <f>BA10*0.220462</f>
        <v>1489.661734</v>
      </c>
      <c r="BB11" s="55">
        <f>BB10*0.220462</f>
        <v>1546.5409299999999</v>
      </c>
      <c r="BC11" s="55">
        <f>BC10*0.220462</f>
        <v>1559.107264</v>
      </c>
      <c r="BD11" s="55">
        <f>BD10*0.220462</f>
        <v>1587.3263999999999</v>
      </c>
      <c r="BE11" s="55">
        <f>BE10*0.220462</f>
        <v>1515.67625</v>
      </c>
      <c r="BF11" s="55"/>
      <c r="BG11" s="55"/>
      <c r="BH11" s="55">
        <f>BH10*0.220462</f>
        <v>1515.67625</v>
      </c>
      <c r="BI11" s="55">
        <f>BI10*0.220462</f>
        <v>1515.67625</v>
      </c>
      <c r="BJ11" s="55">
        <f>BJ10*0.220462</f>
        <v>1515.67625</v>
      </c>
      <c r="BK11" s="55">
        <f>BK10*0.220462</f>
        <v>1726.2174599999998</v>
      </c>
      <c r="BL11" s="55">
        <f>BL10*0.220462</f>
        <v>1693.14816</v>
      </c>
      <c r="BM11" s="55"/>
      <c r="BN11" s="55"/>
      <c r="BO11" s="55">
        <f>BO10*0.220462</f>
        <v>1722.9105299999999</v>
      </c>
      <c r="BP11" s="55">
        <f>BP10*0.220462</f>
        <v>1756.641216</v>
      </c>
      <c r="BQ11" s="55">
        <f>BQ10*0.220462</f>
        <v>1765.2392339999999</v>
      </c>
      <c r="BR11" s="55">
        <f>BR10*0.220462</f>
        <v>1782.4352699999999</v>
      </c>
      <c r="BS11" s="55">
        <f>BS10*0.220462</f>
        <v>1811.7567159999999</v>
      </c>
      <c r="BT11" s="55"/>
      <c r="BU11" s="55"/>
      <c r="BV11" s="55">
        <f>BV10*0.220462</f>
        <v>1735.697326</v>
      </c>
      <c r="BW11" s="55">
        <f>BW10*0.220462</f>
        <v>1624.364016</v>
      </c>
      <c r="BX11" s="55">
        <f>BX10*0.220462</f>
        <v>1621.49801</v>
      </c>
      <c r="BY11" s="55">
        <f>BY10*0.220462</f>
        <v>1645.307906</v>
      </c>
      <c r="BZ11" s="55">
        <f>BZ10*0.220462</f>
        <v>1593.7197979999999</v>
      </c>
      <c r="CA11" s="55"/>
      <c r="CB11" s="55"/>
      <c r="CC11" s="55">
        <f>CC10*0.220462</f>
        <v>1625.025402</v>
      </c>
      <c r="CD11" s="55">
        <f>CD10*0.220462</f>
        <v>1643.323748</v>
      </c>
      <c r="CE11" s="55">
        <f>CE10*0.220462</f>
        <v>1674.8498139999999</v>
      </c>
      <c r="CF11" s="55">
        <f>CF10*0.220462</f>
        <v>1637.8121979999999</v>
      </c>
      <c r="CG11" s="55">
        <f>CG10*0.220462</f>
        <v>1647.95345</v>
      </c>
      <c r="CH11" s="55"/>
      <c r="CI11" s="55"/>
      <c r="CJ11" s="55">
        <f>CJ10*0.220462</f>
        <v>1597.24719</v>
      </c>
      <c r="CK11" s="55">
        <f>CK10*0.220462</f>
        <v>1579.830692</v>
      </c>
      <c r="CL11" s="55">
        <f>CL10*0.220462</f>
        <v>1592.1765639999999</v>
      </c>
      <c r="CM11" s="55">
        <f>CM10*0.220462</f>
        <v>1541.9112279999999</v>
      </c>
      <c r="CN11" s="55">
        <f>CN10*0.220462</f>
        <v>1569.6894399999999</v>
      </c>
      <c r="CO11" s="55"/>
      <c r="CP11" s="55"/>
      <c r="CQ11" s="55">
        <f>CQ10*0.220462</f>
        <v>1594.8221079999998</v>
      </c>
      <c r="CR11" s="55">
        <f>CR10*0.220462</f>
        <v>1596.3653419999998</v>
      </c>
      <c r="CS11" s="55">
        <f>CS10*0.220462</f>
        <v>1583.578546</v>
      </c>
      <c r="CT11" s="55">
        <f>CT10*0.220462</f>
        <v>1609.8135239999999</v>
      </c>
      <c r="CU11" s="55">
        <f>CU10*0.220462</f>
        <v>1656.1105439999999</v>
      </c>
      <c r="CV11" s="55"/>
      <c r="CW11" s="55"/>
      <c r="CX11" s="55">
        <f>CX10*0.220462</f>
        <v>1638.0326599999999</v>
      </c>
      <c r="CY11" s="55">
        <f>CY10*0.220462</f>
        <v>1662.944866</v>
      </c>
      <c r="CZ11" s="55">
        <f>CZ10*0.220462</f>
        <v>1722.0286819999999</v>
      </c>
      <c r="DA11" s="55">
        <f>DA10*0.220462</f>
        <v>1739.6656419999999</v>
      </c>
      <c r="DB11" s="55">
        <f>DB10*0.220462</f>
        <v>1739.6656419999999</v>
      </c>
      <c r="DC11" s="55"/>
      <c r="DD11" s="55"/>
      <c r="DE11" s="55">
        <f>DE10*0.220462</f>
        <v>1763.4755379999999</v>
      </c>
      <c r="DF11" s="55">
        <f>DF10*0.220462</f>
        <v>1768.3257019999999</v>
      </c>
      <c r="DG11" s="55">
        <v>1781.553422</v>
      </c>
      <c r="DH11" s="55">
        <v>1781.553422</v>
      </c>
      <c r="DI11" s="55">
        <f>DI10*0.220462</f>
        <v>1835.5666119999999</v>
      </c>
      <c r="DJ11" s="55"/>
      <c r="DK11" s="55"/>
      <c r="DL11" s="55">
        <f>DL10*0.220462</f>
        <v>1824.102588</v>
      </c>
      <c r="DM11" s="55">
        <f>DM10*0.220462</f>
        <v>1880.3203979999998</v>
      </c>
      <c r="DN11" s="55">
        <f>DN10*0.220462</f>
        <v>1935.6563599999999</v>
      </c>
      <c r="DO11" s="55">
        <f>DO10*0.220462</f>
        <v>1997.38572</v>
      </c>
      <c r="DP11" s="55">
        <f>DP10*0.220462</f>
        <v>1965.8596539999999</v>
      </c>
      <c r="DQ11" s="55"/>
      <c r="DR11" s="55"/>
      <c r="DS11" s="55">
        <f>DS10*0.220462</f>
        <v>1823.22074</v>
      </c>
      <c r="DT11" s="55">
        <f>DT10*0.220462</f>
        <v>1858.4946599999998</v>
      </c>
      <c r="DU11" s="55">
        <f>DU10*0.220462</f>
        <v>1919.7830959999999</v>
      </c>
      <c r="DV11" s="55">
        <f>DV10*0.220462</f>
        <v>1906.9963</v>
      </c>
      <c r="DW11" s="55">
        <f>DW10*0.220462</f>
        <v>1948.8840799999998</v>
      </c>
      <c r="DX11" s="55"/>
      <c r="DY11" s="55"/>
      <c r="DZ11" s="55">
        <f>DZ10*0.220462</f>
        <v>1921.9877159999999</v>
      </c>
      <c r="EA11" s="55">
        <f>EA10*0.220462</f>
        <v>1939.1837519999999</v>
      </c>
      <c r="EB11" s="55">
        <f>EB10*0.220462</f>
        <v>1972.03259</v>
      </c>
      <c r="EC11" s="55">
        <f>EC10*0.220462</f>
        <v>1951.529624</v>
      </c>
      <c r="ED11" s="55">
        <f>ED10*0.220462</f>
        <v>1947.5613079999998</v>
      </c>
      <c r="EE11" s="55"/>
      <c r="EF11" s="55"/>
      <c r="EG11" s="55">
        <f>EG10*0.220462</f>
        <v>1829.6141379999999</v>
      </c>
      <c r="EH11" s="55">
        <f>EH10*0.220462</f>
        <v>1840.637238</v>
      </c>
      <c r="EI11" s="55">
        <f>EI10*0.220462</f>
        <v>1775.82141</v>
      </c>
      <c r="EJ11" s="55">
        <f>EJ10*0.220462</f>
        <v>1753.334286</v>
      </c>
      <c r="EK11" s="55">
        <f>EK10*0.220462</f>
        <v>1784.1989659999999</v>
      </c>
      <c r="EL11" s="55"/>
      <c r="EM11" s="55"/>
      <c r="EN11" s="55">
        <f>EN10*0.220462</f>
        <v>1774.057714</v>
      </c>
      <c r="EO11" s="55">
        <f>EO10*0.220462</f>
        <v>1766.3415439999999</v>
      </c>
      <c r="EP11" s="55">
        <f>EP10*0.220462</f>
        <v>1739.8861039999999</v>
      </c>
      <c r="EQ11" s="55">
        <f>EQ10*0.220462</f>
        <v>1775.160024</v>
      </c>
      <c r="ER11" s="55">
        <f>ER10*0.220462</f>
        <v>1754.216134</v>
      </c>
      <c r="ES11" s="55"/>
      <c r="ET11" s="55"/>
      <c r="EU11" s="55">
        <f>EU10*0.220462</f>
        <v>1754.216134</v>
      </c>
      <c r="EV11" s="55">
        <f>EV10*0.220462</f>
        <v>1717.8399039999999</v>
      </c>
      <c r="EW11" s="55">
        <f>EW10*0.220462</f>
        <v>1722.0286819999999</v>
      </c>
      <c r="EX11" s="55">
        <f>EX10*0.220462</f>
        <v>1795.442528</v>
      </c>
      <c r="EY11" s="55">
        <f>EY10*0.220462</f>
        <v>1804.4814699999999</v>
      </c>
      <c r="EZ11" s="55"/>
      <c r="FA11" s="55"/>
      <c r="FB11" s="55">
        <f>FB10*0.220462</f>
        <v>1789.9309779999999</v>
      </c>
      <c r="FC11" s="55">
        <f>FC10*0.220462</f>
        <v>1795.442528</v>
      </c>
      <c r="FD11" s="55">
        <f>FD10*0.220462</f>
        <v>1828.5118279999999</v>
      </c>
      <c r="FE11" s="55">
        <f>FE10*0.220462</f>
        <v>1821.677506</v>
      </c>
      <c r="FF11" s="55">
        <f>FF10*0.220462</f>
        <v>1781.553422</v>
      </c>
      <c r="FG11" s="55"/>
      <c r="FH11" s="55"/>
      <c r="FI11" s="55">
        <f>FI10*0.220462</f>
        <v>1752.893362</v>
      </c>
      <c r="FJ11" s="55">
        <f>FJ10*0.220462</f>
        <v>1725.7765359999999</v>
      </c>
      <c r="FK11" s="55">
        <f>FK10*0.220462</f>
        <v>1712.328354</v>
      </c>
      <c r="FL11" s="55">
        <f>FL10*0.220462</f>
        <v>1712.328354</v>
      </c>
      <c r="FM11" s="55">
        <f>FM10*0.220462</f>
        <v>1626.789098</v>
      </c>
      <c r="FN11" s="55"/>
      <c r="FO11" s="55"/>
      <c r="FP11" s="55">
        <f>FP10*0.220462</f>
        <v>1626.789098</v>
      </c>
      <c r="FQ11" s="55">
        <f>FQ10*0.220462</f>
        <v>1617.5296939999998</v>
      </c>
      <c r="FR11" s="55">
        <f>FR10*0.220462</f>
        <v>1557.784492</v>
      </c>
      <c r="FS11" s="55">
        <f>FS10*0.220462</f>
        <v>1492.748202</v>
      </c>
      <c r="FT11" s="55">
        <f>FT10*0.220462</f>
        <v>1537.72245</v>
      </c>
      <c r="FU11" s="55"/>
      <c r="FV11" s="55"/>
      <c r="FW11" s="55">
        <f>FW10*0.220462</f>
        <v>1561.311884</v>
      </c>
      <c r="FX11" s="55">
        <f>FX10*0.220462</f>
        <v>1589.3105579999999</v>
      </c>
      <c r="FY11" s="55">
        <f>FY10*0.220462</f>
        <v>1600.55412</v>
      </c>
      <c r="FZ11" s="55">
        <f>FZ10*0.220462</f>
        <v>1541.6907659999999</v>
      </c>
      <c r="GA11" s="55">
        <f>GA10*0.220462</f>
        <v>1447.994416</v>
      </c>
      <c r="GB11" s="55"/>
      <c r="GC11" s="55"/>
      <c r="GD11" s="55">
        <f>GD10*0.220462</f>
        <v>1447.994416</v>
      </c>
      <c r="GE11" s="55">
        <f>GE10*0.220462</f>
        <v>1334.236024</v>
      </c>
      <c r="GF11" s="55">
        <f>GF10*0.220462</f>
        <v>1327.6221639999999</v>
      </c>
      <c r="GG11" s="55">
        <f>GG10*0.220462</f>
        <v>1392.6584539999999</v>
      </c>
      <c r="GH11" s="55">
        <f>GH10*0.220462</f>
        <v>1412.5000339999999</v>
      </c>
      <c r="GI11" s="55"/>
      <c r="GJ11" s="55"/>
      <c r="GK11" s="55">
        <f>GK10*0.220462</f>
        <v>1437.6327019999999</v>
      </c>
      <c r="GL11" s="55">
        <f>GL10*0.220462</f>
        <v>1353.8571419999998</v>
      </c>
      <c r="GM11" s="55">
        <f>GM10*0.220462</f>
        <v>1327.4017019999999</v>
      </c>
      <c r="GN11" s="55">
        <f>GN10*0.220462</f>
        <v>1318.36276</v>
      </c>
      <c r="GO11" s="55">
        <f>GO10*0.220462</f>
        <v>1324.5356959999999</v>
      </c>
      <c r="GP11" s="55"/>
      <c r="GQ11" s="55"/>
      <c r="GR11" s="55">
        <f>GR10*0.220462</f>
        <v>1393.3198399999999</v>
      </c>
      <c r="GS11" s="55">
        <f>GS10*0.220462</f>
        <v>1364.439318</v>
      </c>
      <c r="GT11" s="55">
        <f>GT10*0.220462</f>
        <v>1323.4333859999999</v>
      </c>
      <c r="GU11" s="55">
        <f>GU10*0.220462</f>
        <v>1291.90732</v>
      </c>
      <c r="GV11" s="55">
        <f>GV10*0.220462</f>
        <v>1329.8267839999999</v>
      </c>
      <c r="GW11" s="55"/>
      <c r="GX11" s="55"/>
      <c r="GY11" s="55">
        <f>GY10*0.220462</f>
        <v>1322.9924619999999</v>
      </c>
      <c r="GZ11" s="55">
        <f>GZ10*0.220462</f>
        <v>1332.0314039999998</v>
      </c>
      <c r="HA11" s="55">
        <f>HA10*0.220462</f>
        <v>1348.7865159999999</v>
      </c>
      <c r="HB11" s="55">
        <f>HB10*0.220462</f>
        <v>1451.521808</v>
      </c>
      <c r="HC11" s="55">
        <f>HC10*0.220462</f>
        <v>1512.36932</v>
      </c>
      <c r="HD11" s="55"/>
      <c r="HE11" s="55"/>
      <c r="HF11" s="55">
        <f>HF10*0.220462</f>
        <v>1460.1198259999999</v>
      </c>
      <c r="HG11" s="55">
        <f>HG10*0.220462</f>
        <v>1437.4122399999999</v>
      </c>
      <c r="HH11" s="55">
        <f>HH10*0.220462</f>
        <v>1434.7666959999999</v>
      </c>
      <c r="HI11" s="55">
        <f>HI10*0.220462</f>
        <v>1455.9310479999999</v>
      </c>
      <c r="HJ11" s="55">
        <f>HJ10*0.220462</f>
        <v>1512.148858</v>
      </c>
      <c r="HK11" s="55"/>
      <c r="HL11" s="55"/>
      <c r="HM11" s="55">
        <f>HM10*0.220462</f>
        <v>1525.5970399999999</v>
      </c>
      <c r="HN11" s="55">
        <f>HN10*0.220462</f>
        <v>1536.399678</v>
      </c>
      <c r="HO11" s="55">
        <f>HO10*0.220462</f>
        <v>1555.579872</v>
      </c>
      <c r="HP11" s="55">
        <f>HP10*0.220462</f>
        <v>1586.6650139999999</v>
      </c>
      <c r="HQ11" s="55">
        <f>HQ10*0.220462</f>
        <v>1586.6650139999999</v>
      </c>
      <c r="HR11" s="55"/>
      <c r="HS11" s="55"/>
      <c r="HT11" s="55">
        <f>HT10*0.220462</f>
        <v>1519.8650279999999</v>
      </c>
      <c r="HU11" s="55">
        <f>HU10*0.220462</f>
        <v>1495.614208</v>
      </c>
      <c r="HV11" s="55">
        <f>HV10*0.220462</f>
        <v>1486.1343419999998</v>
      </c>
      <c r="HW11" s="55">
        <f>HW10*0.220462</f>
        <v>1460.7812119999999</v>
      </c>
      <c r="HX11" s="55">
        <f>HX10*0.220462</f>
        <v>1496.9369799999999</v>
      </c>
      <c r="HY11" s="55"/>
      <c r="HZ11" s="55"/>
      <c r="IA11" s="55">
        <f>IA10*0.220462</f>
        <v>1516.117174</v>
      </c>
      <c r="IB11" s="55">
        <f>IB10*0.220462</f>
        <v>1534.195058</v>
      </c>
      <c r="IC11" s="55">
        <f>IC10*0.220462</f>
        <v>1516.117174</v>
      </c>
      <c r="ID11" s="55">
        <f>ID10*0.220462</f>
        <v>1523.1719579999999</v>
      </c>
      <c r="IE11" s="55">
        <f>IE10*0.220462</f>
        <v>1561.311884</v>
      </c>
      <c r="IF11" s="55"/>
      <c r="IG11" s="55"/>
      <c r="IH11" s="55">
        <f>IH10*0.220462</f>
        <v>1564.8392759999999</v>
      </c>
      <c r="II11" s="55">
        <f>II10*0.220462</f>
        <v>1560.650498</v>
      </c>
      <c r="IJ11" s="55">
        <f>IJ10*0.220462</f>
        <v>1603.640588</v>
      </c>
      <c r="IK11" s="55">
        <f>IK10*0.220462</f>
        <v>1510.605624</v>
      </c>
      <c r="IL11" s="55">
        <f>IL10*0.220462</f>
        <v>1576.3033</v>
      </c>
      <c r="IM11" s="55"/>
      <c r="IN11" s="55"/>
      <c r="IO11" s="55">
        <f>IO10*0.220462</f>
        <v>1576.3033</v>
      </c>
      <c r="IP11" s="55">
        <f>IP10*0.220462</f>
        <v>1520.7468759999999</v>
      </c>
      <c r="IQ11" s="55">
        <v>1520.7468759999999</v>
      </c>
      <c r="IR11" s="55">
        <f>IR10*0.220462</f>
        <v>1518.101332</v>
      </c>
      <c r="IS11" s="55">
        <f>IS10*0.220462</f>
        <v>1548.7455499999999</v>
      </c>
      <c r="IT11" s="55"/>
      <c r="IU11" s="55"/>
      <c r="IV11" s="55">
        <f>IV10*0.220462</f>
        <v>1585.5627039999999</v>
      </c>
      <c r="IW11" s="55">
        <f>IW10*0.220462</f>
        <v>1586.4445519999999</v>
      </c>
      <c r="IX11" s="55">
        <f>IX10*0.220462</f>
        <v>1510.385162</v>
      </c>
      <c r="IY11" s="55">
        <f>IY10*0.220462</f>
        <v>1472.465698</v>
      </c>
      <c r="IZ11" s="55">
        <f>IZ10*0.220462</f>
        <v>1513.692092</v>
      </c>
      <c r="JA11" s="55"/>
      <c r="JB11" s="55"/>
      <c r="JC11" s="55">
        <f>JC10*0.220462</f>
        <v>1499.1415999999999</v>
      </c>
      <c r="JD11" s="55">
        <f>JD10*0.220462</f>
        <v>1512.148858</v>
      </c>
      <c r="JE11" s="55">
        <f>JE10*0.220462</f>
        <v>1495.393746</v>
      </c>
      <c r="JF11" s="55">
        <f>JF10*0.220462</f>
        <v>1530.6676659999998</v>
      </c>
      <c r="JG11" s="55">
        <f>JG10*0.220462</f>
        <v>1477.0953999999999</v>
      </c>
      <c r="JH11" s="55"/>
      <c r="JI11" s="55"/>
      <c r="JJ11" s="55">
        <f>JJ10*0.220462</f>
        <v>1457.4742819999999</v>
      </c>
      <c r="JK11" s="55">
        <f>JK10*0.220462</f>
        <v>1447.553492</v>
      </c>
      <c r="JL11" s="55">
        <f>JL10*0.220462</f>
        <v>1444.467024</v>
      </c>
      <c r="JM11" s="55">
        <f>JM10*0.220462</f>
        <v>1487.677576</v>
      </c>
      <c r="JN11" s="55">
        <f>JN10*0.220462</f>
        <v>1440.7191699999998</v>
      </c>
      <c r="JO11" s="55"/>
      <c r="JP11" s="55"/>
      <c r="JQ11" s="55">
        <f>JQ10*0.220462</f>
        <v>1474.449856</v>
      </c>
      <c r="JR11" s="55">
        <f>JR10*0.220462</f>
        <v>1513.030706</v>
      </c>
      <c r="JS11" s="55">
        <f>JS10*0.220462</f>
        <v>1521.6287239999999</v>
      </c>
      <c r="JT11" s="55">
        <f>JT10*0.220462</f>
        <v>1535.958754</v>
      </c>
      <c r="JU11" s="55">
        <f>JU10*0.220462</f>
        <v>1544.9976959999999</v>
      </c>
      <c r="JV11" s="55"/>
      <c r="JW11" s="55"/>
      <c r="JX11" s="55">
        <f>JX10*0.220462</f>
        <v>1533.092748</v>
      </c>
      <c r="JY11" s="55">
        <f>JY10*0.220462</f>
        <v>1520.7468759999999</v>
      </c>
      <c r="JZ11" s="55">
        <v>1520.7468759999999</v>
      </c>
      <c r="KA11" s="55">
        <f>KA10*0.220462</f>
        <v>1543.4544619999999</v>
      </c>
      <c r="KB11" s="55">
        <f>KB10*0.220462</f>
        <v>1533.754134</v>
      </c>
      <c r="KC11" s="55"/>
      <c r="KD11" s="55"/>
      <c r="KE11" s="55">
        <f>KE10*0.220462</f>
        <v>1473.568008</v>
      </c>
      <c r="KF11" s="55">
        <f>KF10*0.220462</f>
        <v>1515.455788</v>
      </c>
      <c r="KG11" s="55">
        <f>KG10*0.220462</f>
        <v>1557.343568</v>
      </c>
      <c r="KH11" s="55">
        <f>KH10*0.220462</f>
        <v>1552.4934039999998</v>
      </c>
      <c r="KI11" s="55">
        <f>KI10*0.220462</f>
        <v>1576.3033</v>
      </c>
      <c r="KJ11" s="55"/>
      <c r="KK11" s="55"/>
      <c r="KL11" s="55">
        <f>KL10*0.220462</f>
        <v>1584.460394</v>
      </c>
      <c r="KM11" s="55">
        <f>KM10*0.220462</f>
        <v>1593.4993359999999</v>
      </c>
      <c r="KN11" s="55">
        <f>KN10*0.220462</f>
        <v>1618.6320039999998</v>
      </c>
      <c r="KO11" s="55">
        <f>KO10*0.220462</f>
        <v>1593.9402599999999</v>
      </c>
      <c r="KP11" s="55">
        <f>KP10*0.220462</f>
        <v>1582.696698</v>
      </c>
      <c r="KQ11" s="55"/>
      <c r="KR11" s="55"/>
      <c r="KS11" s="55">
        <f>KS10*0.220462</f>
        <v>1614.0023019999999</v>
      </c>
      <c r="KT11" s="55">
        <f>KT10*0.220462</f>
        <v>1617.5296939999998</v>
      </c>
      <c r="KU11" s="55">
        <v>1617.5296939999998</v>
      </c>
      <c r="KV11" s="55">
        <f>KV10*0.220462</f>
        <v>1659.8583979999999</v>
      </c>
      <c r="KW11" s="55">
        <f>KW10*0.220462</f>
        <v>1701.3052539999999</v>
      </c>
      <c r="KX11" s="55"/>
      <c r="KY11" s="55"/>
      <c r="KZ11" s="55">
        <f>KZ10*0.220462</f>
        <v>1682.7864459999998</v>
      </c>
      <c r="LA11" s="55">
        <f>LA10*0.220462</f>
        <v>1654.1263859999999</v>
      </c>
      <c r="LB11" s="55">
        <f>LB10*0.220462</f>
        <v>1665.369948</v>
      </c>
      <c r="LC11" s="55">
        <f>LC10*0.220462</f>
        <v>1677.4953579999999</v>
      </c>
      <c r="LD11" s="55">
        <f>LD10*0.220462</f>
        <v>1696.8960139999999</v>
      </c>
      <c r="LE11" s="55"/>
      <c r="LF11" s="55"/>
      <c r="LG11" s="55">
        <f>LG10*0.220462</f>
        <v>1681.6841359999999</v>
      </c>
      <c r="LH11" s="55">
        <f>LH10*0.220462</f>
        <v>1681.6841359999999</v>
      </c>
      <c r="LI11" s="55">
        <f>LI10*0.220462</f>
        <v>1633.1824959999999</v>
      </c>
      <c r="LJ11" s="55">
        <f>LJ10*0.220462</f>
        <v>1590.1924059999999</v>
      </c>
      <c r="LK11" s="55">
        <f>LK10*0.220462</f>
        <v>1603.640588</v>
      </c>
      <c r="LL11" s="55"/>
      <c r="LM11" s="55"/>
      <c r="LN11" s="55">
        <f>LN10*0.220462</f>
        <v>1609.3725999999999</v>
      </c>
      <c r="LO11" s="55">
        <f>LO10*0.220462</f>
        <v>1627.891408</v>
      </c>
      <c r="LP11" s="55">
        <f>LP10*0.220462</f>
        <v>1651.4808419999999</v>
      </c>
      <c r="LQ11" s="55">
        <f>LQ10*0.220462</f>
        <v>1651.4808419999999</v>
      </c>
      <c r="LR11" s="55">
        <f>LR10*0.220462</f>
        <v>1642.882824</v>
      </c>
      <c r="LS11" s="55"/>
      <c r="LT11" s="55"/>
      <c r="LU11" s="55">
        <f>LU10*0.220462</f>
        <v>1676.8339719999999</v>
      </c>
      <c r="LV11" s="55">
        <f>LV10*0.220462</f>
        <v>1687.416148</v>
      </c>
      <c r="LW11" s="55">
        <f>LW10*0.220462</f>
        <v>1658.5356259999999</v>
      </c>
      <c r="LX11" s="55">
        <f>LX10*0.220462</f>
        <v>1507.9600799999998</v>
      </c>
      <c r="LY11" s="55">
        <f>LY10*0.220462</f>
        <v>1490.102658</v>
      </c>
      <c r="LZ11" s="55"/>
      <c r="MA11" s="55"/>
      <c r="MB11" s="55">
        <f>MB10*0.220462</f>
        <v>1430.79838</v>
      </c>
      <c r="MC11" s="55">
        <f>MC10*0.220462</f>
        <v>1408.090794</v>
      </c>
      <c r="MD11" s="55">
        <f>MD10*0.220462</f>
        <v>1392.2175299999999</v>
      </c>
      <c r="ME11" s="55">
        <f>ME10*0.220462</f>
        <v>1399.9337</v>
      </c>
      <c r="MF11" s="55">
        <f>MF10*0.220462</f>
        <v>1371.2736399999999</v>
      </c>
      <c r="MG11" s="55"/>
      <c r="MH11" s="55"/>
      <c r="MI11" s="55">
        <f>MI10*0.220462</f>
        <v>1419.5548179999998</v>
      </c>
      <c r="MJ11" s="55">
        <f>MJ10*0.220462</f>
        <v>1461.8835219999999</v>
      </c>
      <c r="MK11" s="55">
        <f>MK10*0.220462</f>
        <v>1461.8835219999999</v>
      </c>
      <c r="ML11" s="55">
        <f>ML10*0.220462</f>
        <v>1406.988484</v>
      </c>
      <c r="MM11" s="55">
        <f>MM10*0.220462</f>
        <v>1396.8472319999998</v>
      </c>
      <c r="MN11" s="55"/>
      <c r="MO11" s="55"/>
      <c r="MP11" s="55">
        <f>MP10*0.220462</f>
        <v>1419.9957419999998</v>
      </c>
      <c r="MQ11" s="55">
        <f>MQ10*0.220462</f>
        <v>1456.1515099999999</v>
      </c>
      <c r="MR11" s="55">
        <f>MR10*0.220462</f>
        <v>1461.8835219999999</v>
      </c>
      <c r="MS11" s="55">
        <f>MS10*0.220462</f>
        <v>1450.63996</v>
      </c>
      <c r="MT11" s="55">
        <f>MT10*0.220462</f>
        <v>1453.5059659999999</v>
      </c>
      <c r="MU11" s="55"/>
      <c r="MV11" s="55"/>
      <c r="MW11" s="55">
        <f>MW10*0.220462</f>
        <v>1453.5059659999999</v>
      </c>
      <c r="MX11" s="55">
        <f>MX10*0.220462</f>
        <v>1491.42543</v>
      </c>
      <c r="MY11" s="55">
        <f>MY10*0.220462</f>
        <v>1450.63996</v>
      </c>
      <c r="MZ11" s="55">
        <f>MZ10*0.220462</f>
        <v>1463.8676799999998</v>
      </c>
      <c r="NA11" s="55">
        <f>NA10*0.220462</f>
        <v>1463.8676799999998</v>
      </c>
      <c r="NB11" s="55"/>
    </row>
    <row r="12" spans="1:366" x14ac:dyDescent="0.25">
      <c r="A12" s="36" t="s">
        <v>36</v>
      </c>
      <c r="B12" s="54"/>
      <c r="C12" s="54"/>
      <c r="D12" s="54">
        <f>IFERROR(D11/D2,0)</f>
        <v>15.690262116991642</v>
      </c>
      <c r="E12" s="54">
        <f>IFERROR(E11/E2,0)</f>
        <v>16.02207585</v>
      </c>
      <c r="F12" s="54">
        <f>IFERROR(F11/F2,0)</f>
        <v>15.896183316831682</v>
      </c>
      <c r="G12" s="54">
        <f>IFERROR(G11/G2,0)</f>
        <v>15.80528888888889</v>
      </c>
      <c r="H12" s="54">
        <f>IFERROR(H11/H2,0)</f>
        <v>15.811237993883791</v>
      </c>
      <c r="I12" s="54"/>
      <c r="J12" s="54"/>
      <c r="K12" s="54">
        <f>IFERROR(K11/K2,0)</f>
        <v>15.781557042166439</v>
      </c>
      <c r="L12" s="54">
        <f>IFERROR(L11/L2,0)</f>
        <v>15.507653105590062</v>
      </c>
      <c r="M12" s="54">
        <f>IFERROR(M11/M2,0)</f>
        <v>15.435204157316639</v>
      </c>
      <c r="N12" s="54">
        <f>IFERROR(N11/N2,0)</f>
        <v>15.349082774949686</v>
      </c>
      <c r="O12" s="54">
        <f>IFERROR(O11/O2,0)</f>
        <v>14.896427260051125</v>
      </c>
      <c r="P12" s="54"/>
      <c r="Q12" s="54"/>
      <c r="R12" s="54">
        <f>IFERROR(R11/R2,0)</f>
        <v>14.97584071577969</v>
      </c>
      <c r="S12" s="54">
        <f>IFERROR(S11/S2,0)</f>
        <v>14.883893223631583</v>
      </c>
      <c r="T12" s="54">
        <f>IFERROR(T11/T2,0)</f>
        <v>15.141032123883802</v>
      </c>
      <c r="U12" s="54">
        <f>IFERROR(U11/U2,0)</f>
        <v>15.685280108621861</v>
      </c>
      <c r="V12" s="54">
        <f>IFERROR(V11/V2,0)</f>
        <v>15.802828535669587</v>
      </c>
      <c r="W12" s="54"/>
      <c r="X12" s="37"/>
      <c r="Y12" s="54">
        <f>IFERROR(Y11/Y2,0)</f>
        <v>15.836362744870755</v>
      </c>
      <c r="Z12" s="54">
        <f>IFERROR(Z11/Z2,0)</f>
        <v>15.624806825396826</v>
      </c>
      <c r="AA12" s="54">
        <f>IFERROR(AA11/AA2,0)</f>
        <v>15.667113895064473</v>
      </c>
      <c r="AB12" s="54">
        <f>IFERROR(AB11/AB2,0)</f>
        <v>15.877014864562344</v>
      </c>
      <c r="AC12" s="54">
        <f>IFERROR(AC11/AC2,0)</f>
        <v>15.983066466733309</v>
      </c>
      <c r="AD12" s="37"/>
      <c r="AE12" s="37"/>
      <c r="AF12" s="54">
        <f>IFERROR(AF11/AF2,0)</f>
        <v>15.87287219815617</v>
      </c>
      <c r="AG12" s="54">
        <f>IFERROR(AG11/AG2,0)</f>
        <v>16.120197112073754</v>
      </c>
      <c r="AH12" s="54">
        <f>IFERROR(AH11/AH2,0)</f>
        <v>16.258056063484968</v>
      </c>
      <c r="AI12" s="54">
        <f>IFERROR(AI11/AI2,0)</f>
        <v>15.909753594556031</v>
      </c>
      <c r="AJ12" s="54">
        <f>IFERROR(AJ11/AJ2,0)</f>
        <v>15.449122247239197</v>
      </c>
      <c r="AK12" s="37"/>
      <c r="AL12" s="37"/>
      <c r="AM12" s="54">
        <f>IFERROR(AM11/AM2,0)</f>
        <v>15.54103687560686</v>
      </c>
      <c r="AN12" s="54">
        <f>IFERROR(AN11/AN2,0)</f>
        <v>15.384740801938751</v>
      </c>
      <c r="AO12" s="54">
        <f>IFERROR(AO11/AO2,0)</f>
        <v>15.435952157291098</v>
      </c>
      <c r="AP12" s="54">
        <f>IFERROR(AP11/AP2,0)</f>
        <v>15.558476774969916</v>
      </c>
      <c r="AQ12" s="54">
        <f>IFERROR(AQ11/AQ2,0)</f>
        <v>15.341764760694621</v>
      </c>
      <c r="AR12" s="37"/>
      <c r="AS12" s="37"/>
      <c r="AT12" s="54">
        <f>IFERROR(AT11/AT2,0)</f>
        <v>15.0379396973466</v>
      </c>
      <c r="AU12" s="54">
        <f>IFERROR(AU11/AU2,0)</f>
        <v>15.511279009433963</v>
      </c>
      <c r="AV12" s="54">
        <f>IFERROR(AV11/AV2,0)</f>
        <v>15.572555785254719</v>
      </c>
      <c r="AW12" s="54">
        <f>IFERROR(AW11/AW2,0)</f>
        <v>15.842816198773798</v>
      </c>
      <c r="AX12" s="54">
        <f>IFERROR(AX11/AX2,0)</f>
        <v>15.925398054308317</v>
      </c>
      <c r="AY12" s="37"/>
      <c r="AZ12" s="37"/>
      <c r="BA12" s="54">
        <f>IFERROR(BA11/BA2,0)</f>
        <v>15.925398054308317</v>
      </c>
      <c r="BB12" s="54">
        <f>IFERROR(BB11/BB2,0)</f>
        <v>15.970063300289135</v>
      </c>
      <c r="BC12" s="54">
        <f>IFERROR(BC11/BC2,0)</f>
        <v>16.099827178851715</v>
      </c>
      <c r="BD12" s="54">
        <f>IFERROR(BD11/BD2,0)</f>
        <v>16.020654016955994</v>
      </c>
      <c r="BE12" s="54">
        <f>IFERROR(BE11/BE2,0)</f>
        <v>15.47713928316144</v>
      </c>
      <c r="BF12" s="37"/>
      <c r="BG12" s="37"/>
      <c r="BH12" s="54">
        <f>IFERROR(BH11/BH2,0)</f>
        <v>15.577350976361767</v>
      </c>
      <c r="BI12" s="54">
        <f>IFERROR(BI11/BI2,0)</f>
        <v>15.577350976361767</v>
      </c>
      <c r="BJ12" s="54">
        <f>IFERROR(BJ11/BJ2,0)</f>
        <v>13.421378287434694</v>
      </c>
      <c r="BK12" s="54">
        <f>IFERROR(BK11/BK2,0)</f>
        <v>15.627534492123845</v>
      </c>
      <c r="BL12" s="54">
        <f>IFERROR(BL11/BL2,0)</f>
        <v>14.335349758699516</v>
      </c>
      <c r="BM12" s="37"/>
      <c r="BN12" s="37"/>
      <c r="BO12" s="54">
        <f>IFERROR(BO11/BO2,0)</f>
        <v>13.983528366204041</v>
      </c>
      <c r="BP12" s="54">
        <f>IFERROR(BP11/BP2,0)</f>
        <v>13.725904172526956</v>
      </c>
      <c r="BQ12" s="54">
        <f>IFERROR(BQ11/BQ2,0)</f>
        <v>15.883023519884828</v>
      </c>
      <c r="BR12" s="54">
        <f>IFERROR(BR11/BR2,0)</f>
        <v>16.303258666422757</v>
      </c>
      <c r="BS12" s="54">
        <f>IFERROR(BS11/BS2,0)</f>
        <v>16.080205165527644</v>
      </c>
      <c r="BT12" s="37"/>
      <c r="BU12" s="37"/>
      <c r="BV12" s="54">
        <f>IFERROR(BV11/BV2,0)</f>
        <v>16.236644770813843</v>
      </c>
      <c r="BW12" s="54">
        <f>IFERROR(BW11/BW2,0)</f>
        <v>16.258272605344811</v>
      </c>
      <c r="BX12" s="54">
        <f>IFERROR(BX11/BX2,0)</f>
        <v>16.54252203631912</v>
      </c>
      <c r="BY12" s="54">
        <f>IFERROR(BY11/BY2,0)</f>
        <v>15.428618773443361</v>
      </c>
      <c r="BZ12" s="54">
        <f>IFERROR(BZ11/BZ2,0)</f>
        <v>14.76623550449365</v>
      </c>
      <c r="CA12" s="37"/>
      <c r="CB12" s="37"/>
      <c r="CC12" s="54">
        <f>IFERROR(CC11/CC2,0)</f>
        <v>14.054881525687597</v>
      </c>
      <c r="CD12" s="54">
        <f>IFERROR(CD11/CD2,0)</f>
        <v>14.23037537235885</v>
      </c>
      <c r="CE12" s="54">
        <f>IFERROR(CE11/CE2,0)</f>
        <v>13.773435970394736</v>
      </c>
      <c r="CF12" s="54">
        <f>IFERROR(CF11/CF2,0)</f>
        <v>13.759658892716121</v>
      </c>
      <c r="CG12" s="54">
        <f>IFERROR(CG11/CG2,0)</f>
        <v>13.658959386655615</v>
      </c>
      <c r="CH12" s="37"/>
      <c r="CI12" s="37"/>
      <c r="CJ12" s="54">
        <f>IFERROR(CJ11/CJ2,0)</f>
        <v>14.200277293741109</v>
      </c>
      <c r="CK12" s="54">
        <f>IFERROR(CK11/CK2,0)</f>
        <v>14.332130019051075</v>
      </c>
      <c r="CL12" s="54">
        <f>IFERROR(CL11/CL2,0)</f>
        <v>14.034169801674745</v>
      </c>
      <c r="CM12" s="54">
        <f>IFERROR(CM11/CM2,0)</f>
        <v>13.591108223887174</v>
      </c>
      <c r="CN12" s="54">
        <f>IFERROR(CN11/CN2,0)</f>
        <v>13.835958043190832</v>
      </c>
      <c r="CO12" s="37"/>
      <c r="CP12" s="37"/>
      <c r="CQ12" s="54">
        <f>IFERROR(CQ11/CQ2,0)</f>
        <v>14.831415493350692</v>
      </c>
      <c r="CR12" s="54">
        <f>IFERROR(CR11/CR2,0)</f>
        <v>14.969667498124529</v>
      </c>
      <c r="CS12" s="54">
        <f>IFERROR(CS11/CS2,0)</f>
        <v>15.668136400514495</v>
      </c>
      <c r="CT12" s="54">
        <f>IFERROR(CT11/CT2,0)</f>
        <v>16.005304474050508</v>
      </c>
      <c r="CU12" s="54">
        <f>IFERROR(CU11/CU2,0)</f>
        <v>16.113159603035609</v>
      </c>
      <c r="CV12" s="37"/>
      <c r="CW12" s="37"/>
      <c r="CX12" s="54">
        <f>IFERROR(CX11/CX2,0)</f>
        <v>16.63315048740861</v>
      </c>
      <c r="CY12" s="54">
        <f>IFERROR(CY11/CY2,0)</f>
        <v>15.892057205657492</v>
      </c>
      <c r="CZ12" s="54">
        <f>IFERROR(CZ11/CZ2,0)</f>
        <v>15.830379499908069</v>
      </c>
      <c r="DA12" s="54">
        <f>IFERROR(DA11/DA2,0)</f>
        <v>15.574446213070724</v>
      </c>
      <c r="DB12" s="54">
        <f>IFERROR(DB11/DB2,0)</f>
        <v>15.574446213070724</v>
      </c>
      <c r="DC12" s="37"/>
      <c r="DD12" s="37"/>
      <c r="DE12" s="54">
        <f>IFERROR(DE11/DE2,0)</f>
        <v>15.583912495581478</v>
      </c>
      <c r="DF12" s="54">
        <f>IFERROR(DF11/DF2,0)</f>
        <v>16.487885333333331</v>
      </c>
      <c r="DG12" s="54">
        <v>16.445614529677837</v>
      </c>
      <c r="DH12" s="54">
        <v>16.445614529677837</v>
      </c>
      <c r="DI12" s="54">
        <f>IFERROR(DI11/DI2,0)</f>
        <v>17.211126225972805</v>
      </c>
      <c r="DJ12" s="37"/>
      <c r="DK12" s="37"/>
      <c r="DL12" s="54">
        <f>IFERROR(DL11/DL2,0)</f>
        <v>17.827429515246287</v>
      </c>
      <c r="DM12" s="54">
        <f>IFERROR(DM11/DM2,0)</f>
        <v>17.909518982760261</v>
      </c>
      <c r="DN12" s="54">
        <f>IFERROR(DN11/DN2,0)</f>
        <v>18.378810862134447</v>
      </c>
      <c r="DO12" s="54">
        <f>IFERROR(DO11/DO2,0)</f>
        <v>18.564789664466957</v>
      </c>
      <c r="DP12" s="54">
        <f>IFERROR(DP11/DP2,0)</f>
        <v>18.271769253648106</v>
      </c>
      <c r="DQ12" s="37"/>
      <c r="DR12" s="37"/>
      <c r="DS12" s="54">
        <f>IFERROR(DS11/DS2,0)</f>
        <v>16.94600557672646</v>
      </c>
      <c r="DT12" s="54">
        <f>IFERROR(DT11/DT2,0)</f>
        <v>17.273860581838459</v>
      </c>
      <c r="DU12" s="54">
        <f>IFERROR(DU11/DU2,0)</f>
        <v>17.43038946794988</v>
      </c>
      <c r="DV12" s="54">
        <f>IFERROR(DV11/DV2,0)</f>
        <v>17.195638412984671</v>
      </c>
      <c r="DW12" s="54">
        <f>IFERROR(DW11/DW2,0)</f>
        <v>17.340369071981492</v>
      </c>
      <c r="DX12" s="37"/>
      <c r="DY12" s="37"/>
      <c r="DZ12" s="54">
        <f>IFERROR(DZ11/DZ2,0)</f>
        <v>18.142228771002454</v>
      </c>
      <c r="EA12" s="54">
        <f>IFERROR(EA11/EA2,0)</f>
        <v>18.926251727503416</v>
      </c>
      <c r="EB12" s="54">
        <f>IFERROR(EB11/EB2,0)</f>
        <v>18.342782903915914</v>
      </c>
      <c r="EC12" s="54">
        <f>IFERROR(EC11/EC2,0)</f>
        <v>18.162211484411355</v>
      </c>
      <c r="ED12" s="54">
        <f>IFERROR(ED11/ED2,0)</f>
        <v>17.459088372926939</v>
      </c>
      <c r="EE12" s="37"/>
      <c r="EF12" s="37"/>
      <c r="EG12" s="54">
        <f>IFERROR(EG11/EG2,0)</f>
        <v>16.015529919467788</v>
      </c>
      <c r="EH12" s="54">
        <f>IFERROR(EH11/EH2,0)</f>
        <v>16.444538890377913</v>
      </c>
      <c r="EI12" s="54">
        <f>IFERROR(EI11/EI2,0)</f>
        <v>16.275514709925762</v>
      </c>
      <c r="EJ12" s="54">
        <f>IFERROR(EJ11/EJ2,0)</f>
        <v>15.649181417350945</v>
      </c>
      <c r="EK12" s="54">
        <f>IFERROR(EK11/EK2,0)</f>
        <v>15.852500808529543</v>
      </c>
      <c r="EL12" s="37"/>
      <c r="EM12" s="37"/>
      <c r="EN12" s="54">
        <f>IFERROR(EN11/EN2,0)</f>
        <v>15.641489278786811</v>
      </c>
      <c r="EO12" s="54">
        <f>IFERROR(EO11/EO2,0)</f>
        <v>15.554258048608665</v>
      </c>
      <c r="EP12" s="54">
        <f>IFERROR(EP11/EP2,0)</f>
        <v>15.258143506094887</v>
      </c>
      <c r="EQ12" s="54">
        <f>IFERROR(EQ11/EQ2,0)</f>
        <v>15.1206134923339</v>
      </c>
      <c r="ER12" s="54">
        <f>IFERROR(ER11/ER2,0)</f>
        <v>14.688236908649417</v>
      </c>
      <c r="ES12" s="37"/>
      <c r="ET12" s="37"/>
      <c r="EU12" s="54">
        <f>IFERROR(EU11/EU2,0)</f>
        <v>14.688236908649417</v>
      </c>
      <c r="EV12" s="54">
        <f>IFERROR(EV11/EV2,0)</f>
        <v>14.383654894080212</v>
      </c>
      <c r="EW12" s="54">
        <f>IFERROR(EW11/EW2,0)</f>
        <v>14.418727974545757</v>
      </c>
      <c r="EX12" s="54">
        <f>IFERROR(EX11/EX2,0)</f>
        <v>15.266070300144547</v>
      </c>
      <c r="EY12" s="54">
        <f>IFERROR(EY11/EY2,0)</f>
        <v>15.072514784497161</v>
      </c>
      <c r="EZ12" s="37"/>
      <c r="FA12" s="37"/>
      <c r="FB12" s="54">
        <f>IFERROR(FB11/FB2,0)</f>
        <v>14.977248581708642</v>
      </c>
      <c r="FC12" s="54">
        <f>IFERROR(FC11/FC2,0)</f>
        <v>14.89128745127312</v>
      </c>
      <c r="FD12" s="54">
        <f>IFERROR(FD11/FD2,0)</f>
        <v>14.796179219938502</v>
      </c>
      <c r="FE12" s="54">
        <f>IFERROR(FE11/FE2,0)</f>
        <v>14.801962346631999</v>
      </c>
      <c r="FF12" s="54">
        <f>IFERROR(FF11/FF2,0)</f>
        <v>14.601700040980246</v>
      </c>
      <c r="FG12" s="37"/>
      <c r="FH12" s="37"/>
      <c r="FI12" s="54">
        <f>IFERROR(FI11/FI2,0)</f>
        <v>14.336250609307271</v>
      </c>
      <c r="FJ12" s="54">
        <f>IFERROR(FJ11/FJ2,0)</f>
        <v>14.242605727490302</v>
      </c>
      <c r="FK12" s="54">
        <f>IFERROR(FK11/FK2,0)</f>
        <v>14.448808995021517</v>
      </c>
      <c r="FL12" s="54">
        <f>IFERROR(FL11/FL2,0)</f>
        <v>14.292032000667724</v>
      </c>
      <c r="FM12" s="54">
        <f>IFERROR(FM11/FM2,0)</f>
        <v>14.38109174328147</v>
      </c>
      <c r="FN12" s="37"/>
      <c r="FO12" s="37"/>
      <c r="FP12" s="54">
        <f>IFERROR(FP11/FP2,0)</f>
        <v>14.38109174328147</v>
      </c>
      <c r="FQ12" s="54">
        <f>IFERROR(FQ11/FQ2,0)</f>
        <v>14.108414252071521</v>
      </c>
      <c r="FR12" s="54">
        <f>IFERROR(FR11/FR2,0)</f>
        <v>13.941153499194559</v>
      </c>
      <c r="FS12" s="54">
        <f>IFERROR(FS11/FS2,0)</f>
        <v>13.564272621535666</v>
      </c>
      <c r="FT12" s="54">
        <f>IFERROR(FT11/FT2,0)</f>
        <v>13.593727457567185</v>
      </c>
      <c r="FU12" s="37"/>
      <c r="FV12" s="37"/>
      <c r="FW12" s="54">
        <f>IFERROR(FW11/FW2,0)</f>
        <v>13.566008202276478</v>
      </c>
      <c r="FX12" s="54">
        <f>IFERROR(FX11/FX2,0)</f>
        <v>13.471016765553482</v>
      </c>
      <c r="FY12" s="54">
        <f>IFERROR(FY11/FY2,0)</f>
        <v>13.767023223808705</v>
      </c>
      <c r="FZ12" s="54">
        <f>IFERROR(FZ11/FZ2,0)</f>
        <v>13.260715344916566</v>
      </c>
      <c r="GA12" s="54">
        <f>IFERROR(GA11/GA2,0)</f>
        <v>12.45479456390848</v>
      </c>
      <c r="GB12" s="37"/>
      <c r="GC12" s="37"/>
      <c r="GD12" s="54">
        <f>IFERROR(GD11/GD2,0)</f>
        <v>12.45479456390848</v>
      </c>
      <c r="GE12" s="54">
        <f>IFERROR(GE11/GE2,0)</f>
        <v>12.982738386688723</v>
      </c>
      <c r="GF12" s="54">
        <f>IFERROR(GF11/GF2,0)</f>
        <v>13.185243460125136</v>
      </c>
      <c r="GG12" s="54">
        <f>IFERROR(GG11/GG2,0)</f>
        <v>13.307773091256568</v>
      </c>
      <c r="GH12" s="54">
        <f>IFERROR(GH11/GH2,0)</f>
        <v>13.198467893851616</v>
      </c>
      <c r="GI12" s="37"/>
      <c r="GJ12" s="37"/>
      <c r="GK12" s="54">
        <f>IFERROR(GK11/GK2,0)</f>
        <v>13.423274528478057</v>
      </c>
      <c r="GL12" s="54">
        <f>IFERROR(GL11/GL2,0)</f>
        <v>13.607972077595738</v>
      </c>
      <c r="GM12" s="54">
        <f>IFERROR(GM11/GM2,0)</f>
        <v>13.331341789695692</v>
      </c>
      <c r="GN12" s="54">
        <f>IFERROR(GN11/GN2,0)</f>
        <v>13.303357820383452</v>
      </c>
      <c r="GO12" s="54">
        <f>IFERROR(GO11/GO2,0)</f>
        <v>13.365647790111</v>
      </c>
      <c r="GP12" s="37"/>
      <c r="GQ12" s="37"/>
      <c r="GR12" s="54">
        <f>IFERROR(GR11/GR2,0)</f>
        <v>13.111130516608638</v>
      </c>
      <c r="GS12" s="54">
        <f>IFERROR(GS11/GS2,0)</f>
        <v>12.710193926408943</v>
      </c>
      <c r="GT12" s="54">
        <f>IFERROR(GT11/GT2,0)</f>
        <v>12.377790740740739</v>
      </c>
      <c r="GU12" s="54">
        <f>IFERROR(GU11/GU2,0)</f>
        <v>12.438930483342961</v>
      </c>
      <c r="GV12" s="54">
        <f>IFERROR(GV11/GV2,0)</f>
        <v>12.885918449612401</v>
      </c>
      <c r="GW12" s="37"/>
      <c r="GX12" s="37"/>
      <c r="GY12" s="54">
        <f>IFERROR(GY11/GY2,0)</f>
        <v>12.581953989538754</v>
      </c>
      <c r="GZ12" s="54">
        <f>IFERROR(GZ11/GZ2,0)</f>
        <v>12.758921494252871</v>
      </c>
      <c r="HA12" s="54">
        <f>IFERROR(HA11/HA2,0)</f>
        <v>12.650408141061712</v>
      </c>
      <c r="HB12" s="54">
        <f>IFERROR(HB11/HB2,0)</f>
        <v>14.254363232839045</v>
      </c>
      <c r="HC12" s="54">
        <f>IFERROR(HC11/HC2,0)</f>
        <v>14.546208714052131</v>
      </c>
      <c r="HD12" s="37"/>
      <c r="HE12" s="37"/>
      <c r="HF12" s="54">
        <f>IFERROR(HF11/HF2,0)</f>
        <v>14.596819214235728</v>
      </c>
      <c r="HG12" s="54">
        <f>IFERROR(HG11/HG2,0)</f>
        <v>14.296919037199123</v>
      </c>
      <c r="HH12" s="54">
        <f>IFERROR(HH11/HH2,0)</f>
        <v>14.825033023351931</v>
      </c>
      <c r="HI12" s="54">
        <f>IFERROR(HI11/HI2,0)</f>
        <v>15.468880662983423</v>
      </c>
      <c r="HJ12" s="54">
        <f>IFERROR(HJ11/HJ2,0)</f>
        <v>15.930771786767805</v>
      </c>
      <c r="HK12" s="37"/>
      <c r="HL12" s="37"/>
      <c r="HM12" s="54">
        <f>IFERROR(HM11/HM2,0)</f>
        <v>15.784759855147437</v>
      </c>
      <c r="HN12" s="54">
        <f>IFERROR(HN11/HN2,0)</f>
        <v>15.952649548333506</v>
      </c>
      <c r="HO12" s="54">
        <f>IFERROR(HO11/HO2,0)</f>
        <v>15.971045913757699</v>
      </c>
      <c r="HP12" s="54">
        <f>IFERROR(HP11/HP2,0)</f>
        <v>15.930371626506025</v>
      </c>
      <c r="HQ12" s="54">
        <f>IFERROR(HQ11/HQ2,0)</f>
        <v>16.165715883851245</v>
      </c>
      <c r="HR12" s="37"/>
      <c r="HS12" s="37"/>
      <c r="HT12" s="54">
        <f>IFERROR(HT11/HT2,0)</f>
        <v>15.981756340694007</v>
      </c>
      <c r="HU12" s="54">
        <f>IFERROR(HU11/HU2,0)</f>
        <v>16.196818366904914</v>
      </c>
      <c r="HV12" s="54">
        <f>IFERROR(HV11/HV2,0)</f>
        <v>15.869026609717029</v>
      </c>
      <c r="HW12" s="54">
        <f>IFERROR(HW11/HW2,0)</f>
        <v>15.123524298581632</v>
      </c>
      <c r="HX12" s="54">
        <f>IFERROR(HX11/HX2,0)</f>
        <v>15.477015922249793</v>
      </c>
      <c r="HY12" s="37"/>
      <c r="HZ12" s="37"/>
      <c r="IA12" s="54">
        <f>IFERROR(IA11/IA2,0)</f>
        <v>15.714315650912106</v>
      </c>
      <c r="IB12" s="54">
        <f>IFERROR(IB11/IB2,0)</f>
        <v>15.308272380762324</v>
      </c>
      <c r="IC12" s="54">
        <f>IFERROR(IC11/IC2,0)</f>
        <v>14.978434835012843</v>
      </c>
      <c r="ID12" s="54">
        <f>IFERROR(ID11/ID2,0)</f>
        <v>15.332916831085161</v>
      </c>
      <c r="IE12" s="54">
        <f>IFERROR(IE11/IE2,0)</f>
        <v>15.460064204376671</v>
      </c>
      <c r="IF12" s="37"/>
      <c r="IG12" s="37"/>
      <c r="IH12" s="54">
        <f>IFERROR(IH11/IH2,0)</f>
        <v>14.8904679417642</v>
      </c>
      <c r="II12" s="54">
        <f>IFERROR(II11/II2,0)</f>
        <v>15.951047608340147</v>
      </c>
      <c r="IJ12" s="54">
        <f>IFERROR(IJ11/IJ2,0)</f>
        <v>16.619759436211005</v>
      </c>
      <c r="IK12" s="54">
        <f>IFERROR(IK11/IK2,0)</f>
        <v>16.355626071892594</v>
      </c>
      <c r="IL12" s="54">
        <f>IFERROR(IL11/IL2,0)</f>
        <v>16.945853579875298</v>
      </c>
      <c r="IM12" s="37"/>
      <c r="IN12" s="37"/>
      <c r="IO12" s="54">
        <f>IFERROR(IO11/IO2,0)</f>
        <v>16.945853579875298</v>
      </c>
      <c r="IP12" s="54">
        <f>IFERROR(IP11/IP2,0)</f>
        <v>17.281214500000001</v>
      </c>
      <c r="IQ12" s="54">
        <v>17.281214500000001</v>
      </c>
      <c r="IR12" s="54">
        <f>IFERROR(IR11/IR2,0)</f>
        <v>17.028618418395961</v>
      </c>
      <c r="IS12" s="54">
        <f>IFERROR(IS11/IS2,0)</f>
        <v>16.681877962085306</v>
      </c>
      <c r="IT12" s="37"/>
      <c r="IU12" s="37"/>
      <c r="IV12" s="54">
        <f>IFERROR(IV11/IV2,0)</f>
        <v>16.867688340425531</v>
      </c>
      <c r="IW12" s="54">
        <f>IFERROR(IW11/IW2,0)</f>
        <v>17.027418181818181</v>
      </c>
      <c r="IX12" s="54">
        <f>IFERROR(IX11/IX2,0)</f>
        <v>16.050851880977685</v>
      </c>
      <c r="IY12" s="54">
        <f>IFERROR(IY11/IY2,0)</f>
        <v>16.209441853808894</v>
      </c>
      <c r="IZ12" s="54">
        <f>IFERROR(IZ11/IZ2,0)</f>
        <v>16.57024731253421</v>
      </c>
      <c r="JA12" s="37"/>
      <c r="JB12" s="37"/>
      <c r="JC12" s="54">
        <f>IFERROR(JC11/JC2,0)</f>
        <v>16.543164864268373</v>
      </c>
      <c r="JD12" s="54">
        <f>IFERROR(JD11/JD2,0)</f>
        <v>16.686701147649526</v>
      </c>
      <c r="JE12" s="54">
        <f>IFERROR(JE11/JE2,0)</f>
        <v>16.646930268284539</v>
      </c>
      <c r="JF12" s="54">
        <f>IFERROR(JF11/JF2,0)</f>
        <v>16.920933738669024</v>
      </c>
      <c r="JG12" s="54">
        <f>IFERROR(JG11/JG2,0)</f>
        <v>17.145622751015669</v>
      </c>
      <c r="JH12" s="37"/>
      <c r="JI12" s="37"/>
      <c r="JJ12" s="54">
        <f>IFERROR(JJ11/JJ2,0)</f>
        <v>17.338499666904589</v>
      </c>
      <c r="JK12" s="54">
        <f>IFERROR(JK11/JK2,0)</f>
        <v>16.779338031760751</v>
      </c>
      <c r="JL12" s="54">
        <f>IFERROR(JL11/JL2,0)</f>
        <v>16.171820689655174</v>
      </c>
      <c r="JM12" s="54">
        <f>IFERROR(JM11/JM2,0)</f>
        <v>17.473309560723514</v>
      </c>
      <c r="JN12" s="54">
        <f>IFERROR(JN11/JN2,0)</f>
        <v>16.921766149870798</v>
      </c>
      <c r="JO12" s="37"/>
      <c r="JP12" s="37"/>
      <c r="JQ12" s="54">
        <f>IFERROR(JQ11/JQ2,0)</f>
        <v>16.592953589916721</v>
      </c>
      <c r="JR12" s="54">
        <f>IFERROR(JR11/JR2,0)</f>
        <v>16.481815969498911</v>
      </c>
      <c r="JS12" s="54">
        <f>IFERROR(JS11/JS2,0)</f>
        <v>16.296762600406982</v>
      </c>
      <c r="JT12" s="54">
        <f>IFERROR(JT11/JT2,0)</f>
        <v>16.267303050201228</v>
      </c>
      <c r="JU12" s="54">
        <f>IFERROR(JU11/JU2,0)</f>
        <v>15.778162745098038</v>
      </c>
      <c r="JV12" s="37"/>
      <c r="JW12" s="37"/>
      <c r="JX12" s="54">
        <f>IFERROR(JX11/JX2,0)</f>
        <v>15.938171826593202</v>
      </c>
      <c r="JY12" s="54">
        <f>IFERROR(JY11/JY2,0)</f>
        <v>16.449398334234719</v>
      </c>
      <c r="JZ12" s="54">
        <v>16.449398334234719</v>
      </c>
      <c r="KA12" s="54">
        <f>IFERROR(KA11/KA2,0)</f>
        <v>16.32076199640478</v>
      </c>
      <c r="KB12" s="54">
        <f>IFERROR(KB11/KB2,0)</f>
        <v>16.738558703481395</v>
      </c>
      <c r="KC12" s="37"/>
      <c r="KD12" s="37"/>
      <c r="KE12" s="54">
        <f>IFERROR(KE11/KE2,0)</f>
        <v>16.083475311067453</v>
      </c>
      <c r="KF12" s="54">
        <f>IFERROR(KF11/KF2,0)</f>
        <v>16.832786715539264</v>
      </c>
      <c r="KG12" s="54">
        <f>IFERROR(KG11/KG2,0)</f>
        <v>16.852543750676336</v>
      </c>
      <c r="KH12" s="54">
        <f>IFERROR(KH11/KH2,0)</f>
        <v>16.800058478519638</v>
      </c>
      <c r="KI12" s="54">
        <f>IFERROR(KI11/KI2,0)</f>
        <v>16.858858823529413</v>
      </c>
      <c r="KJ12" s="37"/>
      <c r="KK12" s="37"/>
      <c r="KL12" s="54">
        <f>IFERROR(KL11/KL2,0)</f>
        <v>16.989710422474801</v>
      </c>
      <c r="KM12" s="54">
        <f>IFERROR(KM11/KM2,0)</f>
        <v>17.039128913601367</v>
      </c>
      <c r="KN12" s="54">
        <f>IFERROR(KN11/KN2,0)</f>
        <v>16.915372599017658</v>
      </c>
      <c r="KO12" s="54">
        <f>IFERROR(KO11/KO2,0)</f>
        <v>16.439152846534654</v>
      </c>
      <c r="KP12" s="54">
        <f>IFERROR(KP11/KP2,0)</f>
        <v>16.878497365895274</v>
      </c>
      <c r="KQ12" s="37"/>
      <c r="KR12" s="37"/>
      <c r="KS12" s="54">
        <f>IFERROR(KS11/KS2,0)</f>
        <v>17.390392220665873</v>
      </c>
      <c r="KT12" s="54">
        <f>IFERROR(KT11/KT2,0)</f>
        <v>16.821232258735439</v>
      </c>
      <c r="KU12" s="54">
        <v>16.821232258735439</v>
      </c>
      <c r="KV12" s="54">
        <f>IFERROR(KV11/KV2,0)</f>
        <v>17.533098109221505</v>
      </c>
      <c r="KW12" s="54">
        <f>IFERROR(KW11/KW2,0)</f>
        <v>17.245871809427268</v>
      </c>
      <c r="KX12" s="37"/>
      <c r="KY12" s="37"/>
      <c r="KZ12" s="54">
        <f>IFERROR(KZ11/KZ2,0)</f>
        <v>17.185319097222219</v>
      </c>
      <c r="LA12" s="54">
        <f>IFERROR(LA11/LA2,0)</f>
        <v>17.346124014261743</v>
      </c>
      <c r="LB12" s="54">
        <f>IFERROR(LB11/LB2,0)</f>
        <v>17.974851030760927</v>
      </c>
      <c r="LC12" s="54">
        <f>IFERROR(LC11/LC2,0)</f>
        <v>17.908565794811572</v>
      </c>
      <c r="LD12" s="54">
        <f>IFERROR(LD11/LD2,0)</f>
        <v>17.67784158766538</v>
      </c>
      <c r="LE12" s="37"/>
      <c r="LF12" s="37"/>
      <c r="LG12" s="54">
        <f>IFERROR(LG11/LG2,0)</f>
        <v>18.055444878677257</v>
      </c>
      <c r="LH12" s="54">
        <f>IFERROR(LH11/LH2,0)</f>
        <v>17.916941572554869</v>
      </c>
      <c r="LI12" s="54">
        <f>IFERROR(LI11/LI2,0)</f>
        <v>17.587578031445187</v>
      </c>
      <c r="LJ12" s="54">
        <f>IFERROR(LJ11/LJ2,0)</f>
        <v>17.712100757406994</v>
      </c>
      <c r="LK12" s="54">
        <f>IFERROR(LK11/LK2,0)</f>
        <v>18.302220817165029</v>
      </c>
      <c r="LL12" s="37"/>
      <c r="LM12" s="37"/>
      <c r="LN12" s="54">
        <f>IFERROR(LN11/LN2,0)</f>
        <v>18.403345911949685</v>
      </c>
      <c r="LO12" s="54">
        <f>IFERROR(LO11/LO2,0)</f>
        <v>18.423397555454958</v>
      </c>
      <c r="LP12" s="54">
        <f>IFERROR(LP11/LP2,0)</f>
        <v>19.335919002458727</v>
      </c>
      <c r="LQ12" s="54">
        <f>IFERROR(LQ11/LQ2,0)</f>
        <v>19.351779259432856</v>
      </c>
      <c r="LR12" s="54">
        <f>IFERROR(LR11/LR2,0)</f>
        <v>19.644658902307786</v>
      </c>
      <c r="LS12" s="37"/>
      <c r="LT12" s="37"/>
      <c r="LU12" s="54">
        <f>IFERROR(LU11/LU2,0)</f>
        <v>20.156677148695756</v>
      </c>
      <c r="LV12" s="54">
        <f>IFERROR(LV11/LV2,0)</f>
        <v>20.322969384559798</v>
      </c>
      <c r="LW12" s="54">
        <f>IFERROR(LW11/LW2,0)</f>
        <v>19.413971977057237</v>
      </c>
      <c r="LX12" s="54">
        <f>IFERROR(LX11/LX2,0)</f>
        <v>17.356814917127071</v>
      </c>
      <c r="LY12" s="54">
        <f>IFERROR(LY11/LY2,0)</f>
        <v>17.41384431459624</v>
      </c>
      <c r="LZ12" s="37"/>
      <c r="MA12" s="37"/>
      <c r="MB12" s="54">
        <f>IFERROR(MB11/MB2,0)</f>
        <v>17.305253749395256</v>
      </c>
      <c r="MC12" s="54">
        <f>IFERROR(MC11/MC2,0)</f>
        <v>17.745315614366731</v>
      </c>
      <c r="MD12" s="54">
        <f>IFERROR(MD11/MD2,0)</f>
        <v>18.040916547881299</v>
      </c>
      <c r="ME12" s="54">
        <f>IFERROR(ME11/ME2,0)</f>
        <v>18.383896257386734</v>
      </c>
      <c r="MF12" s="54">
        <f>IFERROR(MF11/MF2,0)</f>
        <v>18.019364520367937</v>
      </c>
      <c r="MG12" s="37"/>
      <c r="MH12" s="37"/>
      <c r="MI12" s="54">
        <f>IFERROR(MI11/MI2,0)</f>
        <v>18.201754301833567</v>
      </c>
      <c r="MJ12" s="54">
        <f>IFERROR(MJ11/MJ2,0)</f>
        <v>18.119528036688148</v>
      </c>
      <c r="MK12" s="54">
        <f>IFERROR(MK11/MK2,0)</f>
        <v>17.676947061668681</v>
      </c>
      <c r="ML12" s="54">
        <f>IFERROR(ML11/ML2,0)</f>
        <v>17.32531072528014</v>
      </c>
      <c r="MM12" s="54">
        <f>IFERROR(MM11/MM2,0)</f>
        <v>17.672662348178136</v>
      </c>
      <c r="MN12" s="37"/>
      <c r="MO12" s="37"/>
      <c r="MP12" s="54">
        <f>IFERROR(MP11/MP2,0)</f>
        <v>17.794432857142855</v>
      </c>
      <c r="MQ12" s="54">
        <f>IFERROR(MQ11/MQ2,0)</f>
        <v>18.204169396174521</v>
      </c>
      <c r="MR12" s="54">
        <f>IFERROR(MR11/MR2,0)</f>
        <v>17.784471070559608</v>
      </c>
      <c r="MS12" s="54">
        <f>IFERROR(MS11/MS2,0)</f>
        <v>17.913558409483823</v>
      </c>
      <c r="MT12" s="54">
        <f>IFERROR(MT11/MT2,0)</f>
        <v>17.320137821734985</v>
      </c>
      <c r="MU12" s="37"/>
      <c r="MV12" s="37"/>
      <c r="MW12" s="54">
        <f>IFERROR(MW11/MW2,0)</f>
        <v>17.320137821734985</v>
      </c>
      <c r="MX12" s="54">
        <f>IFERROR(MX11/MX2,0)</f>
        <v>17.685585556741373</v>
      </c>
      <c r="MY12" s="54">
        <f>IFERROR(MY11/MY2,0)</f>
        <v>17.271579473746876</v>
      </c>
      <c r="MZ12" s="54">
        <f>IFERROR(MZ11/MZ2,0)</f>
        <v>17.795619742280572</v>
      </c>
      <c r="NA12" s="54">
        <f>IFERROR(NA11/NA2,0)</f>
        <v>17.039549295774648</v>
      </c>
      <c r="NB12" s="37"/>
    </row>
    <row r="13" spans="1:366" x14ac:dyDescent="0.25">
      <c r="A13" s="19" t="s">
        <v>80</v>
      </c>
      <c r="B13" s="85"/>
      <c r="C13" s="85"/>
      <c r="D13" s="85">
        <v>350</v>
      </c>
      <c r="E13" s="85">
        <v>300</v>
      </c>
      <c r="F13" s="85">
        <v>200</v>
      </c>
      <c r="G13" s="85">
        <v>200</v>
      </c>
      <c r="H13" s="85">
        <v>150</v>
      </c>
      <c r="I13" s="85"/>
      <c r="J13" s="85"/>
      <c r="K13" s="85">
        <v>150</v>
      </c>
      <c r="L13" s="85">
        <v>100</v>
      </c>
      <c r="M13" s="85">
        <v>100</v>
      </c>
      <c r="N13" s="85">
        <v>50</v>
      </c>
      <c r="O13" s="85">
        <v>50</v>
      </c>
      <c r="P13" s="85"/>
      <c r="Q13" s="85"/>
      <c r="R13" s="85">
        <v>180</v>
      </c>
      <c r="S13" s="85">
        <v>200</v>
      </c>
      <c r="T13" s="85">
        <v>200</v>
      </c>
      <c r="U13" s="85">
        <v>100</v>
      </c>
      <c r="V13" s="85">
        <v>100</v>
      </c>
      <c r="W13" s="20"/>
      <c r="X13" s="20"/>
      <c r="Y13" s="85">
        <v>50</v>
      </c>
      <c r="Z13" s="85">
        <v>50</v>
      </c>
      <c r="AA13" s="85">
        <v>1</v>
      </c>
      <c r="AB13" s="85">
        <v>1</v>
      </c>
      <c r="AC13" s="85">
        <v>-100</v>
      </c>
      <c r="AD13" s="20"/>
      <c r="AE13" s="20"/>
      <c r="AF13" s="85">
        <v>-100</v>
      </c>
      <c r="AG13" s="85">
        <v>-80</v>
      </c>
      <c r="AH13" s="85">
        <v>-100</v>
      </c>
      <c r="AI13" s="85">
        <v>-50</v>
      </c>
      <c r="AJ13" s="85">
        <v>-50</v>
      </c>
      <c r="AK13" s="20"/>
      <c r="AL13" s="20"/>
      <c r="AM13" s="85">
        <v>-50</v>
      </c>
      <c r="AN13" s="85">
        <v>10</v>
      </c>
      <c r="AO13" s="85">
        <v>220</v>
      </c>
      <c r="AP13" s="85">
        <v>220</v>
      </c>
      <c r="AQ13" s="85">
        <v>270</v>
      </c>
      <c r="AR13" s="20"/>
      <c r="AS13" s="20"/>
      <c r="AT13" s="85">
        <v>250</v>
      </c>
      <c r="AU13" s="85">
        <v>250</v>
      </c>
      <c r="AV13" s="85">
        <v>350</v>
      </c>
      <c r="AW13" s="85">
        <v>550</v>
      </c>
      <c r="AX13" s="85">
        <v>350</v>
      </c>
      <c r="AY13" s="20"/>
      <c r="AZ13" s="20"/>
      <c r="BA13" s="85">
        <v>350</v>
      </c>
      <c r="BB13" s="85">
        <v>250</v>
      </c>
      <c r="BC13" s="85">
        <v>250</v>
      </c>
      <c r="BD13" s="85">
        <v>250</v>
      </c>
      <c r="BE13" s="85">
        <v>500</v>
      </c>
      <c r="BF13" s="20"/>
      <c r="BG13" s="20"/>
      <c r="BH13" s="85">
        <v>500</v>
      </c>
      <c r="BI13" s="85">
        <v>500</v>
      </c>
      <c r="BJ13" s="85">
        <v>500</v>
      </c>
      <c r="BK13" s="85">
        <v>750</v>
      </c>
      <c r="BL13" s="85">
        <v>750</v>
      </c>
      <c r="BM13" s="20"/>
      <c r="BN13" s="20"/>
      <c r="BO13" s="85">
        <v>600</v>
      </c>
      <c r="BP13" s="85">
        <v>650</v>
      </c>
      <c r="BQ13" s="85">
        <v>600</v>
      </c>
      <c r="BR13" s="85">
        <v>450</v>
      </c>
      <c r="BS13" s="85">
        <v>200</v>
      </c>
      <c r="BT13" s="20"/>
      <c r="BU13" s="20"/>
      <c r="BV13" s="85">
        <v>450</v>
      </c>
      <c r="BW13" s="85">
        <v>360</v>
      </c>
      <c r="BX13" s="85">
        <v>290</v>
      </c>
      <c r="BY13" s="85">
        <v>280</v>
      </c>
      <c r="BZ13" s="85">
        <v>250</v>
      </c>
      <c r="CA13" s="20"/>
      <c r="CB13" s="20"/>
      <c r="CC13" s="85">
        <v>130</v>
      </c>
      <c r="CD13" s="85">
        <v>120</v>
      </c>
      <c r="CE13" s="85">
        <v>170</v>
      </c>
      <c r="CF13" s="85">
        <v>200</v>
      </c>
      <c r="CG13" s="85">
        <v>200</v>
      </c>
      <c r="CH13" s="20"/>
      <c r="CI13" s="20"/>
      <c r="CJ13" s="85">
        <v>250</v>
      </c>
      <c r="CK13" s="85">
        <v>500</v>
      </c>
      <c r="CL13" s="85">
        <v>220</v>
      </c>
      <c r="CM13" s="85">
        <v>250</v>
      </c>
      <c r="CN13" s="85">
        <v>500</v>
      </c>
      <c r="CO13" s="20"/>
      <c r="CP13" s="20"/>
      <c r="CQ13" s="85">
        <v>400</v>
      </c>
      <c r="CR13" s="85">
        <v>400</v>
      </c>
      <c r="CS13" s="85">
        <v>400</v>
      </c>
      <c r="CT13" s="85">
        <v>400</v>
      </c>
      <c r="CU13" s="85">
        <v>420</v>
      </c>
      <c r="CV13" s="20"/>
      <c r="CW13" s="20"/>
      <c r="CX13" s="85">
        <v>420</v>
      </c>
      <c r="CY13" s="85">
        <v>450</v>
      </c>
      <c r="CZ13" s="85">
        <v>350</v>
      </c>
      <c r="DA13" s="85">
        <v>300</v>
      </c>
      <c r="DB13" s="85">
        <v>300</v>
      </c>
      <c r="DC13" s="20"/>
      <c r="DD13" s="20"/>
      <c r="DE13" s="85">
        <v>350</v>
      </c>
      <c r="DF13" s="85">
        <v>350</v>
      </c>
      <c r="DG13" s="85">
        <v>350</v>
      </c>
      <c r="DH13" s="85">
        <v>350</v>
      </c>
      <c r="DI13" s="85">
        <v>240</v>
      </c>
      <c r="DJ13" s="20"/>
      <c r="DK13" s="20"/>
      <c r="DL13" s="85">
        <v>250</v>
      </c>
      <c r="DM13" s="85">
        <v>300</v>
      </c>
      <c r="DN13" s="85">
        <v>50</v>
      </c>
      <c r="DO13" s="85">
        <v>-50</v>
      </c>
      <c r="DP13" s="85">
        <v>-50</v>
      </c>
      <c r="DQ13" s="20"/>
      <c r="DR13" s="20"/>
      <c r="DS13" s="85">
        <v>-50</v>
      </c>
      <c r="DT13" s="85">
        <v>75</v>
      </c>
      <c r="DU13" s="85">
        <v>120</v>
      </c>
      <c r="DV13" s="85">
        <v>150</v>
      </c>
      <c r="DW13" s="85">
        <v>230</v>
      </c>
      <c r="DX13" s="20"/>
      <c r="DY13" s="20"/>
      <c r="DZ13" s="85">
        <v>290</v>
      </c>
      <c r="EA13" s="85">
        <v>200</v>
      </c>
      <c r="EB13" s="85">
        <v>100</v>
      </c>
      <c r="EC13" s="85">
        <v>100</v>
      </c>
      <c r="ED13" s="85">
        <v>100</v>
      </c>
      <c r="EE13" s="20"/>
      <c r="EF13" s="20"/>
      <c r="EG13" s="85">
        <v>-70</v>
      </c>
      <c r="EH13" s="85">
        <v>-120</v>
      </c>
      <c r="EI13" s="85">
        <v>-100</v>
      </c>
      <c r="EJ13" s="85">
        <v>-150</v>
      </c>
      <c r="EK13" s="85">
        <v>-200</v>
      </c>
      <c r="EL13" s="20"/>
      <c r="EM13" s="20"/>
      <c r="EN13" s="85">
        <v>-170</v>
      </c>
      <c r="EO13" s="85">
        <v>1</v>
      </c>
      <c r="EP13" s="85">
        <v>20</v>
      </c>
      <c r="EQ13" s="85">
        <v>-30</v>
      </c>
      <c r="ER13" s="85">
        <v>-50</v>
      </c>
      <c r="ES13" s="20"/>
      <c r="ET13" s="20"/>
      <c r="EU13" s="85">
        <v>-50</v>
      </c>
      <c r="EV13" s="85">
        <v>-50</v>
      </c>
      <c r="EW13" s="85">
        <v>-170</v>
      </c>
      <c r="EX13" s="85">
        <v>-170</v>
      </c>
      <c r="EY13" s="85">
        <v>-170</v>
      </c>
      <c r="EZ13" s="20"/>
      <c r="FA13" s="20"/>
      <c r="FB13" s="85">
        <v>-170</v>
      </c>
      <c r="FC13" s="85">
        <v>-350</v>
      </c>
      <c r="FD13" s="85">
        <v>-350</v>
      </c>
      <c r="FE13" s="85">
        <v>-540</v>
      </c>
      <c r="FF13" s="85">
        <v>-540</v>
      </c>
      <c r="FG13" s="20"/>
      <c r="FH13" s="20"/>
      <c r="FI13" s="85">
        <v>-350</v>
      </c>
      <c r="FJ13" s="85">
        <v>-250</v>
      </c>
      <c r="FK13" s="85">
        <v>-250</v>
      </c>
      <c r="FL13" s="85">
        <v>-250</v>
      </c>
      <c r="FM13" s="85">
        <v>-250</v>
      </c>
      <c r="FN13" s="20"/>
      <c r="FO13" s="20"/>
      <c r="FP13" s="85">
        <v>-500</v>
      </c>
      <c r="FQ13" s="85">
        <v>-470</v>
      </c>
      <c r="FR13" s="85">
        <v>-450</v>
      </c>
      <c r="FS13" s="85">
        <v>-480</v>
      </c>
      <c r="FT13" s="85">
        <v>-480</v>
      </c>
      <c r="FU13" s="20"/>
      <c r="FV13" s="20"/>
      <c r="FW13" s="85">
        <v>-50</v>
      </c>
      <c r="FX13" s="85">
        <v>-500</v>
      </c>
      <c r="FY13" s="85">
        <v>-450</v>
      </c>
      <c r="FZ13" s="85">
        <v>-320</v>
      </c>
      <c r="GA13" s="85">
        <v>-220</v>
      </c>
      <c r="GB13" s="20"/>
      <c r="GC13" s="20"/>
      <c r="GD13" s="85">
        <v>-220</v>
      </c>
      <c r="GE13" s="85">
        <v>-220</v>
      </c>
      <c r="GF13" s="85">
        <v>-30</v>
      </c>
      <c r="GG13" s="85">
        <v>-150</v>
      </c>
      <c r="GH13" s="85">
        <v>-150</v>
      </c>
      <c r="GI13" s="20"/>
      <c r="GJ13" s="20"/>
      <c r="GK13" s="85">
        <v>-150</v>
      </c>
      <c r="GL13" s="85">
        <v>-100</v>
      </c>
      <c r="GM13" s="85">
        <v>-120</v>
      </c>
      <c r="GN13" s="85">
        <v>-200</v>
      </c>
      <c r="GO13" s="85">
        <v>-250</v>
      </c>
      <c r="GP13" s="20"/>
      <c r="GQ13" s="20"/>
      <c r="GR13" s="85">
        <v>-250</v>
      </c>
      <c r="GS13" s="85">
        <v>-350</v>
      </c>
      <c r="GT13" s="85">
        <v>-280</v>
      </c>
      <c r="GU13" s="85">
        <v>-340</v>
      </c>
      <c r="GV13" s="85">
        <v>-330</v>
      </c>
      <c r="GW13" s="20"/>
      <c r="GX13" s="20"/>
      <c r="GY13" s="85">
        <v>-310</v>
      </c>
      <c r="GZ13" s="85">
        <v>-250</v>
      </c>
      <c r="HA13" s="85">
        <v>-300</v>
      </c>
      <c r="HB13" s="85">
        <v>-300</v>
      </c>
      <c r="HC13" s="85">
        <v>-550</v>
      </c>
      <c r="HD13" s="20"/>
      <c r="HE13" s="20"/>
      <c r="HF13" s="85">
        <v>-450</v>
      </c>
      <c r="HG13" s="85">
        <v>-450</v>
      </c>
      <c r="HH13" s="85">
        <v>-500</v>
      </c>
      <c r="HI13" s="85">
        <v>-550</v>
      </c>
      <c r="HJ13" s="85">
        <v>-550</v>
      </c>
      <c r="HK13" s="20"/>
      <c r="HL13" s="20"/>
      <c r="HM13" s="85">
        <v>-500</v>
      </c>
      <c r="HN13" s="85">
        <v>-450</v>
      </c>
      <c r="HO13" s="85">
        <v>-450</v>
      </c>
      <c r="HP13" s="85">
        <v>-650</v>
      </c>
      <c r="HQ13" s="85">
        <v>-650</v>
      </c>
      <c r="HR13" s="20"/>
      <c r="HS13" s="20"/>
      <c r="HT13" s="85">
        <v>-700</v>
      </c>
      <c r="HU13" s="85">
        <v>-850</v>
      </c>
      <c r="HV13" s="85">
        <v>-900</v>
      </c>
      <c r="HW13" s="85">
        <v>-750</v>
      </c>
      <c r="HX13" s="85">
        <v>-750</v>
      </c>
      <c r="HY13" s="20"/>
      <c r="HZ13" s="20"/>
      <c r="IA13" s="85">
        <v>-750</v>
      </c>
      <c r="IB13" s="85">
        <v>-780</v>
      </c>
      <c r="IC13" s="85">
        <v>-780</v>
      </c>
      <c r="ID13" s="85">
        <v>-800</v>
      </c>
      <c r="IE13" s="85">
        <v>-580</v>
      </c>
      <c r="IF13" s="20"/>
      <c r="IG13" s="20"/>
      <c r="IH13" s="85">
        <v>-600</v>
      </c>
      <c r="II13" s="85">
        <v>-550</v>
      </c>
      <c r="IJ13" s="85">
        <v>-550</v>
      </c>
      <c r="IK13" s="85">
        <v>-500</v>
      </c>
      <c r="IL13" s="85">
        <v>-600</v>
      </c>
      <c r="IM13" s="20"/>
      <c r="IN13" s="20"/>
      <c r="IO13" s="85">
        <v>-700</v>
      </c>
      <c r="IP13" s="85">
        <v>-1000</v>
      </c>
      <c r="IQ13" s="85">
        <v>-1000</v>
      </c>
      <c r="IR13" s="85">
        <v>-1100</v>
      </c>
      <c r="IS13" s="85">
        <v>-1200</v>
      </c>
      <c r="IT13" s="20"/>
      <c r="IU13" s="20"/>
      <c r="IV13" s="85">
        <v>-1200</v>
      </c>
      <c r="IW13" s="85">
        <v>-1600</v>
      </c>
      <c r="IX13" s="85">
        <v>-1600</v>
      </c>
      <c r="IY13" s="85">
        <v>-1350</v>
      </c>
      <c r="IZ13" s="85">
        <v>-1400</v>
      </c>
      <c r="JA13" s="20"/>
      <c r="JB13" s="20"/>
      <c r="JC13" s="85">
        <v>-1200</v>
      </c>
      <c r="JD13" s="85">
        <v>-1500</v>
      </c>
      <c r="JE13" s="85">
        <v>-1550</v>
      </c>
      <c r="JF13" s="85">
        <v>-1700</v>
      </c>
      <c r="JG13" s="85">
        <v>-1700</v>
      </c>
      <c r="JH13" s="20"/>
      <c r="JI13" s="20"/>
      <c r="JJ13" s="85">
        <v>-1650</v>
      </c>
      <c r="JK13" s="85">
        <v>-1650</v>
      </c>
      <c r="JL13" s="85">
        <v>-1650</v>
      </c>
      <c r="JM13" s="85">
        <v>-1400</v>
      </c>
      <c r="JN13" s="85">
        <v>-1450</v>
      </c>
      <c r="JO13" s="20"/>
      <c r="JP13" s="20"/>
      <c r="JQ13" s="85">
        <v>-1350</v>
      </c>
      <c r="JR13" s="85">
        <v>-1400</v>
      </c>
      <c r="JS13" s="85">
        <v>-1450</v>
      </c>
      <c r="JT13" s="85">
        <v>-1200</v>
      </c>
      <c r="JU13" s="85">
        <v>-1000</v>
      </c>
      <c r="JV13" s="20"/>
      <c r="JW13" s="20"/>
      <c r="JX13" s="85">
        <v>-1050</v>
      </c>
      <c r="JY13" s="85">
        <v>-1050</v>
      </c>
      <c r="JZ13" s="85">
        <v>-1050</v>
      </c>
      <c r="KA13" s="85">
        <v>-1050</v>
      </c>
      <c r="KB13" s="85">
        <v>-1050</v>
      </c>
      <c r="KC13" s="20"/>
      <c r="KD13" s="20"/>
      <c r="KE13" s="85">
        <v>-1100</v>
      </c>
      <c r="KF13" s="85">
        <v>-1100</v>
      </c>
      <c r="KG13" s="85">
        <v>-1250</v>
      </c>
      <c r="KH13" s="85">
        <v>-1400</v>
      </c>
      <c r="KI13" s="85">
        <v>-1350</v>
      </c>
      <c r="KJ13" s="20"/>
      <c r="KK13" s="20"/>
      <c r="KL13" s="85">
        <v>-1300</v>
      </c>
      <c r="KM13" s="85">
        <v>-1180</v>
      </c>
      <c r="KN13" s="85">
        <v>-1290</v>
      </c>
      <c r="KO13" s="85">
        <v>-1250</v>
      </c>
      <c r="KP13" s="85">
        <v>-1200</v>
      </c>
      <c r="KQ13" s="20"/>
      <c r="KR13" s="20"/>
      <c r="KS13" s="85">
        <v>-1220</v>
      </c>
      <c r="KT13" s="85">
        <v>-1200</v>
      </c>
      <c r="KU13" s="85">
        <v>-1200</v>
      </c>
      <c r="KV13" s="85">
        <v>-1200</v>
      </c>
      <c r="KW13" s="85">
        <v>-1250</v>
      </c>
      <c r="KX13" s="20"/>
      <c r="KY13" s="20"/>
      <c r="KZ13" s="85">
        <v>-1250</v>
      </c>
      <c r="LA13" s="85">
        <v>-1250</v>
      </c>
      <c r="LB13" s="85">
        <v>-1250</v>
      </c>
      <c r="LC13" s="85">
        <v>-1350</v>
      </c>
      <c r="LD13" s="85">
        <v>-1400</v>
      </c>
      <c r="LE13" s="20"/>
      <c r="LF13" s="20"/>
      <c r="LG13" s="85">
        <v>-1450</v>
      </c>
      <c r="LH13" s="85">
        <v>-1450</v>
      </c>
      <c r="LI13" s="85">
        <v>-1490</v>
      </c>
      <c r="LJ13" s="85">
        <v>-1490</v>
      </c>
      <c r="LK13" s="85">
        <v>-1500</v>
      </c>
      <c r="LL13" s="20"/>
      <c r="LM13" s="20"/>
      <c r="LN13" s="85">
        <v>-1400</v>
      </c>
      <c r="LO13" s="85">
        <v>-1450</v>
      </c>
      <c r="LP13" s="85">
        <v>-1230</v>
      </c>
      <c r="LQ13" s="85">
        <v>-1230</v>
      </c>
      <c r="LR13" s="85">
        <v>-1350</v>
      </c>
      <c r="LS13" s="20"/>
      <c r="LT13" s="20"/>
      <c r="LU13" s="85">
        <v>-1650</v>
      </c>
      <c r="LV13" s="85">
        <v>-1600</v>
      </c>
      <c r="LW13" s="85">
        <v>-1550</v>
      </c>
      <c r="LX13" s="85">
        <v>-1400</v>
      </c>
      <c r="LY13" s="85">
        <v>-1400</v>
      </c>
      <c r="LZ13" s="20"/>
      <c r="MA13" s="20"/>
      <c r="MB13" s="85">
        <v>-1050</v>
      </c>
      <c r="MC13" s="85">
        <v>-950</v>
      </c>
      <c r="MD13" s="85">
        <v>-950</v>
      </c>
      <c r="ME13" s="85">
        <v>-900</v>
      </c>
      <c r="MF13" s="85">
        <v>-800</v>
      </c>
      <c r="MG13" s="20"/>
      <c r="MH13" s="20"/>
      <c r="MI13" s="85">
        <v>-1000</v>
      </c>
      <c r="MJ13" s="85">
        <v>-900</v>
      </c>
      <c r="MK13" s="85">
        <v>-950</v>
      </c>
      <c r="ML13" s="85">
        <v>-900</v>
      </c>
      <c r="MM13" s="85">
        <v>-700</v>
      </c>
      <c r="MN13" s="20"/>
      <c r="MO13" s="20"/>
      <c r="MP13" s="85">
        <v>-700</v>
      </c>
      <c r="MQ13" s="85">
        <v>-750</v>
      </c>
      <c r="MR13" s="85">
        <v>-800</v>
      </c>
      <c r="MS13" s="85">
        <v>-900</v>
      </c>
      <c r="MT13" s="85">
        <v>-900</v>
      </c>
      <c r="MU13" s="20"/>
      <c r="MV13" s="20"/>
      <c r="MW13" s="85">
        <v>-900</v>
      </c>
      <c r="MX13" s="85">
        <v>-1000</v>
      </c>
      <c r="MY13" s="85">
        <v>-950</v>
      </c>
      <c r="MZ13" s="85">
        <v>-1000</v>
      </c>
      <c r="NA13" s="85">
        <v>-1000</v>
      </c>
      <c r="NB13" s="20"/>
    </row>
    <row r="14" spans="1:366" x14ac:dyDescent="0.25">
      <c r="A14" s="34" t="s">
        <v>81</v>
      </c>
      <c r="B14" s="86"/>
      <c r="C14" s="86"/>
      <c r="D14" s="86">
        <f>(D10+D13)*0.220462</f>
        <v>1316.378602</v>
      </c>
      <c r="E14" s="86">
        <f>(E10+E13)*0.220462</f>
        <v>1347.9046679999999</v>
      </c>
      <c r="F14" s="86">
        <f>(F10+F13)*0.220462</f>
        <v>1328.5040119999999</v>
      </c>
      <c r="G14" s="86">
        <f>(G10+G13)*0.220462</f>
        <v>1339.968036</v>
      </c>
      <c r="H14" s="86">
        <f>(H10+H13)*0.220462</f>
        <v>1325.6380059999999</v>
      </c>
      <c r="I14" s="86"/>
      <c r="J14" s="86"/>
      <c r="K14" s="86">
        <f>(K10+K13)*0.220462</f>
        <v>1309.3238179999998</v>
      </c>
      <c r="L14" s="86">
        <f>(L10+L13)*0.220462</f>
        <v>1320.346918</v>
      </c>
      <c r="M14" s="86">
        <f>(M10+M13)*0.220462</f>
        <v>1328.9449359999999</v>
      </c>
      <c r="N14" s="86">
        <f>(N10+N13)*0.220462</f>
        <v>1307.5601219999999</v>
      </c>
      <c r="O14" s="86">
        <f>(O10+O13)*0.220462</f>
        <v>1293.00963</v>
      </c>
      <c r="P14" s="86"/>
      <c r="Q14" s="86"/>
      <c r="R14" s="86">
        <f>(R10+R13)*0.220462</f>
        <v>1328.5040119999999</v>
      </c>
      <c r="S14" s="86">
        <f>(S10+S13)*0.220462</f>
        <v>1346.5818959999999</v>
      </c>
      <c r="T14" s="86">
        <f>(T10+T13)*0.220462</f>
        <v>1383.619512</v>
      </c>
      <c r="U14" s="86">
        <f>(U10+U13)*0.220462</f>
        <v>1408.311256</v>
      </c>
      <c r="V14" s="86">
        <f>(V10+V13)*0.220462</f>
        <v>1410.9567999999999</v>
      </c>
      <c r="W14" s="86"/>
      <c r="X14" s="35"/>
      <c r="Y14" s="86">
        <f>(Y10+Y13)*0.220462</f>
        <v>1377.2261140000001</v>
      </c>
      <c r="Z14" s="86">
        <f>(Z10+Z13)*0.220462</f>
        <v>1389.1310619999999</v>
      </c>
      <c r="AA14" s="86">
        <f>(AA10+AA13)*0.220462</f>
        <v>1409.6340279999999</v>
      </c>
      <c r="AB14" s="86">
        <f>(AB10+AB13)*0.220462</f>
        <v>1418.6729699999999</v>
      </c>
      <c r="AC14" s="86">
        <f>(AC10+AC13)*0.220462</f>
        <v>1416.9092739999999</v>
      </c>
      <c r="AD14" s="35"/>
      <c r="AE14" s="35"/>
      <c r="AF14" s="86">
        <f>(AF10+AF13)*0.220462</f>
        <v>1406.988484</v>
      </c>
      <c r="AG14" s="86">
        <f>(AG10+AG13)*0.220462</f>
        <v>1433.6643859999999</v>
      </c>
      <c r="AH14" s="86">
        <f>(AH10+AH13)*0.220462</f>
        <v>1432.5620759999999</v>
      </c>
      <c r="AI14" s="86">
        <f>(AI10+AI13)*0.220462</f>
        <v>1438.5145499999999</v>
      </c>
      <c r="AJ14" s="86">
        <f>(AJ10+AJ13)*0.220462</f>
        <v>1429.916532</v>
      </c>
      <c r="AK14" s="35"/>
      <c r="AL14" s="35"/>
      <c r="AM14" s="86">
        <f>(AM10+AM13)*0.220462</f>
        <v>1429.475608</v>
      </c>
      <c r="AN14" s="86">
        <f>(AN10+AN13)*0.220462</f>
        <v>1398.8313900000001</v>
      </c>
      <c r="AO14" s="86">
        <f>(AO10+AO13)*0.220462</f>
        <v>1461.6630599999999</v>
      </c>
      <c r="AP14" s="86">
        <f>(AP10+AP13)*0.220462</f>
        <v>1470.702002</v>
      </c>
      <c r="AQ14" s="86">
        <f>(AQ10+AQ13)*0.220462</f>
        <v>1508.4010039999998</v>
      </c>
      <c r="AR14" s="35"/>
      <c r="AS14" s="35"/>
      <c r="AT14" s="86">
        <f>(AT10+AT13)*0.220462</f>
        <v>1505.9759219999999</v>
      </c>
      <c r="AU14" s="86">
        <f>(AU10+AU13)*0.220462</f>
        <v>1502.0076059999999</v>
      </c>
      <c r="AV14" s="86">
        <f>(AV10+AV13)*0.220462</f>
        <v>1553.595714</v>
      </c>
      <c r="AW14" s="86">
        <f>(AW10+AW13)*0.220462</f>
        <v>1594.1607219999999</v>
      </c>
      <c r="AX14" s="86">
        <f>(AX10+AX13)*0.220462</f>
        <v>1566.8234339999999</v>
      </c>
      <c r="AY14" s="35"/>
      <c r="AZ14" s="35"/>
      <c r="BA14" s="86">
        <f>(BA10+BA13)*0.220462</f>
        <v>1566.8234339999999</v>
      </c>
      <c r="BB14" s="86">
        <f>(BB10+BB13)*0.220462</f>
        <v>1601.65643</v>
      </c>
      <c r="BC14" s="86">
        <f>(BC10+BC13)*0.220462</f>
        <v>1614.2227639999999</v>
      </c>
      <c r="BD14" s="86">
        <f>(BD10+BD13)*0.220462</f>
        <v>1642.4419</v>
      </c>
      <c r="BE14" s="86">
        <f>(BE10+BE13)*0.220462</f>
        <v>1625.90725</v>
      </c>
      <c r="BF14" s="35"/>
      <c r="BG14" s="35"/>
      <c r="BH14" s="86">
        <f>(BH10+BH13)*0.220462</f>
        <v>1625.90725</v>
      </c>
      <c r="BI14" s="86">
        <f>(BI10+BI13)*0.220462</f>
        <v>1625.90725</v>
      </c>
      <c r="BJ14" s="86">
        <f>(BJ10+BJ13)*0.220462</f>
        <v>1625.90725</v>
      </c>
      <c r="BK14" s="86">
        <f>(BK10+BK13)*0.220462</f>
        <v>1891.56396</v>
      </c>
      <c r="BL14" s="86">
        <f>(BL10+BL13)*0.220462</f>
        <v>1858.4946599999998</v>
      </c>
      <c r="BM14" s="35"/>
      <c r="BN14" s="35"/>
      <c r="BO14" s="86">
        <f>(BO10+BO13)*0.220462</f>
        <v>1855.1877299999999</v>
      </c>
      <c r="BP14" s="86">
        <f>(BP10+BP13)*0.220462</f>
        <v>1899.9415159999999</v>
      </c>
      <c r="BQ14" s="86">
        <f>(BQ10+BQ13)*0.220462</f>
        <v>1897.5164339999999</v>
      </c>
      <c r="BR14" s="86">
        <f>(BR10+BR13)*0.220462</f>
        <v>1881.6431699999998</v>
      </c>
      <c r="BS14" s="86">
        <f>(BS10+BS13)*0.220462</f>
        <v>1855.8491159999999</v>
      </c>
      <c r="BT14" s="35"/>
      <c r="BU14" s="35"/>
      <c r="BV14" s="86">
        <f>(BV10+BV13)*0.220462</f>
        <v>1834.9052259999999</v>
      </c>
      <c r="BW14" s="86">
        <f>(BW10+BW13)*0.220462</f>
        <v>1703.7303359999999</v>
      </c>
      <c r="BX14" s="86">
        <f>(BX10+BX13)*0.220462</f>
        <v>1685.43199</v>
      </c>
      <c r="BY14" s="86">
        <f>(BY10+BY13)*0.220462</f>
        <v>1707.037266</v>
      </c>
      <c r="BZ14" s="86">
        <f>(BZ10+BZ13)*0.220462</f>
        <v>1648.835298</v>
      </c>
      <c r="CA14" s="35"/>
      <c r="CB14" s="35"/>
      <c r="CC14" s="86">
        <f>(CC10+CC13)*0.220462</f>
        <v>1653.6854619999999</v>
      </c>
      <c r="CD14" s="86">
        <f>(CD10+CD13)*0.220462</f>
        <v>1669.779188</v>
      </c>
      <c r="CE14" s="86">
        <f>(CE10+CE13)*0.220462</f>
        <v>1712.328354</v>
      </c>
      <c r="CF14" s="86">
        <f>(CF10+CF13)*0.220462</f>
        <v>1681.9045979999999</v>
      </c>
      <c r="CG14" s="86">
        <f>(CG10+CG13)*0.220462</f>
        <v>1692.04585</v>
      </c>
      <c r="CH14" s="35"/>
      <c r="CI14" s="35"/>
      <c r="CJ14" s="86">
        <f>(CJ10+CJ13)*0.220462</f>
        <v>1652.3626899999999</v>
      </c>
      <c r="CK14" s="86">
        <f>(CK10+CK13)*0.220462</f>
        <v>1690.061692</v>
      </c>
      <c r="CL14" s="86">
        <f>(CL10+CL13)*0.220462</f>
        <v>1640.6782039999998</v>
      </c>
      <c r="CM14" s="86">
        <f>(CM10+CM13)*0.220462</f>
        <v>1597.026728</v>
      </c>
      <c r="CN14" s="86">
        <f>(CN10+CN13)*0.220462</f>
        <v>1679.9204399999999</v>
      </c>
      <c r="CO14" s="35"/>
      <c r="CP14" s="35"/>
      <c r="CQ14" s="86">
        <f>(CQ10+CQ13)*0.220462</f>
        <v>1683.0069079999998</v>
      </c>
      <c r="CR14" s="86">
        <f>(CR10+CR13)*0.220462</f>
        <v>1684.5501419999998</v>
      </c>
      <c r="CS14" s="86">
        <f>(CS10+CS13)*0.220462</f>
        <v>1671.763346</v>
      </c>
      <c r="CT14" s="86">
        <f>(CT10+CT13)*0.220462</f>
        <v>1697.9983239999999</v>
      </c>
      <c r="CU14" s="86">
        <f>(CU10+CU13)*0.220462</f>
        <v>1748.7045839999998</v>
      </c>
      <c r="CV14" s="35"/>
      <c r="CW14" s="35"/>
      <c r="CX14" s="86">
        <f>(CX10+CX13)*0.220462</f>
        <v>1730.6267</v>
      </c>
      <c r="CY14" s="86">
        <f>(CY10+CY13)*0.220462</f>
        <v>1762.1527659999999</v>
      </c>
      <c r="CZ14" s="86">
        <f>(CZ10+CZ13)*0.220462</f>
        <v>1799.190382</v>
      </c>
      <c r="DA14" s="86">
        <f>(DA10+DA13)*0.220462</f>
        <v>1805.8042419999999</v>
      </c>
      <c r="DB14" s="86">
        <f>(DB10+DB13)*0.220462</f>
        <v>1805.8042419999999</v>
      </c>
      <c r="DC14" s="35"/>
      <c r="DD14" s="35"/>
      <c r="DE14" s="86">
        <f>(DE10+DE13)*0.220462</f>
        <v>1840.637238</v>
      </c>
      <c r="DF14" s="86">
        <f>(DF10+DF13)*0.220462</f>
        <v>1845.487402</v>
      </c>
      <c r="DG14" s="86">
        <v>1858.7151219999998</v>
      </c>
      <c r="DH14" s="86">
        <v>1858.7151219999998</v>
      </c>
      <c r="DI14" s="86">
        <f>(DI10+DI13)*0.220462</f>
        <v>1888.477492</v>
      </c>
      <c r="DJ14" s="35"/>
      <c r="DK14" s="35"/>
      <c r="DL14" s="86">
        <f>(DL10+DL13)*0.220462</f>
        <v>1879.2180879999999</v>
      </c>
      <c r="DM14" s="86">
        <f>(DM10+DM13)*0.220462</f>
        <v>1946.4589979999998</v>
      </c>
      <c r="DN14" s="86">
        <f>(DN10+DN13)*0.220462</f>
        <v>1946.6794599999998</v>
      </c>
      <c r="DO14" s="86">
        <f>(DO10+DO13)*0.220462</f>
        <v>1986.3626199999999</v>
      </c>
      <c r="DP14" s="86">
        <f>(DP10+DP13)*0.220462</f>
        <v>1954.836554</v>
      </c>
      <c r="DQ14" s="35"/>
      <c r="DR14" s="35"/>
      <c r="DS14" s="86">
        <f>(DS10+DS13)*0.220462</f>
        <v>1812.1976399999999</v>
      </c>
      <c r="DT14" s="86">
        <f>(DT10+DT13)*0.220462</f>
        <v>1875.0293099999999</v>
      </c>
      <c r="DU14" s="86">
        <f>(DU10+DU13)*0.220462</f>
        <v>1946.2385359999998</v>
      </c>
      <c r="DV14" s="86">
        <f>(DV10+DV13)*0.220462</f>
        <v>1940.0655999999999</v>
      </c>
      <c r="DW14" s="86">
        <f>(DW10+DW13)*0.220462</f>
        <v>1999.59034</v>
      </c>
      <c r="DX14" s="35"/>
      <c r="DY14" s="35"/>
      <c r="DZ14" s="86">
        <f>(DZ10+DZ13)*0.220462</f>
        <v>1985.9216959999999</v>
      </c>
      <c r="EA14" s="86">
        <f>(EA10+EA13)*0.220462</f>
        <v>1983.2761519999999</v>
      </c>
      <c r="EB14" s="86">
        <f>(EB10+EB13)*0.220462</f>
        <v>1994.07879</v>
      </c>
      <c r="EC14" s="86">
        <f>(EC10+EC13)*0.220462</f>
        <v>1973.575824</v>
      </c>
      <c r="ED14" s="86">
        <f>(ED10+ED13)*0.220462</f>
        <v>1969.6075079999998</v>
      </c>
      <c r="EE14" s="35"/>
      <c r="EF14" s="35"/>
      <c r="EG14" s="86">
        <f>(EG10+EG13)*0.220462</f>
        <v>1814.1817979999998</v>
      </c>
      <c r="EH14" s="86">
        <f>(EH10+EH13)*0.220462</f>
        <v>1814.1817979999998</v>
      </c>
      <c r="EI14" s="86">
        <f>(EI10+EI13)*0.220462</f>
        <v>1753.77521</v>
      </c>
      <c r="EJ14" s="86">
        <f>(EJ10+EJ13)*0.220462</f>
        <v>1720.2649859999999</v>
      </c>
      <c r="EK14" s="86">
        <f>(EK10+EK13)*0.220462</f>
        <v>1740.1065659999999</v>
      </c>
      <c r="EL14" s="35"/>
      <c r="EM14" s="35"/>
      <c r="EN14" s="86">
        <f>(EN10+EN13)*0.220462</f>
        <v>1736.579174</v>
      </c>
      <c r="EO14" s="86">
        <f>(EO10+EO13)*0.220462</f>
        <v>1766.5620059999999</v>
      </c>
      <c r="EP14" s="86">
        <f>(EP10+EP13)*0.220462</f>
        <v>1744.2953439999999</v>
      </c>
      <c r="EQ14" s="86">
        <f>(EQ10+EQ13)*0.220462</f>
        <v>1768.5461639999999</v>
      </c>
      <c r="ER14" s="86">
        <f>(ER10+ER13)*0.220462</f>
        <v>1743.1930339999999</v>
      </c>
      <c r="ES14" s="35"/>
      <c r="ET14" s="35"/>
      <c r="EU14" s="86">
        <f>(EU10+EU13)*0.220462</f>
        <v>1743.1930339999999</v>
      </c>
      <c r="EV14" s="86">
        <f>(EV10+EV13)*0.220462</f>
        <v>1706.8168039999998</v>
      </c>
      <c r="EW14" s="86">
        <f>(EW10+EW13)*0.220462</f>
        <v>1684.5501419999998</v>
      </c>
      <c r="EX14" s="86">
        <f>(EX10+EX13)*0.220462</f>
        <v>1757.963988</v>
      </c>
      <c r="EY14" s="86">
        <f>(EY10+EY13)*0.220462</f>
        <v>1767.0029299999999</v>
      </c>
      <c r="EZ14" s="35"/>
      <c r="FA14" s="35"/>
      <c r="FB14" s="86">
        <f>(FB10+FB13)*0.220462</f>
        <v>1752.452438</v>
      </c>
      <c r="FC14" s="86">
        <f>(FC10+FC13)*0.220462</f>
        <v>1718.2808279999999</v>
      </c>
      <c r="FD14" s="86">
        <f>(FD10+FD13)*0.220462</f>
        <v>1751.350128</v>
      </c>
      <c r="FE14" s="86">
        <f>(FE10+FE13)*0.220462</f>
        <v>1702.6280259999999</v>
      </c>
      <c r="FF14" s="86">
        <f>(FF10+FF13)*0.220462</f>
        <v>1662.5039419999998</v>
      </c>
      <c r="FG14" s="35"/>
      <c r="FH14" s="35"/>
      <c r="FI14" s="86">
        <f>(FI10+FI13)*0.220462</f>
        <v>1675.7316619999999</v>
      </c>
      <c r="FJ14" s="86">
        <f>(FJ10+FJ13)*0.220462</f>
        <v>1670.661036</v>
      </c>
      <c r="FK14" s="86">
        <f>(FK10+FK13)*0.220462</f>
        <v>1657.2128539999999</v>
      </c>
      <c r="FL14" s="86">
        <f>(FL10+FL13)*0.220462</f>
        <v>1657.2128539999999</v>
      </c>
      <c r="FM14" s="86">
        <f>(FM10+FM13)*0.220462</f>
        <v>1571.6735979999999</v>
      </c>
      <c r="FN14" s="35"/>
      <c r="FO14" s="35"/>
      <c r="FP14" s="86">
        <f>(FP10+FP13)*0.220462</f>
        <v>1516.558098</v>
      </c>
      <c r="FQ14" s="86">
        <f>(FQ10+FQ13)*0.220462</f>
        <v>1513.912554</v>
      </c>
      <c r="FR14" s="86">
        <f>(FR10+FR13)*0.220462</f>
        <v>1458.5765919999999</v>
      </c>
      <c r="FS14" s="86">
        <f>(FS10+FS13)*0.220462</f>
        <v>1386.926442</v>
      </c>
      <c r="FT14" s="86">
        <f>(FT10+FT13)*0.220462</f>
        <v>1431.9006899999999</v>
      </c>
      <c r="FU14" s="35"/>
      <c r="FV14" s="35"/>
      <c r="FW14" s="86">
        <f>(FW10+FW13)*0.220462</f>
        <v>1550.2887839999999</v>
      </c>
      <c r="FX14" s="86">
        <f>(FX10+FX13)*0.220462</f>
        <v>1479.0795579999999</v>
      </c>
      <c r="FY14" s="86">
        <f>(FY10+FY13)*0.220462</f>
        <v>1501.3462199999999</v>
      </c>
      <c r="FZ14" s="86">
        <f>(FZ10+FZ13)*0.220462</f>
        <v>1471.142926</v>
      </c>
      <c r="GA14" s="86">
        <f>(GA10+GA13)*0.220462</f>
        <v>1399.492776</v>
      </c>
      <c r="GB14" s="35"/>
      <c r="GC14" s="35"/>
      <c r="GD14" s="86">
        <f>(GD10+GD13)*0.220462</f>
        <v>1399.492776</v>
      </c>
      <c r="GE14" s="86">
        <f>(GE10+GE13)*0.220462</f>
        <v>1285.7343839999999</v>
      </c>
      <c r="GF14" s="86">
        <f>(GF10+GF13)*0.220462</f>
        <v>1321.008304</v>
      </c>
      <c r="GG14" s="86">
        <f>(GG10+GG13)*0.220462</f>
        <v>1359.589154</v>
      </c>
      <c r="GH14" s="86">
        <f>(GH10+GH13)*0.220462</f>
        <v>1379.430734</v>
      </c>
      <c r="GI14" s="35"/>
      <c r="GJ14" s="35"/>
      <c r="GK14" s="86">
        <f>(GK10+GK13)*0.220462</f>
        <v>1404.563402</v>
      </c>
      <c r="GL14" s="86">
        <f>(GL10+GL13)*0.220462</f>
        <v>1331.8109419999998</v>
      </c>
      <c r="GM14" s="86">
        <f>(GM10+GM13)*0.220462</f>
        <v>1300.9462619999999</v>
      </c>
      <c r="GN14" s="86">
        <f>(GN10+GN13)*0.220462</f>
        <v>1274.27036</v>
      </c>
      <c r="GO14" s="86">
        <f>(GO10+GO13)*0.220462</f>
        <v>1269.420196</v>
      </c>
      <c r="GP14" s="35"/>
      <c r="GQ14" s="35"/>
      <c r="GR14" s="86">
        <f>(GR10+GR13)*0.220462</f>
        <v>1338.20434</v>
      </c>
      <c r="GS14" s="86">
        <f>(GS10+GS13)*0.220462</f>
        <v>1287.2776179999998</v>
      </c>
      <c r="GT14" s="86">
        <f>(GT10+GT13)*0.220462</f>
        <v>1261.7040259999999</v>
      </c>
      <c r="GU14" s="86">
        <f>(GU10+GU13)*0.220462</f>
        <v>1216.9502399999999</v>
      </c>
      <c r="GV14" s="86">
        <f>(GV10+GV13)*0.220462</f>
        <v>1257.0743239999999</v>
      </c>
      <c r="GW14" s="35"/>
      <c r="GX14" s="35"/>
      <c r="GY14" s="86">
        <f>(GY10+GY13)*0.220462</f>
        <v>1254.649242</v>
      </c>
      <c r="GZ14" s="86">
        <f>(GZ10+GZ13)*0.220462</f>
        <v>1276.915904</v>
      </c>
      <c r="HA14" s="86">
        <f>(HA10+HA13)*0.220462</f>
        <v>1282.6479159999999</v>
      </c>
      <c r="HB14" s="86">
        <f>(HB10+HB13)*0.220462</f>
        <v>1385.383208</v>
      </c>
      <c r="HC14" s="86">
        <f>(HC10+HC13)*0.220462</f>
        <v>1391.1152199999999</v>
      </c>
      <c r="HD14" s="35"/>
      <c r="HE14" s="35"/>
      <c r="HF14" s="86">
        <f>(HF10+HF13)*0.220462</f>
        <v>1360.911926</v>
      </c>
      <c r="HG14" s="86">
        <f>(HG10+HG13)*0.220462</f>
        <v>1338.20434</v>
      </c>
      <c r="HH14" s="86">
        <f>(HH10+HH13)*0.220462</f>
        <v>1324.5356959999999</v>
      </c>
      <c r="HI14" s="86">
        <f>(HI10+HI13)*0.220462</f>
        <v>1334.676948</v>
      </c>
      <c r="HJ14" s="86">
        <f>(HJ10+HJ13)*0.220462</f>
        <v>1390.8947579999999</v>
      </c>
      <c r="HK14" s="35"/>
      <c r="HL14" s="35"/>
      <c r="HM14" s="86">
        <f>(HM10+HM13)*0.220462</f>
        <v>1415.3660399999999</v>
      </c>
      <c r="HN14" s="86">
        <f>(HN10+HN13)*0.220462</f>
        <v>1437.1917779999999</v>
      </c>
      <c r="HO14" s="86">
        <f>(HO10+HO13)*0.220462</f>
        <v>1456.3719719999999</v>
      </c>
      <c r="HP14" s="86">
        <f>(HP10+HP13)*0.220462</f>
        <v>1443.364714</v>
      </c>
      <c r="HQ14" s="86">
        <f>(HQ10+HQ13)*0.220462</f>
        <v>1443.364714</v>
      </c>
      <c r="HR14" s="35"/>
      <c r="HS14" s="35"/>
      <c r="HT14" s="86">
        <f>(HT10+HT13)*0.220462</f>
        <v>1365.5416279999999</v>
      </c>
      <c r="HU14" s="86">
        <f>(HU10+HU13)*0.220462</f>
        <v>1308.2215079999999</v>
      </c>
      <c r="HV14" s="86">
        <f>(HV10+HV13)*0.220462</f>
        <v>1287.7185419999998</v>
      </c>
      <c r="HW14" s="86">
        <f>(HW10+HW13)*0.220462</f>
        <v>1295.434712</v>
      </c>
      <c r="HX14" s="86">
        <f>(HX10+HX13)*0.220462</f>
        <v>1331.5904799999998</v>
      </c>
      <c r="HY14" s="35"/>
      <c r="HZ14" s="35"/>
      <c r="IA14" s="86">
        <f>(IA10+IA13)*0.220462</f>
        <v>1350.7706739999999</v>
      </c>
      <c r="IB14" s="86">
        <f>(IB10+IB13)*0.220462</f>
        <v>1362.234698</v>
      </c>
      <c r="IC14" s="86">
        <f>(IC10+IC13)*0.220462</f>
        <v>1344.1568139999999</v>
      </c>
      <c r="ID14" s="86">
        <f>(ID10+ID13)*0.220462</f>
        <v>1346.8023579999999</v>
      </c>
      <c r="IE14" s="86">
        <f>(IE10+IE13)*0.220462</f>
        <v>1433.4439239999999</v>
      </c>
      <c r="IF14" s="35"/>
      <c r="IG14" s="35"/>
      <c r="IH14" s="86">
        <f>(IH10+IH13)*0.220462</f>
        <v>1432.5620759999999</v>
      </c>
      <c r="II14" s="86">
        <f>(II10+II13)*0.220462</f>
        <v>1439.3963979999999</v>
      </c>
      <c r="IJ14" s="86">
        <f>(IJ10+IJ13)*0.220462</f>
        <v>1482.3864879999999</v>
      </c>
      <c r="IK14" s="86">
        <f>(IK10+IK13)*0.220462</f>
        <v>1400.374624</v>
      </c>
      <c r="IL14" s="86">
        <f>(IL10+IL13)*0.220462</f>
        <v>1444.0261</v>
      </c>
      <c r="IM14" s="35"/>
      <c r="IN14" s="35"/>
      <c r="IO14" s="86">
        <f>(IO10+IO13)*0.220462</f>
        <v>1421.9799</v>
      </c>
      <c r="IP14" s="86">
        <f>(IP10+IP13)*0.220462</f>
        <v>1300.2848759999999</v>
      </c>
      <c r="IQ14" s="86">
        <v>1300.2848759999999</v>
      </c>
      <c r="IR14" s="86">
        <f>(IR10+IR13)*0.220462</f>
        <v>1275.593132</v>
      </c>
      <c r="IS14" s="86">
        <f>(IS10+IS13)*0.220462</f>
        <v>1284.1911499999999</v>
      </c>
      <c r="IT14" s="35"/>
      <c r="IU14" s="35"/>
      <c r="IV14" s="86">
        <f>(IV10+IV13)*0.220462</f>
        <v>1321.008304</v>
      </c>
      <c r="IW14" s="86">
        <f>(IW10+IW13)*0.220462</f>
        <v>1233.7053519999999</v>
      </c>
      <c r="IX14" s="86">
        <f>(IX10+IX13)*0.220462</f>
        <v>1157.6459620000001</v>
      </c>
      <c r="IY14" s="86">
        <f>(IY10+IY13)*0.220462</f>
        <v>1174.8419979999999</v>
      </c>
      <c r="IZ14" s="86">
        <f>(IZ10+IZ13)*0.220462</f>
        <v>1205.045292</v>
      </c>
      <c r="JA14" s="35"/>
      <c r="JB14" s="35"/>
      <c r="JC14" s="86">
        <f>(JC10+JC13)*0.220462</f>
        <v>1234.5871999999999</v>
      </c>
      <c r="JD14" s="86">
        <f>(JD10+JD13)*0.220462</f>
        <v>1181.455858</v>
      </c>
      <c r="JE14" s="86">
        <f>(JE10+JE13)*0.220462</f>
        <v>1153.6776459999999</v>
      </c>
      <c r="JF14" s="86">
        <f>(JF10+JF13)*0.220462</f>
        <v>1155.8822659999998</v>
      </c>
      <c r="JG14" s="86">
        <f>(JG10+JG13)*0.220462</f>
        <v>1102.31</v>
      </c>
      <c r="JH14" s="35"/>
      <c r="JI14" s="35"/>
      <c r="JJ14" s="86">
        <f>(JJ10+JJ13)*0.220462</f>
        <v>1093.711982</v>
      </c>
      <c r="JK14" s="86">
        <f>(JK10+JK13)*0.220462</f>
        <v>1083.7911919999999</v>
      </c>
      <c r="JL14" s="86">
        <f>(JL10+JL13)*0.220462</f>
        <v>1080.7047239999999</v>
      </c>
      <c r="JM14" s="86">
        <f>(JM10+JM13)*0.220462</f>
        <v>1179.0307760000001</v>
      </c>
      <c r="JN14" s="86">
        <f>(JN10+JN13)*0.220462</f>
        <v>1121.04927</v>
      </c>
      <c r="JO14" s="35"/>
      <c r="JP14" s="35"/>
      <c r="JQ14" s="86">
        <f>(JQ10+JQ13)*0.220462</f>
        <v>1176.8261559999999</v>
      </c>
      <c r="JR14" s="86">
        <f>(JR10+JR13)*0.220462</f>
        <v>1204.383906</v>
      </c>
      <c r="JS14" s="86">
        <f>(JS10+JS13)*0.220462</f>
        <v>1201.958824</v>
      </c>
      <c r="JT14" s="86">
        <f>(JT10+JT13)*0.220462</f>
        <v>1271.404354</v>
      </c>
      <c r="JU14" s="86">
        <f>(JU10+JU13)*0.220462</f>
        <v>1324.5356959999999</v>
      </c>
      <c r="JV14" s="35"/>
      <c r="JW14" s="35"/>
      <c r="JX14" s="86">
        <f>(JX10+JX13)*0.220462</f>
        <v>1301.6076479999999</v>
      </c>
      <c r="JY14" s="86">
        <f>(JY10+JY13)*0.220462</f>
        <v>1289.2617760000001</v>
      </c>
      <c r="JZ14" s="86">
        <v>1289.2617760000001</v>
      </c>
      <c r="KA14" s="86">
        <f>(KA10+KA13)*0.220462</f>
        <v>1311.969362</v>
      </c>
      <c r="KB14" s="86">
        <f>(KB10+KB13)*0.220462</f>
        <v>1302.2690339999999</v>
      </c>
      <c r="KC14" s="35"/>
      <c r="KD14" s="35"/>
      <c r="KE14" s="86">
        <f>(KE10+KE13)*0.220462</f>
        <v>1231.059808</v>
      </c>
      <c r="KF14" s="86">
        <f>(KF10+KF13)*0.220462</f>
        <v>1272.947588</v>
      </c>
      <c r="KG14" s="86">
        <f>(KG10+KG13)*0.220462</f>
        <v>1281.7660679999999</v>
      </c>
      <c r="KH14" s="86">
        <f>(KH10+KH13)*0.220462</f>
        <v>1243.8466039999998</v>
      </c>
      <c r="KI14" s="86">
        <f>(KI10+KI13)*0.220462</f>
        <v>1278.6795999999999</v>
      </c>
      <c r="KJ14" s="35"/>
      <c r="KK14" s="35"/>
      <c r="KL14" s="86">
        <f>(KL10+KL13)*0.220462</f>
        <v>1297.859794</v>
      </c>
      <c r="KM14" s="86">
        <f>(KM10+KM13)*0.220462</f>
        <v>1333.3541760000001</v>
      </c>
      <c r="KN14" s="86">
        <f>(KN10+KN13)*0.220462</f>
        <v>1334.236024</v>
      </c>
      <c r="KO14" s="86">
        <f>(KO10+KO13)*0.220462</f>
        <v>1318.36276</v>
      </c>
      <c r="KP14" s="86">
        <f>(KP10+KP13)*0.220462</f>
        <v>1318.142298</v>
      </c>
      <c r="KQ14" s="35"/>
      <c r="KR14" s="35"/>
      <c r="KS14" s="86">
        <f>(KS10+KS13)*0.220462</f>
        <v>1345.0386619999999</v>
      </c>
      <c r="KT14" s="86">
        <f>(KT10+KT13)*0.220462</f>
        <v>1352.9752939999998</v>
      </c>
      <c r="KU14" s="86">
        <v>1352.9752939999998</v>
      </c>
      <c r="KV14" s="86">
        <f>(KV10+KV13)*0.220462</f>
        <v>1395.3039979999999</v>
      </c>
      <c r="KW14" s="86">
        <f>(KW10+KW13)*0.220462</f>
        <v>1425.727754</v>
      </c>
      <c r="KX14" s="35"/>
      <c r="KY14" s="35"/>
      <c r="KZ14" s="86">
        <f>(KZ10+KZ13)*0.220462</f>
        <v>1407.208946</v>
      </c>
      <c r="LA14" s="86">
        <f>(LA10+LA13)*0.220462</f>
        <v>1378.548886</v>
      </c>
      <c r="LB14" s="86">
        <f>(LB10+LB13)*0.220462</f>
        <v>1389.7924479999999</v>
      </c>
      <c r="LC14" s="86">
        <f>(LC10+LC13)*0.220462</f>
        <v>1379.871658</v>
      </c>
      <c r="LD14" s="86">
        <f>(LD10+LD13)*0.220462</f>
        <v>1388.2492139999999</v>
      </c>
      <c r="LE14" s="35"/>
      <c r="LF14" s="35"/>
      <c r="LG14" s="86">
        <f>(LG10+LG13)*0.220462</f>
        <v>1362.014236</v>
      </c>
      <c r="LH14" s="86">
        <f>(LH10+LH13)*0.220462</f>
        <v>1362.014236</v>
      </c>
      <c r="LI14" s="86">
        <f>(LI10+LI13)*0.220462</f>
        <v>1304.6941159999999</v>
      </c>
      <c r="LJ14" s="86">
        <f>(LJ10+LJ13)*0.220462</f>
        <v>1261.7040259999999</v>
      </c>
      <c r="LK14" s="86">
        <f>(LK10+LK13)*0.220462</f>
        <v>1272.947588</v>
      </c>
      <c r="LL14" s="35"/>
      <c r="LM14" s="35"/>
      <c r="LN14" s="86">
        <f>(LN10+LN13)*0.220462</f>
        <v>1300.7257999999999</v>
      </c>
      <c r="LO14" s="86">
        <f>(LO10+LO13)*0.220462</f>
        <v>1308.2215079999999</v>
      </c>
      <c r="LP14" s="86">
        <f>(LP10+LP13)*0.220462</f>
        <v>1380.312582</v>
      </c>
      <c r="LQ14" s="86">
        <f>(LQ10+LQ13)*0.220462</f>
        <v>1380.312582</v>
      </c>
      <c r="LR14" s="86">
        <f>(LR10+LR13)*0.220462</f>
        <v>1345.2591239999999</v>
      </c>
      <c r="LS14" s="35"/>
      <c r="LT14" s="35"/>
      <c r="LU14" s="86">
        <f>(LU10+LU13)*0.220462</f>
        <v>1313.071672</v>
      </c>
      <c r="LV14" s="86">
        <f>(LV10+LV13)*0.220462</f>
        <v>1334.676948</v>
      </c>
      <c r="LW14" s="86">
        <f>(LW10+LW13)*0.220462</f>
        <v>1316.819526</v>
      </c>
      <c r="LX14" s="86">
        <f>(LX10+LX13)*0.220462</f>
        <v>1199.3132799999998</v>
      </c>
      <c r="LY14" s="86">
        <f>(LY10+LY13)*0.220462</f>
        <v>1181.455858</v>
      </c>
      <c r="LZ14" s="35"/>
      <c r="MA14" s="35"/>
      <c r="MB14" s="86">
        <f>(MB10+MB13)*0.220462</f>
        <v>1199.3132799999998</v>
      </c>
      <c r="MC14" s="86">
        <f>(MC10+MC13)*0.220462</f>
        <v>1198.6518939999999</v>
      </c>
      <c r="MD14" s="86">
        <f>(MD10+MD13)*0.220462</f>
        <v>1182.77863</v>
      </c>
      <c r="ME14" s="86">
        <f>(ME10+ME13)*0.220462</f>
        <v>1201.5179000000001</v>
      </c>
      <c r="MF14" s="86">
        <f>(MF10+MF13)*0.220462</f>
        <v>1194.9040399999999</v>
      </c>
      <c r="MG14" s="35"/>
      <c r="MH14" s="35"/>
      <c r="MI14" s="86">
        <f>(MI10+MI13)*0.220462</f>
        <v>1199.0928179999999</v>
      </c>
      <c r="MJ14" s="86">
        <f>(MJ10+MJ13)*0.220462</f>
        <v>1263.4677219999999</v>
      </c>
      <c r="MK14" s="86">
        <f>(MK10+MK13)*0.220462</f>
        <v>1252.444622</v>
      </c>
      <c r="ML14" s="86">
        <f>(ML10+ML13)*0.220462</f>
        <v>1208.572684</v>
      </c>
      <c r="MM14" s="86">
        <f>(MM10+MM13)*0.220462</f>
        <v>1242.5238319999999</v>
      </c>
      <c r="MN14" s="35"/>
      <c r="MO14" s="35"/>
      <c r="MP14" s="86">
        <f>(MP10+MP13)*0.220462</f>
        <v>1265.6723419999998</v>
      </c>
      <c r="MQ14" s="86">
        <f>(MQ10+MQ13)*0.220462</f>
        <v>1290.80501</v>
      </c>
      <c r="MR14" s="86">
        <f>(MR10+MR13)*0.220462</f>
        <v>1285.5139219999999</v>
      </c>
      <c r="MS14" s="86">
        <f>(MS10+MS13)*0.220462</f>
        <v>1252.22416</v>
      </c>
      <c r="MT14" s="86">
        <f>(MT10+MT13)*0.220462</f>
        <v>1255.090166</v>
      </c>
      <c r="MU14" s="35"/>
      <c r="MV14" s="35"/>
      <c r="MW14" s="86">
        <f>(MW10+MW13)*0.220462</f>
        <v>1255.090166</v>
      </c>
      <c r="MX14" s="86">
        <f>(MX10+MX13)*0.220462</f>
        <v>1270.96343</v>
      </c>
      <c r="MY14" s="86">
        <f>(MY10+MY13)*0.220462</f>
        <v>1241.2010599999999</v>
      </c>
      <c r="MZ14" s="86">
        <f>(MZ10+MZ13)*0.220462</f>
        <v>1243.4056799999998</v>
      </c>
      <c r="NA14" s="86">
        <f>(NA10+NA13)*0.220462</f>
        <v>1243.4056799999998</v>
      </c>
      <c r="NB14" s="35"/>
    </row>
    <row r="15" spans="1:366" x14ac:dyDescent="0.25">
      <c r="A15" s="16" t="s">
        <v>82</v>
      </c>
      <c r="B15" s="87"/>
      <c r="C15" s="87"/>
      <c r="D15" s="87">
        <f>D14*D20</f>
        <v>7412.5279078620006</v>
      </c>
      <c r="E15" s="87">
        <f>E14*E20</f>
        <v>7652.0548002359992</v>
      </c>
      <c r="F15" s="87">
        <f>F14*F20</f>
        <v>7521.9897159439988</v>
      </c>
      <c r="G15" s="87">
        <f>G14*G20</f>
        <v>7643.1776773439997</v>
      </c>
      <c r="H15" s="87">
        <f>H14*H20</f>
        <v>7522.995684049999</v>
      </c>
      <c r="I15" s="87"/>
      <c r="J15" s="87"/>
      <c r="K15" s="87">
        <f>K14*K20</f>
        <v>7429.1033433319999</v>
      </c>
      <c r="L15" s="87">
        <f>L14*L20</f>
        <v>7440.1548829299991</v>
      </c>
      <c r="M15" s="87">
        <f>M14*M20</f>
        <v>7390.2627890959993</v>
      </c>
      <c r="N15" s="87">
        <f>N14*N20</f>
        <v>7222.9621139279989</v>
      </c>
      <c r="O15" s="87">
        <f>O14*O20</f>
        <v>7156.2910981980003</v>
      </c>
      <c r="P15" s="87"/>
      <c r="Q15" s="87"/>
      <c r="R15" s="87">
        <f>R14*R20</f>
        <v>7314.0788380659988</v>
      </c>
      <c r="S15" s="87">
        <f>S14*S20</f>
        <v>7434.4786478159995</v>
      </c>
      <c r="T15" s="87">
        <f>T14*T20</f>
        <v>7606.4482672199993</v>
      </c>
      <c r="U15" s="87">
        <f>U14*U20</f>
        <v>7627.8362558727995</v>
      </c>
      <c r="V15" s="87">
        <f>V14*V20</f>
        <v>7674.1940352000001</v>
      </c>
      <c r="W15" s="87"/>
      <c r="X15" s="21"/>
      <c r="Y15" s="87">
        <f>Y14*Y20</f>
        <v>7561.5222563056004</v>
      </c>
      <c r="Z15" s="87">
        <f>Z14*Z20</f>
        <v>7635.7756216016005</v>
      </c>
      <c r="AA15" s="87">
        <f>AA14*AA20</f>
        <v>7657.1320400960003</v>
      </c>
      <c r="AB15" s="87">
        <f>AB14*AB20</f>
        <v>7633.8792515699997</v>
      </c>
      <c r="AC15" s="87">
        <f>AC14*AC20</f>
        <v>7644.2255332299983</v>
      </c>
      <c r="AD15" s="21"/>
      <c r="AE15" s="21"/>
      <c r="AF15" s="87">
        <f>AF14*AF20</f>
        <v>7537.3780076364001</v>
      </c>
      <c r="AG15" s="87">
        <f>AG14*AG20</f>
        <v>7571.1816224659988</v>
      </c>
      <c r="AH15" s="87">
        <f>AH14*AH20</f>
        <v>7585.8459610427999</v>
      </c>
      <c r="AI15" s="87">
        <f>AI14*AI20</f>
        <v>7627.2918470099994</v>
      </c>
      <c r="AJ15" s="87">
        <f>AJ14*AJ20</f>
        <v>7618.5952824960004</v>
      </c>
      <c r="AK15" s="21"/>
      <c r="AL15" s="21"/>
      <c r="AM15" s="87">
        <f>AM14*AM20</f>
        <v>7563.4983894888001</v>
      </c>
      <c r="AN15" s="87">
        <f>AN14*AN20</f>
        <v>7371.2818927439994</v>
      </c>
      <c r="AO15" s="87">
        <f>AO14*AO20</f>
        <v>7707.641647991999</v>
      </c>
      <c r="AP15" s="87">
        <f>AP14*AP20</f>
        <v>7662.2103602198004</v>
      </c>
      <c r="AQ15" s="87">
        <f>AQ14*AQ20</f>
        <v>7841.2717791935993</v>
      </c>
      <c r="AR15" s="21"/>
      <c r="AS15" s="21"/>
      <c r="AT15" s="87">
        <f>AT14*AT20</f>
        <v>7846.5863463965998</v>
      </c>
      <c r="AU15" s="87">
        <f>AU14*AU20</f>
        <v>7792.1150584068</v>
      </c>
      <c r="AV15" s="87">
        <f>AV14*AV20</f>
        <v>8020.9039522392004</v>
      </c>
      <c r="AW15" s="87">
        <f>AW14*AW20</f>
        <v>8219.8115147764001</v>
      </c>
      <c r="AX15" s="87">
        <f>AX14*AX20</f>
        <v>8043.2880984389994</v>
      </c>
      <c r="AY15" s="21"/>
      <c r="AZ15" s="21"/>
      <c r="BA15" s="87">
        <f>BA14*BA20</f>
        <v>7989.8594193396002</v>
      </c>
      <c r="BB15" s="87">
        <f>BB14*BB20</f>
        <v>8106.1433578729993</v>
      </c>
      <c r="BC15" s="87">
        <f>BC14*BC20</f>
        <v>8093.8743609723997</v>
      </c>
      <c r="BD15" s="87">
        <f>BD14*BD20</f>
        <v>8404.7036906800004</v>
      </c>
      <c r="BE15" s="87">
        <f>BE14*BE20</f>
        <v>8355.8625391999994</v>
      </c>
      <c r="BF15" s="21"/>
      <c r="BG15" s="21"/>
      <c r="BH15" s="87">
        <f>BH14*BH20</f>
        <v>8355.8625391999994</v>
      </c>
      <c r="BI15" s="87">
        <f>BI14*BI20</f>
        <v>8355.8625391999994</v>
      </c>
      <c r="BJ15" s="87">
        <f>BJ14*BJ20</f>
        <v>8348.0581844000008</v>
      </c>
      <c r="BK15" s="87">
        <f>BK14*BK20</f>
        <v>9547.8582444959993</v>
      </c>
      <c r="BL15" s="87">
        <f>BL14*BL20</f>
        <v>9432.7896468299987</v>
      </c>
      <c r="BM15" s="21"/>
      <c r="BN15" s="21"/>
      <c r="BO15" s="87">
        <f>BO14*BO20</f>
        <v>9382.982982020998</v>
      </c>
      <c r="BP15" s="87">
        <f>BP14*BP20</f>
        <v>9672.7922521075998</v>
      </c>
      <c r="BQ15" s="87">
        <f>BQ14*BQ20</f>
        <v>9505.0393211927985</v>
      </c>
      <c r="BR15" s="87">
        <f>BR14*BR20</f>
        <v>9504.3678159869996</v>
      </c>
      <c r="BS15" s="87">
        <f>BS14*BS20</f>
        <v>9326.0129777231996</v>
      </c>
      <c r="BT15" s="21"/>
      <c r="BU15" s="21"/>
      <c r="BV15" s="87">
        <f>BV14*BV20</f>
        <v>9292.6940265543999</v>
      </c>
      <c r="BW15" s="87">
        <f>BW14*BW20</f>
        <v>8742.1811000831985</v>
      </c>
      <c r="BX15" s="87">
        <f>BX14*BX20</f>
        <v>8642.8952447200008</v>
      </c>
      <c r="BY15" s="87">
        <f>BY14*BY20</f>
        <v>8663.21412495</v>
      </c>
      <c r="BZ15" s="87">
        <f>BZ14*BZ20</f>
        <v>8311.613853688199</v>
      </c>
      <c r="CA15" s="21"/>
      <c r="CB15" s="21"/>
      <c r="CC15" s="87">
        <f>CC14*CC20</f>
        <v>8212.6981099305995</v>
      </c>
      <c r="CD15" s="87">
        <f>CD14*CD20</f>
        <v>8216.315472472801</v>
      </c>
      <c r="CE15" s="87">
        <f>CE14*CE20</f>
        <v>8340.0664809924001</v>
      </c>
      <c r="CF15" s="87">
        <f>CF14*CF20</f>
        <v>8083.9062598271994</v>
      </c>
      <c r="CG15" s="87">
        <f>CG14*CG20</f>
        <v>8084.5950712999993</v>
      </c>
      <c r="CH15" s="21"/>
      <c r="CI15" s="21"/>
      <c r="CJ15" s="87">
        <f>CJ14*CJ20</f>
        <v>7915.3129939070004</v>
      </c>
      <c r="CK15" s="87">
        <f>CK14*CK20</f>
        <v>8024.919932123601</v>
      </c>
      <c r="CL15" s="87">
        <f>CL14*CL20</f>
        <v>7792.2370620775982</v>
      </c>
      <c r="CM15" s="87">
        <f>CM14*CM20</f>
        <v>7565.9141239</v>
      </c>
      <c r="CN15" s="87">
        <f>CN14*CN20</f>
        <v>7892.6022112079991</v>
      </c>
      <c r="CO15" s="21"/>
      <c r="CP15" s="21"/>
      <c r="CQ15" s="87">
        <f>CQ14*CQ20</f>
        <v>7770.7794956176003</v>
      </c>
      <c r="CR15" s="87">
        <f>CR14*CR20</f>
        <v>7816.1442038657988</v>
      </c>
      <c r="CS15" s="87">
        <f>CS14*CS20</f>
        <v>7851.2693781543994</v>
      </c>
      <c r="CT15" s="87">
        <f>CT14*CT20</f>
        <v>8051.908052408</v>
      </c>
      <c r="CU15" s="87">
        <f>CU14*CU20</f>
        <v>8308.0954785840004</v>
      </c>
      <c r="CV15" s="21"/>
      <c r="CW15" s="21"/>
      <c r="CX15" s="87">
        <f>CX14*CX20</f>
        <v>8137.7528687400008</v>
      </c>
      <c r="CY15" s="87">
        <f>CY14*CY20</f>
        <v>8190.6622716446</v>
      </c>
      <c r="CZ15" s="87">
        <f>CZ14*CZ20</f>
        <v>8422.0101781419999</v>
      </c>
      <c r="DA15" s="87">
        <f>DA14*DA20</f>
        <v>8515.2699031509983</v>
      </c>
      <c r="DB15" s="87">
        <f>DB14*DB20</f>
        <v>8515.2699031509983</v>
      </c>
      <c r="DC15" s="21"/>
      <c r="DD15" s="21"/>
      <c r="DE15" s="87">
        <f>DE14*DE20</f>
        <v>8604.2428327548005</v>
      </c>
      <c r="DF15" s="87">
        <f>DF14*DF20</f>
        <v>8619.3489110409992</v>
      </c>
      <c r="DG15" s="87">
        <v>8623.3229370068002</v>
      </c>
      <c r="DH15" s="87">
        <v>8623.3229370068002</v>
      </c>
      <c r="DI15" s="87">
        <f>DI14*DI20</f>
        <v>8936.8420353916008</v>
      </c>
      <c r="DJ15" s="21"/>
      <c r="DK15" s="21"/>
      <c r="DL15" s="87">
        <f>DL14*DL20</f>
        <v>9173.4030965719994</v>
      </c>
      <c r="DM15" s="87">
        <f>DM14*DM20</f>
        <v>9691.4193510419991</v>
      </c>
      <c r="DN15" s="87">
        <f>DN14*DN20</f>
        <v>9765.3228431439984</v>
      </c>
      <c r="DO15" s="87">
        <f>DO14*DO20</f>
        <v>9953.6630888199998</v>
      </c>
      <c r="DP15" s="87">
        <f>DP14*DP20</f>
        <v>9615.8410091259993</v>
      </c>
      <c r="DQ15" s="21"/>
      <c r="DR15" s="21"/>
      <c r="DS15" s="87">
        <f>DS14*DS20</f>
        <v>9108.6489979319995</v>
      </c>
      <c r="DT15" s="87">
        <f>DT14*DT20</f>
        <v>9405.8970306840001</v>
      </c>
      <c r="DU15" s="87">
        <f>DU14*DU20</f>
        <v>9748.7088268240004</v>
      </c>
      <c r="DV15" s="87">
        <f>DV14*DV20</f>
        <v>9702.2680655999993</v>
      </c>
      <c r="DW15" s="87">
        <f>DW14*DW20</f>
        <v>10147.920975500001</v>
      </c>
      <c r="DX15" s="21"/>
      <c r="DY15" s="21"/>
      <c r="DZ15" s="87">
        <f>DZ14*DZ20</f>
        <v>10194.530434246399</v>
      </c>
      <c r="EA15" s="87">
        <f>EA14*EA20</f>
        <v>10191.857817512799</v>
      </c>
      <c r="EB15" s="87">
        <f>EB14*EB20</f>
        <v>10217.65971996</v>
      </c>
      <c r="EC15" s="87">
        <f>EC14*EC20</f>
        <v>10159.968341951999</v>
      </c>
      <c r="ED15" s="87">
        <f>ED14*ED20</f>
        <v>10058.785543356</v>
      </c>
      <c r="EE15" s="21"/>
      <c r="EF15" s="21"/>
      <c r="EG15" s="87">
        <f>EG14*EG20</f>
        <v>9190.6449886679984</v>
      </c>
      <c r="EH15" s="87">
        <f>EH14*EH20</f>
        <v>9011.5852452053987</v>
      </c>
      <c r="EI15" s="87">
        <f>EI14*EI20</f>
        <v>8696.9712663899991</v>
      </c>
      <c r="EJ15" s="87">
        <f>EJ14*EJ20</f>
        <v>8462.8435986269997</v>
      </c>
      <c r="EK15" s="87">
        <f>EK14*EK20</f>
        <v>8487.3697756649999</v>
      </c>
      <c r="EL15" s="21"/>
      <c r="EM15" s="21"/>
      <c r="EN15" s="87">
        <f>EN14*EN20</f>
        <v>8330.3702976779987</v>
      </c>
      <c r="EO15" s="87">
        <f>EO14*EO20</f>
        <v>8497.6932174617996</v>
      </c>
      <c r="EP15" s="87">
        <f>EP14*EP20</f>
        <v>8434.7145654464002</v>
      </c>
      <c r="EQ15" s="87">
        <f>EQ14*EQ20</f>
        <v>8482.6548210095989</v>
      </c>
      <c r="ER15" s="87">
        <f>ER14*ER20</f>
        <v>8268.3131988688001</v>
      </c>
      <c r="ES15" s="21"/>
      <c r="ET15" s="21"/>
      <c r="EU15" s="87">
        <f>EU14*EU20</f>
        <v>8230.1372714242007</v>
      </c>
      <c r="EV15" s="87">
        <f>EV14*EV20</f>
        <v>8070.8539393943993</v>
      </c>
      <c r="EW15" s="87">
        <f>EW14*EW20</f>
        <v>8045.7483882203996</v>
      </c>
      <c r="EX15" s="87">
        <f>EX14*EX20</f>
        <v>8416.4283889487997</v>
      </c>
      <c r="EY15" s="87">
        <f>EY14*EY20</f>
        <v>8473.309150228999</v>
      </c>
      <c r="EZ15" s="21"/>
      <c r="FA15" s="21"/>
      <c r="FB15" s="87">
        <f>FB14*FB20</f>
        <v>8383.0314824167999</v>
      </c>
      <c r="FC15" s="87">
        <f>FC14*FC20</f>
        <v>8403.4242174167994</v>
      </c>
      <c r="FD15" s="87">
        <f>FD14*FD20</f>
        <v>8530.8264734880013</v>
      </c>
      <c r="FE15" s="87">
        <f>FE14*FE20</f>
        <v>8334.8749756777997</v>
      </c>
      <c r="FF15" s="87">
        <f>FF14*FF20</f>
        <v>8284.7558941685984</v>
      </c>
      <c r="FG15" s="21"/>
      <c r="FH15" s="21"/>
      <c r="FI15" s="87">
        <f>FI14*FI20</f>
        <v>8551.2586711859985</v>
      </c>
      <c r="FJ15" s="87">
        <f>FJ14*FJ20</f>
        <v>8539.2497533067999</v>
      </c>
      <c r="FK15" s="87">
        <f>FK14*FK20</f>
        <v>8471.0092245063988</v>
      </c>
      <c r="FL15" s="87">
        <f>FL14*FL20</f>
        <v>8471.0092245063988</v>
      </c>
      <c r="FM15" s="87">
        <f>FM14*FM20</f>
        <v>8064.2572313379997</v>
      </c>
      <c r="FN15" s="21"/>
      <c r="FO15" s="21"/>
      <c r="FP15" s="87">
        <f>FP14*FP20</f>
        <v>7831.5060180719993</v>
      </c>
      <c r="FQ15" s="87">
        <f>FQ14*FQ20</f>
        <v>7797.1038268661996</v>
      </c>
      <c r="FR15" s="87">
        <f>FR14*FR20</f>
        <v>7512.5445947551989</v>
      </c>
      <c r="FS15" s="87">
        <f>FS14*FS20</f>
        <v>7188.4397488859995</v>
      </c>
      <c r="FT15" s="87">
        <f>FT14*FT20</f>
        <v>7493.136310769999</v>
      </c>
      <c r="FU15" s="21"/>
      <c r="FV15" s="21"/>
      <c r="FW15" s="87">
        <f>FW14*FW20</f>
        <v>8092.6624813583994</v>
      </c>
      <c r="FX15" s="87">
        <f>FX14*FX20</f>
        <v>7717.2455018207993</v>
      </c>
      <c r="FY15" s="87">
        <f>FY14*FY20</f>
        <v>7846.7860188299992</v>
      </c>
      <c r="FZ15" s="87">
        <f>FZ14*FZ20</f>
        <v>7705.5524178027999</v>
      </c>
      <c r="GA15" s="87">
        <f>GA14*GA20</f>
        <v>7436.9046116640002</v>
      </c>
      <c r="GB15" s="21"/>
      <c r="GC15" s="21"/>
      <c r="GD15" s="87">
        <f>GD14*GD20</f>
        <v>7422.2099375159996</v>
      </c>
      <c r="GE15" s="87">
        <f>GE14*GE20</f>
        <v>6929.5940360063987</v>
      </c>
      <c r="GF15" s="87">
        <f>GF14*GF20</f>
        <v>7175.4529056672</v>
      </c>
      <c r="GG15" s="87">
        <f>GG14*GG20</f>
        <v>7292.4283453097996</v>
      </c>
      <c r="GH15" s="87">
        <f>GH14*GH20</f>
        <v>7322.4321652921999</v>
      </c>
      <c r="GI15" s="21"/>
      <c r="GJ15" s="21"/>
      <c r="GK15" s="87">
        <f>GK14*GK20</f>
        <v>7510.7623358548008</v>
      </c>
      <c r="GL15" s="87">
        <f>GL14*GL20</f>
        <v>7207.3612748213991</v>
      </c>
      <c r="GM15" s="87">
        <f>GM14*GM20</f>
        <v>7023.8088685379998</v>
      </c>
      <c r="GN15" s="87">
        <f>GN14*GN20</f>
        <v>6953.0562193400001</v>
      </c>
      <c r="GO15" s="87">
        <f>GO14*GO20</f>
        <v>6856.2654206155994</v>
      </c>
      <c r="GP15" s="21"/>
      <c r="GQ15" s="21"/>
      <c r="GR15" s="87">
        <f>GR14*GR20</f>
        <v>7182.4103336480002</v>
      </c>
      <c r="GS15" s="87">
        <f>GS14*GS20</f>
        <v>6938.5550887817999</v>
      </c>
      <c r="GT15" s="87">
        <f>GT14*GT20</f>
        <v>6849.1603051409993</v>
      </c>
      <c r="GU15" s="87">
        <f>GU14*GU20</f>
        <v>6662.437478928</v>
      </c>
      <c r="GV15" s="87">
        <f>GV14*GV20</f>
        <v>6857.9689745819996</v>
      </c>
      <c r="GW15" s="21"/>
      <c r="GX15" s="21"/>
      <c r="GY15" s="87">
        <f>GY14*GY20</f>
        <v>6792.7964611122006</v>
      </c>
      <c r="GZ15" s="87">
        <f>GZ14*GZ20</f>
        <v>6776.7203941183998</v>
      </c>
      <c r="HA15" s="87">
        <f>HA14*HA20</f>
        <v>6807.1407550035992</v>
      </c>
      <c r="HB15" s="87">
        <f>HB14*HB20</f>
        <v>7187.5066214248</v>
      </c>
      <c r="HC15" s="87">
        <f>HC14*HC20</f>
        <v>7217.244872882</v>
      </c>
      <c r="HD15" s="21"/>
      <c r="HE15" s="21"/>
      <c r="HF15" s="87">
        <f>HF14*HF20</f>
        <v>7121.1077439875999</v>
      </c>
      <c r="HG15" s="87">
        <f>HG14*HG20</f>
        <v>7002.2880294839997</v>
      </c>
      <c r="HH15" s="87">
        <f>HH14*HH20</f>
        <v>6999.2439783727996</v>
      </c>
      <c r="HI15" s="87">
        <f>HI14*HI20</f>
        <v>6994.5080136888</v>
      </c>
      <c r="HJ15" s="87">
        <f>HJ14*HJ20</f>
        <v>7255.1852366795993</v>
      </c>
      <c r="HK15" s="21"/>
      <c r="HL15" s="21"/>
      <c r="HM15" s="87">
        <f>HM14*HM20</f>
        <v>7252.9017353759991</v>
      </c>
      <c r="HN15" s="87">
        <f>HN14*HN20</f>
        <v>7361.4400060937987</v>
      </c>
      <c r="HO15" s="87">
        <f>HO14*HO20</f>
        <v>7353.8046354168</v>
      </c>
      <c r="HP15" s="87">
        <f>HP14*HP20</f>
        <v>7379.0577638536006</v>
      </c>
      <c r="HQ15" s="87">
        <f>HQ14*HQ20</f>
        <v>7364.0467708280003</v>
      </c>
      <c r="HR15" s="21"/>
      <c r="HS15" s="21"/>
      <c r="HT15" s="87">
        <f>HT14*HT20</f>
        <v>6953.2014156132</v>
      </c>
      <c r="HU15" s="87">
        <f>HU14*HU20</f>
        <v>6716.0167556195993</v>
      </c>
      <c r="HV15" s="87">
        <f>HV14*HV20</f>
        <v>6668.0641541843997</v>
      </c>
      <c r="HW15" s="87">
        <f>HW14*HW20</f>
        <v>6706.4655040239995</v>
      </c>
      <c r="HX15" s="87">
        <f>HX14*HX20</f>
        <v>6918.6778159839996</v>
      </c>
      <c r="HY15" s="21"/>
      <c r="HZ15" s="21"/>
      <c r="IA15" s="87">
        <f>IA14*IA20</f>
        <v>6984.2948469843996</v>
      </c>
      <c r="IB15" s="87">
        <f>IB14*IB20</f>
        <v>6951.074993484599</v>
      </c>
      <c r="IC15" s="87">
        <f>IC14*IC20</f>
        <v>6861.5172884258</v>
      </c>
      <c r="ID15" s="87">
        <f>ID14*ID20</f>
        <v>6891.5876658859997</v>
      </c>
      <c r="IE15" s="87">
        <f>IE14*IE20</f>
        <v>7296.2295731599997</v>
      </c>
      <c r="IF15" s="21"/>
      <c r="IG15" s="21"/>
      <c r="IH15" s="87">
        <f>IH14*IH20</f>
        <v>7223.8375244376002</v>
      </c>
      <c r="II15" s="87">
        <f>II14*II20</f>
        <v>7285.360928837199</v>
      </c>
      <c r="IJ15" s="87">
        <f>IJ14*IJ20</f>
        <v>7676.8349054055998</v>
      </c>
      <c r="IK15" s="87">
        <f>IK14*IK20</f>
        <v>7282.5081946496002</v>
      </c>
      <c r="IL15" s="87">
        <f>IL14*IL20</f>
        <v>7490.8853937499998</v>
      </c>
      <c r="IM15" s="21"/>
      <c r="IN15" s="21"/>
      <c r="IO15" s="87">
        <f>IO14*IO20</f>
        <v>7349.2187171700007</v>
      </c>
      <c r="IP15" s="87">
        <f>IP14*IP20</f>
        <v>6781.2456853151998</v>
      </c>
      <c r="IQ15" s="87">
        <v>6781.2456853151998</v>
      </c>
      <c r="IR15" s="87">
        <f>IR14*IR20</f>
        <v>6652.4733020064004</v>
      </c>
      <c r="IS15" s="87">
        <f>IS14*IS20</f>
        <v>6630.2789074499997</v>
      </c>
      <c r="IT15" s="21"/>
      <c r="IU15" s="21"/>
      <c r="IV15" s="87">
        <f>IV14*IV20</f>
        <v>6760.9204998720006</v>
      </c>
      <c r="IW15" s="87">
        <f>IW14*IW20</f>
        <v>6389.4833885431999</v>
      </c>
      <c r="IX15" s="87">
        <f>IX14*IX20</f>
        <v>5993.2489098702008</v>
      </c>
      <c r="IY15" s="87">
        <f>IY14*IY20</f>
        <v>6133.6151031583986</v>
      </c>
      <c r="IZ15" s="87">
        <f>IZ14*IZ20</f>
        <v>6372.1589995668</v>
      </c>
      <c r="JA15" s="21"/>
      <c r="JB15" s="21"/>
      <c r="JC15" s="87">
        <f>JC14*JC20</f>
        <v>6464.7924140799996</v>
      </c>
      <c r="JD15" s="87">
        <f>JD14*JD20</f>
        <v>6108.3630770316004</v>
      </c>
      <c r="JE15" s="87">
        <f>JE14*JE20</f>
        <v>5963.2443844093996</v>
      </c>
      <c r="JF15" s="87">
        <f>JF14*JF20</f>
        <v>5972.9060213283992</v>
      </c>
      <c r="JG15" s="87">
        <f>JG14*JG20</f>
        <v>5760.0106739999992</v>
      </c>
      <c r="JH15" s="21"/>
      <c r="JI15" s="21"/>
      <c r="JJ15" s="87">
        <f>JJ14*JJ20</f>
        <v>5856.2808076190004</v>
      </c>
      <c r="JK15" s="87">
        <f>JK14*JK20</f>
        <v>5798.8247727959997</v>
      </c>
      <c r="JL15" s="87">
        <f>JL14*JL20</f>
        <v>5791.6046863883994</v>
      </c>
      <c r="JM15" s="87">
        <f>JM14*JM20</f>
        <v>6356.5086226488002</v>
      </c>
      <c r="JN15" s="87">
        <f>JN14*JN20</f>
        <v>6060.7286684009996</v>
      </c>
      <c r="JO15" s="21"/>
      <c r="JP15" s="21"/>
      <c r="JQ15" s="87">
        <f>JQ14*JQ20</f>
        <v>6119.3783285844002</v>
      </c>
      <c r="JR15" s="87">
        <f>JR14*JR20</f>
        <v>6191.4967839647998</v>
      </c>
      <c r="JS15" s="87">
        <f>JS14*JS20</f>
        <v>6266.8931124536002</v>
      </c>
      <c r="JT15" s="87">
        <f>JT14*JT20</f>
        <v>6611.9383429769996</v>
      </c>
      <c r="JU15" s="87">
        <f>JU14*JU20</f>
        <v>6916.4604973727992</v>
      </c>
      <c r="JV15" s="21"/>
      <c r="JW15" s="21"/>
      <c r="JX15" s="87">
        <f>JX14*JX20</f>
        <v>6760.2898021824003</v>
      </c>
      <c r="JY15" s="87">
        <f>JY14*JY20</f>
        <v>6712.4125105664007</v>
      </c>
      <c r="JZ15" s="87">
        <v>6712.4125105664007</v>
      </c>
      <c r="KA15" s="87">
        <f>KA14*KA20</f>
        <v>6955.2743757068001</v>
      </c>
      <c r="KB15" s="87">
        <f>KB14*KB20</f>
        <v>6878.7152644913995</v>
      </c>
      <c r="KC15" s="21"/>
      <c r="KD15" s="21"/>
      <c r="KE15" s="87">
        <f>KE14*KE20</f>
        <v>6486.9465522751998</v>
      </c>
      <c r="KF15" s="87">
        <f>KF14*KF20</f>
        <v>6707.6700202071997</v>
      </c>
      <c r="KG15" s="87">
        <f>KG14*KG20</f>
        <v>6768.3657220739997</v>
      </c>
      <c r="KH15" s="87">
        <f>KH14*KH20</f>
        <v>6489.5208870491988</v>
      </c>
      <c r="KI15" s="87">
        <f>KI14*KI20</f>
        <v>6638.3930113599999</v>
      </c>
      <c r="KJ15" s="21"/>
      <c r="KK15" s="21"/>
      <c r="KL15" s="87">
        <f>KL14*KL20</f>
        <v>6845.0423395353992</v>
      </c>
      <c r="KM15" s="87">
        <f>KM14*KM20</f>
        <v>7078.5106495487998</v>
      </c>
      <c r="KN15" s="87">
        <f>KN14*KN20</f>
        <v>7104.1397097879999</v>
      </c>
      <c r="KO15" s="87">
        <f>KO14*KO20</f>
        <v>6987.3226279999999</v>
      </c>
      <c r="KP15" s="87">
        <f>KP14*KP20</f>
        <v>7045.7342112696006</v>
      </c>
      <c r="KQ15" s="21"/>
      <c r="KR15" s="21"/>
      <c r="KS15" s="87">
        <f>KS14*KS20</f>
        <v>7070.4647345354006</v>
      </c>
      <c r="KT15" s="87">
        <f>KT14*KT20</f>
        <v>6967.4168715117994</v>
      </c>
      <c r="KU15" s="87">
        <v>6967.4168715117994</v>
      </c>
      <c r="KV15" s="87">
        <f>KV14*KV20</f>
        <v>7164.3279081307992</v>
      </c>
      <c r="KW15" s="87">
        <f>KW14*KW20</f>
        <v>7179.5372508178007</v>
      </c>
      <c r="KX15" s="21"/>
      <c r="KY15" s="21"/>
      <c r="KZ15" s="87">
        <f>KZ14*KZ20</f>
        <v>7160.3012799318003</v>
      </c>
      <c r="LA15" s="87">
        <f>LA14*LA20</f>
        <v>7132.7497910526008</v>
      </c>
      <c r="LB15" s="87">
        <f>LB14*LB20</f>
        <v>7174.9424920448</v>
      </c>
      <c r="LC15" s="87">
        <f>LC14*LC20</f>
        <v>7321.7370045137995</v>
      </c>
      <c r="LD15" s="87">
        <f>LD14*LD20</f>
        <v>7364.3844304271997</v>
      </c>
      <c r="LE15" s="21"/>
      <c r="LF15" s="21"/>
      <c r="LG15" s="87">
        <f>LG14*LG20</f>
        <v>7220.037465036</v>
      </c>
      <c r="LH15" s="87">
        <f>LH14*LH20</f>
        <v>7220.037465036</v>
      </c>
      <c r="LI15" s="87">
        <f>LI14*LI20</f>
        <v>6941.1031665315995</v>
      </c>
      <c r="LJ15" s="87">
        <f>LJ14*LJ20</f>
        <v>6895.4648428951996</v>
      </c>
      <c r="LK15" s="87">
        <f>LK14*LK20</f>
        <v>6806.9599320712005</v>
      </c>
      <c r="LL15" s="21"/>
      <c r="LM15" s="21"/>
      <c r="LN15" s="87">
        <f>LN14*LN20</f>
        <v>6927.1453204799991</v>
      </c>
      <c r="LO15" s="87">
        <f>LO14*LO20</f>
        <v>6977.5302350687989</v>
      </c>
      <c r="LP15" s="87">
        <f>LP14*LP20</f>
        <v>7443.6116609513992</v>
      </c>
      <c r="LQ15" s="87">
        <f>LQ14*LQ20</f>
        <v>7335.8092482972006</v>
      </c>
      <c r="LR15" s="87">
        <f>LR14*LR20</f>
        <v>7197.8089429620004</v>
      </c>
      <c r="LS15" s="21"/>
      <c r="LT15" s="21"/>
      <c r="LU15" s="87">
        <f>LU14*LU20</f>
        <v>7063.5377523568004</v>
      </c>
      <c r="LV15" s="87">
        <f>LV14*LV20</f>
        <v>7083.5309661204001</v>
      </c>
      <c r="LW15" s="87">
        <f>LW14*LW20</f>
        <v>6970.9792067387998</v>
      </c>
      <c r="LX15" s="87">
        <f>LX14*LX20</f>
        <v>6229.832832959999</v>
      </c>
      <c r="LY15" s="87">
        <f>LY14*LY20</f>
        <v>6140.1442396118</v>
      </c>
      <c r="LZ15" s="21"/>
      <c r="MA15" s="21"/>
      <c r="MB15" s="87">
        <f>MB14*MB20</f>
        <v>6291.59746688</v>
      </c>
      <c r="MC15" s="87">
        <f>MC14*MC20</f>
        <v>6280.0968682341991</v>
      </c>
      <c r="MD15" s="87">
        <f>MD14*MD20</f>
        <v>6174.6958379150001</v>
      </c>
      <c r="ME15" s="87">
        <f>ME14*ME20</f>
        <v>6258.46643752</v>
      </c>
      <c r="MF15" s="87">
        <f>MF14*MF20</f>
        <v>6260.4607367719991</v>
      </c>
      <c r="MG15" s="21"/>
      <c r="MH15" s="21"/>
      <c r="MI15" s="87">
        <f>MI14*MI20</f>
        <v>6315.1422352787995</v>
      </c>
      <c r="MJ15" s="87">
        <f>MJ14*MJ20</f>
        <v>6654.1791046851995</v>
      </c>
      <c r="MK15" s="87">
        <f>MK14*MK20</f>
        <v>6688.4300148665998</v>
      </c>
      <c r="ML15" s="87">
        <f>ML14*ML20</f>
        <v>6427.1895335119998</v>
      </c>
      <c r="MM15" s="87">
        <f>MM14*MM20</f>
        <v>6561.0228424927991</v>
      </c>
      <c r="MN15" s="21"/>
      <c r="MO15" s="21"/>
      <c r="MP15" s="87">
        <f>MP14*MP20</f>
        <v>6727.9344683693989</v>
      </c>
      <c r="MQ15" s="87">
        <f>MQ14*MQ20</f>
        <v>6766.9161844239998</v>
      </c>
      <c r="MR15" s="87">
        <f>MR14*MR20</f>
        <v>6688.2718333815992</v>
      </c>
      <c r="MS15" s="87">
        <f>MS14*MS20</f>
        <v>6495.0362730879997</v>
      </c>
      <c r="MT15" s="87">
        <f>MT14*MT20</f>
        <v>6456.4348319371993</v>
      </c>
      <c r="MU15" s="21"/>
      <c r="MV15" s="21"/>
      <c r="MW15" s="87">
        <f>MW14*MW20</f>
        <v>6510.0271820253993</v>
      </c>
      <c r="MX15" s="87">
        <f>MX14*MX20</f>
        <v>6714.4998006900005</v>
      </c>
      <c r="MY15" s="87">
        <f>MY14*MY20</f>
        <v>6544.8531893799991</v>
      </c>
      <c r="MZ15" s="87">
        <f>MZ14*MZ20</f>
        <v>6487.344794831999</v>
      </c>
      <c r="NA15" s="87">
        <f>NA14*NA20</f>
        <v>6487.344794831999</v>
      </c>
      <c r="NB15" s="21"/>
    </row>
    <row r="16" spans="1:366" x14ac:dyDescent="0.25">
      <c r="A16" s="36" t="s">
        <v>126</v>
      </c>
      <c r="B16" s="51"/>
      <c r="C16" s="51"/>
      <c r="D16" s="51">
        <f>D13*0.22</f>
        <v>77</v>
      </c>
      <c r="E16" s="51">
        <f>E13*0.22</f>
        <v>66</v>
      </c>
      <c r="F16" s="51">
        <f>F13*0.22</f>
        <v>44</v>
      </c>
      <c r="G16" s="51">
        <f>G13*0.22</f>
        <v>44</v>
      </c>
      <c r="H16" s="51">
        <f>H13*0.22</f>
        <v>33</v>
      </c>
      <c r="I16" s="51"/>
      <c r="J16" s="51"/>
      <c r="K16" s="51">
        <f>K13*0.22</f>
        <v>33</v>
      </c>
      <c r="L16" s="51">
        <f>L13*0.22</f>
        <v>22</v>
      </c>
      <c r="M16" s="51">
        <f>M13*0.22</f>
        <v>22</v>
      </c>
      <c r="N16" s="51">
        <f>N13*0.22</f>
        <v>11</v>
      </c>
      <c r="O16" s="51">
        <f>O13*0.22</f>
        <v>11</v>
      </c>
      <c r="P16" s="51"/>
      <c r="Q16" s="51"/>
      <c r="R16" s="51">
        <f>R13*0.22</f>
        <v>39.6</v>
      </c>
      <c r="S16" s="51">
        <f>S13*0.22</f>
        <v>44</v>
      </c>
      <c r="T16" s="51">
        <f>T13*0.22</f>
        <v>44</v>
      </c>
      <c r="U16" s="51">
        <f>U13*0.22</f>
        <v>22</v>
      </c>
      <c r="V16" s="51">
        <f>V13*0.22</f>
        <v>22</v>
      </c>
      <c r="W16" s="51"/>
      <c r="X16" s="38"/>
      <c r="Y16" s="51">
        <f>Y13*0.22</f>
        <v>11</v>
      </c>
      <c r="Z16" s="51">
        <f>Z13*0.22</f>
        <v>11</v>
      </c>
      <c r="AA16" s="51">
        <f>AA13*0.22</f>
        <v>0.22</v>
      </c>
      <c r="AB16" s="51">
        <f>AB13*0.22</f>
        <v>0.22</v>
      </c>
      <c r="AC16" s="51">
        <f>AC13*0.22</f>
        <v>-22</v>
      </c>
      <c r="AD16" s="38"/>
      <c r="AE16" s="38"/>
      <c r="AF16" s="51">
        <f>AF13*0.22</f>
        <v>-22</v>
      </c>
      <c r="AG16" s="51">
        <f>AG13*0.22</f>
        <v>-17.600000000000001</v>
      </c>
      <c r="AH16" s="51">
        <f>AH13*0.22</f>
        <v>-22</v>
      </c>
      <c r="AI16" s="51">
        <f>AI13*0.22</f>
        <v>-11</v>
      </c>
      <c r="AJ16" s="51">
        <f>AJ13*0.22</f>
        <v>-11</v>
      </c>
      <c r="AK16" s="38"/>
      <c r="AL16" s="38"/>
      <c r="AM16" s="51">
        <f>AM13*0.22</f>
        <v>-11</v>
      </c>
      <c r="AN16" s="51">
        <f>AN13*0.22</f>
        <v>2.2000000000000002</v>
      </c>
      <c r="AO16" s="51">
        <f>AO13*0.22</f>
        <v>48.4</v>
      </c>
      <c r="AP16" s="51">
        <f>AP13*0.22</f>
        <v>48.4</v>
      </c>
      <c r="AQ16" s="51">
        <f>AQ13*0.22</f>
        <v>59.4</v>
      </c>
      <c r="AR16" s="38"/>
      <c r="AS16" s="38"/>
      <c r="AT16" s="51">
        <f>AT13*0.22</f>
        <v>55</v>
      </c>
      <c r="AU16" s="51">
        <f>AU13*0.22</f>
        <v>55</v>
      </c>
      <c r="AV16" s="51">
        <f>AV13*0.22</f>
        <v>77</v>
      </c>
      <c r="AW16" s="51">
        <f>AW13*0.22</f>
        <v>121</v>
      </c>
      <c r="AX16" s="51">
        <f>AX13*0.22</f>
        <v>77</v>
      </c>
      <c r="AY16" s="38"/>
      <c r="AZ16" s="38"/>
      <c r="BA16" s="51">
        <f>BA13*0.22</f>
        <v>77</v>
      </c>
      <c r="BB16" s="51">
        <f>BB13*0.22</f>
        <v>55</v>
      </c>
      <c r="BC16" s="51">
        <f>BC13*0.22</f>
        <v>55</v>
      </c>
      <c r="BD16" s="51">
        <f>BD13*0.22</f>
        <v>55</v>
      </c>
      <c r="BE16" s="51">
        <f>BE13*0.22</f>
        <v>110</v>
      </c>
      <c r="BF16" s="38"/>
      <c r="BG16" s="38"/>
      <c r="BH16" s="51">
        <f>BH13*0.22</f>
        <v>110</v>
      </c>
      <c r="BI16" s="51">
        <f>BI13*0.22</f>
        <v>110</v>
      </c>
      <c r="BJ16" s="51">
        <f>BJ13*0.22</f>
        <v>110</v>
      </c>
      <c r="BK16" s="51">
        <f>BK13*0.22</f>
        <v>165</v>
      </c>
      <c r="BL16" s="51">
        <f>BL13*0.22</f>
        <v>165</v>
      </c>
      <c r="BM16" s="38"/>
      <c r="BN16" s="38"/>
      <c r="BO16" s="51">
        <f>BO13*0.22</f>
        <v>132</v>
      </c>
      <c r="BP16" s="51">
        <f>BP13*0.22</f>
        <v>143</v>
      </c>
      <c r="BQ16" s="51">
        <f>BQ13*0.22</f>
        <v>132</v>
      </c>
      <c r="BR16" s="51">
        <f>BR13*0.22</f>
        <v>99</v>
      </c>
      <c r="BS16" s="51">
        <f>BS13*0.22</f>
        <v>44</v>
      </c>
      <c r="BT16" s="38"/>
      <c r="BU16" s="38"/>
      <c r="BV16" s="51">
        <f>BV13*0.22</f>
        <v>99</v>
      </c>
      <c r="BW16" s="51">
        <f>BW13*0.22</f>
        <v>79.2</v>
      </c>
      <c r="BX16" s="51">
        <f>BX13*0.22</f>
        <v>63.8</v>
      </c>
      <c r="BY16" s="51">
        <f>BY13*0.22</f>
        <v>61.6</v>
      </c>
      <c r="BZ16" s="51">
        <f>BZ13*0.22</f>
        <v>55</v>
      </c>
      <c r="CA16" s="38"/>
      <c r="CB16" s="38"/>
      <c r="CC16" s="51">
        <f>CC13*0.22</f>
        <v>28.6</v>
      </c>
      <c r="CD16" s="51">
        <f>CD13*0.22</f>
        <v>26.4</v>
      </c>
      <c r="CE16" s="51">
        <f>CE13*0.22</f>
        <v>37.4</v>
      </c>
      <c r="CF16" s="51">
        <f>CF13*0.22</f>
        <v>44</v>
      </c>
      <c r="CG16" s="51">
        <f>CG13*0.22</f>
        <v>44</v>
      </c>
      <c r="CH16" s="38"/>
      <c r="CI16" s="38"/>
      <c r="CJ16" s="51">
        <f>CJ13*0.22</f>
        <v>55</v>
      </c>
      <c r="CK16" s="51">
        <f>CK13*0.22</f>
        <v>110</v>
      </c>
      <c r="CL16" s="51">
        <f>CL13*0.22</f>
        <v>48.4</v>
      </c>
      <c r="CM16" s="51">
        <f>CM13*0.22</f>
        <v>55</v>
      </c>
      <c r="CN16" s="51">
        <f>CN13*0.22</f>
        <v>110</v>
      </c>
      <c r="CO16" s="38"/>
      <c r="CP16" s="38"/>
      <c r="CQ16" s="51">
        <f>CQ13*0.22</f>
        <v>88</v>
      </c>
      <c r="CR16" s="51">
        <f>CR13*0.22</f>
        <v>88</v>
      </c>
      <c r="CS16" s="51">
        <f>CS13*0.22</f>
        <v>88</v>
      </c>
      <c r="CT16" s="51">
        <f>CT13*0.22</f>
        <v>88</v>
      </c>
      <c r="CU16" s="51">
        <f>CU13*0.22</f>
        <v>92.4</v>
      </c>
      <c r="CV16" s="38"/>
      <c r="CW16" s="38"/>
      <c r="CX16" s="51">
        <f>CX13*0.22</f>
        <v>92.4</v>
      </c>
      <c r="CY16" s="51">
        <f>CY13*0.22</f>
        <v>99</v>
      </c>
      <c r="CZ16" s="51">
        <f>CZ13*0.22</f>
        <v>77</v>
      </c>
      <c r="DA16" s="51">
        <f>DA13*0.22</f>
        <v>66</v>
      </c>
      <c r="DB16" s="51">
        <f>DB13*0.22</f>
        <v>66</v>
      </c>
      <c r="DC16" s="38"/>
      <c r="DD16" s="38"/>
      <c r="DE16" s="51">
        <f>DE13*0.22</f>
        <v>77</v>
      </c>
      <c r="DF16" s="51">
        <f>DF13*0.22</f>
        <v>77</v>
      </c>
      <c r="DG16" s="51">
        <v>77</v>
      </c>
      <c r="DH16" s="51">
        <v>77</v>
      </c>
      <c r="DI16" s="51">
        <f>DI13*0.22</f>
        <v>52.8</v>
      </c>
      <c r="DJ16" s="38"/>
      <c r="DK16" s="38"/>
      <c r="DL16" s="51">
        <f>DL13*0.22</f>
        <v>55</v>
      </c>
      <c r="DM16" s="51">
        <f>DM13*0.22</f>
        <v>66</v>
      </c>
      <c r="DN16" s="51">
        <f>DN13*0.22</f>
        <v>11</v>
      </c>
      <c r="DO16" s="51">
        <f>DO13*0.22</f>
        <v>-11</v>
      </c>
      <c r="DP16" s="51">
        <f>DP13*0.22</f>
        <v>-11</v>
      </c>
      <c r="DQ16" s="38"/>
      <c r="DR16" s="38"/>
      <c r="DS16" s="51">
        <f>DS13*0.22</f>
        <v>-11</v>
      </c>
      <c r="DT16" s="51">
        <f>DT13*0.22</f>
        <v>16.5</v>
      </c>
      <c r="DU16" s="51">
        <f>DU13*0.22</f>
        <v>26.4</v>
      </c>
      <c r="DV16" s="51">
        <f>DV13*0.22</f>
        <v>33</v>
      </c>
      <c r="DW16" s="51">
        <f>DW13*0.22</f>
        <v>50.6</v>
      </c>
      <c r="DX16" s="38"/>
      <c r="DY16" s="38"/>
      <c r="DZ16" s="51">
        <f>DZ13*0.22</f>
        <v>63.8</v>
      </c>
      <c r="EA16" s="51">
        <f>EA13*0.22</f>
        <v>44</v>
      </c>
      <c r="EB16" s="51">
        <f>EB13*0.22</f>
        <v>22</v>
      </c>
      <c r="EC16" s="51">
        <f>EC13*0.22</f>
        <v>22</v>
      </c>
      <c r="ED16" s="51">
        <f>ED13*0.22</f>
        <v>22</v>
      </c>
      <c r="EE16" s="38"/>
      <c r="EF16" s="38"/>
      <c r="EG16" s="51">
        <f>EG13*0.22</f>
        <v>-15.4</v>
      </c>
      <c r="EH16" s="51">
        <f>EH13*0.22</f>
        <v>-26.4</v>
      </c>
      <c r="EI16" s="51">
        <f>EI13*0.22</f>
        <v>-22</v>
      </c>
      <c r="EJ16" s="51">
        <f>EJ13*0.22</f>
        <v>-33</v>
      </c>
      <c r="EK16" s="51">
        <f>EK13*0.22</f>
        <v>-44</v>
      </c>
      <c r="EL16" s="38"/>
      <c r="EM16" s="38"/>
      <c r="EN16" s="51">
        <f>EN13*0.22</f>
        <v>-37.4</v>
      </c>
      <c r="EO16" s="51">
        <f>EO13*0.22</f>
        <v>0.22</v>
      </c>
      <c r="EP16" s="51">
        <f>EP13*0.22</f>
        <v>4.4000000000000004</v>
      </c>
      <c r="EQ16" s="51">
        <f>EQ13*0.22</f>
        <v>-6.6</v>
      </c>
      <c r="ER16" s="51">
        <f>ER13*0.22</f>
        <v>-11</v>
      </c>
      <c r="ES16" s="38"/>
      <c r="ET16" s="38"/>
      <c r="EU16" s="51">
        <f>EU13*0.22</f>
        <v>-11</v>
      </c>
      <c r="EV16" s="51">
        <f>EV13*0.22</f>
        <v>-11</v>
      </c>
      <c r="EW16" s="51">
        <f>EW13*0.22</f>
        <v>-37.4</v>
      </c>
      <c r="EX16" s="51">
        <f>EX13*0.22</f>
        <v>-37.4</v>
      </c>
      <c r="EY16" s="51">
        <f>EY13*0.22</f>
        <v>-37.4</v>
      </c>
      <c r="EZ16" s="38"/>
      <c r="FA16" s="38"/>
      <c r="FB16" s="51">
        <f>FB13*0.22</f>
        <v>-37.4</v>
      </c>
      <c r="FC16" s="51">
        <f>FC13*0.22</f>
        <v>-77</v>
      </c>
      <c r="FD16" s="51">
        <f>FD13*0.22</f>
        <v>-77</v>
      </c>
      <c r="FE16" s="51">
        <f>FE13*0.22</f>
        <v>-118.8</v>
      </c>
      <c r="FF16" s="51">
        <f>FF13*0.22</f>
        <v>-118.8</v>
      </c>
      <c r="FG16" s="38"/>
      <c r="FH16" s="38"/>
      <c r="FI16" s="51">
        <f>FI13*0.22</f>
        <v>-77</v>
      </c>
      <c r="FJ16" s="51">
        <f>FJ13*0.22</f>
        <v>-55</v>
      </c>
      <c r="FK16" s="51">
        <f>FK13*0.22</f>
        <v>-55</v>
      </c>
      <c r="FL16" s="51">
        <f>FL13*0.22</f>
        <v>-55</v>
      </c>
      <c r="FM16" s="51">
        <f>FM13*0.22</f>
        <v>-55</v>
      </c>
      <c r="FN16" s="38"/>
      <c r="FO16" s="38"/>
      <c r="FP16" s="51">
        <f>FP13*0.22</f>
        <v>-110</v>
      </c>
      <c r="FQ16" s="51">
        <f>FQ13*0.22</f>
        <v>-103.4</v>
      </c>
      <c r="FR16" s="51">
        <f>FR13*0.22</f>
        <v>-99</v>
      </c>
      <c r="FS16" s="51">
        <f>FS13*0.22</f>
        <v>-105.6</v>
      </c>
      <c r="FT16" s="51">
        <f>FT13*0.22</f>
        <v>-105.6</v>
      </c>
      <c r="FU16" s="38"/>
      <c r="FV16" s="38"/>
      <c r="FW16" s="51">
        <f>FW13*0.22</f>
        <v>-11</v>
      </c>
      <c r="FX16" s="51">
        <f>FX13*0.22</f>
        <v>-110</v>
      </c>
      <c r="FY16" s="51">
        <f>FY13*0.22</f>
        <v>-99</v>
      </c>
      <c r="FZ16" s="51">
        <f>FZ13*0.22</f>
        <v>-70.400000000000006</v>
      </c>
      <c r="GA16" s="51">
        <f>GA13*0.22</f>
        <v>-48.4</v>
      </c>
      <c r="GB16" s="38"/>
      <c r="GC16" s="38"/>
      <c r="GD16" s="51">
        <f>GD13*0.22</f>
        <v>-48.4</v>
      </c>
      <c r="GE16" s="51">
        <f>GE13*0.22</f>
        <v>-48.4</v>
      </c>
      <c r="GF16" s="51">
        <f>GF13*0.22</f>
        <v>-6.6</v>
      </c>
      <c r="GG16" s="51">
        <f>GG13*0.22</f>
        <v>-33</v>
      </c>
      <c r="GH16" s="51">
        <f>GH13*0.22</f>
        <v>-33</v>
      </c>
      <c r="GI16" s="38"/>
      <c r="GJ16" s="38"/>
      <c r="GK16" s="51">
        <f>GK13*0.22</f>
        <v>-33</v>
      </c>
      <c r="GL16" s="51">
        <f>GL13*0.22</f>
        <v>-22</v>
      </c>
      <c r="GM16" s="51">
        <f>GM13*0.22</f>
        <v>-26.4</v>
      </c>
      <c r="GN16" s="51">
        <f>GN13*0.22</f>
        <v>-44</v>
      </c>
      <c r="GO16" s="51">
        <f>GO13*0.22</f>
        <v>-55</v>
      </c>
      <c r="GP16" s="38"/>
      <c r="GQ16" s="38"/>
      <c r="GR16" s="51">
        <f>GR13*0.22</f>
        <v>-55</v>
      </c>
      <c r="GS16" s="51">
        <f>GS13*0.22</f>
        <v>-77</v>
      </c>
      <c r="GT16" s="51">
        <f>GT13*0.22</f>
        <v>-61.6</v>
      </c>
      <c r="GU16" s="51">
        <f>GU13*0.22</f>
        <v>-74.8</v>
      </c>
      <c r="GV16" s="51">
        <f>GV13*0.22</f>
        <v>-72.599999999999994</v>
      </c>
      <c r="GW16" s="38"/>
      <c r="GX16" s="38"/>
      <c r="GY16" s="51">
        <f>GY13*0.22</f>
        <v>-68.2</v>
      </c>
      <c r="GZ16" s="51">
        <f>GZ13*0.22</f>
        <v>-55</v>
      </c>
      <c r="HA16" s="51">
        <f>HA13*0.22</f>
        <v>-66</v>
      </c>
      <c r="HB16" s="51">
        <f>HB13*0.22</f>
        <v>-66</v>
      </c>
      <c r="HC16" s="51">
        <f>HC13*0.22</f>
        <v>-121</v>
      </c>
      <c r="HD16" s="38"/>
      <c r="HE16" s="38"/>
      <c r="HF16" s="51">
        <f>HF13*0.22</f>
        <v>-99</v>
      </c>
      <c r="HG16" s="51">
        <f>HG13*0.22</f>
        <v>-99</v>
      </c>
      <c r="HH16" s="51">
        <f>HH13*0.22</f>
        <v>-110</v>
      </c>
      <c r="HI16" s="51">
        <f>HI13*0.22</f>
        <v>-121</v>
      </c>
      <c r="HJ16" s="51">
        <f>HJ13*0.22</f>
        <v>-121</v>
      </c>
      <c r="HK16" s="38"/>
      <c r="HL16" s="38"/>
      <c r="HM16" s="51">
        <f>HM13*0.22</f>
        <v>-110</v>
      </c>
      <c r="HN16" s="51">
        <f>HN13*0.22</f>
        <v>-99</v>
      </c>
      <c r="HO16" s="51">
        <f>HO13*0.22</f>
        <v>-99</v>
      </c>
      <c r="HP16" s="51">
        <f>HP13*0.22</f>
        <v>-143</v>
      </c>
      <c r="HQ16" s="51">
        <f>HQ13*0.22</f>
        <v>-143</v>
      </c>
      <c r="HR16" s="38"/>
      <c r="HS16" s="38"/>
      <c r="HT16" s="51">
        <f>HT13*0.22</f>
        <v>-154</v>
      </c>
      <c r="HU16" s="51">
        <f>HU13*0.22</f>
        <v>-187</v>
      </c>
      <c r="HV16" s="51">
        <f>HV13*0.22</f>
        <v>-198</v>
      </c>
      <c r="HW16" s="51">
        <f>HW13*0.22</f>
        <v>-165</v>
      </c>
      <c r="HX16" s="51">
        <f>HX13*0.22</f>
        <v>-165</v>
      </c>
      <c r="HY16" s="38"/>
      <c r="HZ16" s="38"/>
      <c r="IA16" s="51">
        <f>IA13*0.22</f>
        <v>-165</v>
      </c>
      <c r="IB16" s="51">
        <f>IB13*0.22</f>
        <v>-171.6</v>
      </c>
      <c r="IC16" s="51">
        <f>IC13*0.22</f>
        <v>-171.6</v>
      </c>
      <c r="ID16" s="51">
        <f>ID13*0.22</f>
        <v>-176</v>
      </c>
      <c r="IE16" s="51">
        <f>IE13*0.22</f>
        <v>-127.6</v>
      </c>
      <c r="IF16" s="38"/>
      <c r="IG16" s="38"/>
      <c r="IH16" s="51">
        <f>IH13*0.22</f>
        <v>-132</v>
      </c>
      <c r="II16" s="51">
        <f>II13*0.22</f>
        <v>-121</v>
      </c>
      <c r="IJ16" s="51">
        <f>IJ13*0.22</f>
        <v>-121</v>
      </c>
      <c r="IK16" s="51">
        <f>IK13*0.22</f>
        <v>-110</v>
      </c>
      <c r="IL16" s="51">
        <f>IL13*0.22</f>
        <v>-132</v>
      </c>
      <c r="IM16" s="38"/>
      <c r="IN16" s="38"/>
      <c r="IO16" s="51">
        <f>IO13*0.22</f>
        <v>-154</v>
      </c>
      <c r="IP16" s="51">
        <f>IP13*0.22</f>
        <v>-220</v>
      </c>
      <c r="IQ16" s="51">
        <v>-220</v>
      </c>
      <c r="IR16" s="51">
        <f>IR13*0.22</f>
        <v>-242</v>
      </c>
      <c r="IS16" s="51">
        <f>IS13*0.22</f>
        <v>-264</v>
      </c>
      <c r="IT16" s="38"/>
      <c r="IU16" s="38"/>
      <c r="IV16" s="51">
        <f>IV13*0.22</f>
        <v>-264</v>
      </c>
      <c r="IW16" s="51">
        <f>IW13*0.22</f>
        <v>-352</v>
      </c>
      <c r="IX16" s="51">
        <f>IX13*0.22</f>
        <v>-352</v>
      </c>
      <c r="IY16" s="51">
        <f>IY13*0.22</f>
        <v>-297</v>
      </c>
      <c r="IZ16" s="51">
        <f>IZ13*0.22</f>
        <v>-308</v>
      </c>
      <c r="JA16" s="38"/>
      <c r="JB16" s="38"/>
      <c r="JC16" s="51">
        <f>JC13*0.22</f>
        <v>-264</v>
      </c>
      <c r="JD16" s="51">
        <f>JD13*0.22</f>
        <v>-330</v>
      </c>
      <c r="JE16" s="51">
        <f>JE13*0.22</f>
        <v>-341</v>
      </c>
      <c r="JF16" s="51">
        <f>JF13*0.22</f>
        <v>-374</v>
      </c>
      <c r="JG16" s="51">
        <f>JG13*0.22</f>
        <v>-374</v>
      </c>
      <c r="JH16" s="38"/>
      <c r="JI16" s="38"/>
      <c r="JJ16" s="51">
        <f>JJ13*0.22</f>
        <v>-363</v>
      </c>
      <c r="JK16" s="51">
        <f>JK13*0.22</f>
        <v>-363</v>
      </c>
      <c r="JL16" s="51">
        <f>JL13*0.22</f>
        <v>-363</v>
      </c>
      <c r="JM16" s="51">
        <f>JM13*0.22</f>
        <v>-308</v>
      </c>
      <c r="JN16" s="51">
        <f>JN13*0.22</f>
        <v>-319</v>
      </c>
      <c r="JO16" s="38"/>
      <c r="JP16" s="38"/>
      <c r="JQ16" s="51">
        <f>JQ13*0.22</f>
        <v>-297</v>
      </c>
      <c r="JR16" s="51">
        <f>JR13*0.22</f>
        <v>-308</v>
      </c>
      <c r="JS16" s="51">
        <f>JS13*0.22</f>
        <v>-319</v>
      </c>
      <c r="JT16" s="51">
        <f>JT13*0.22</f>
        <v>-264</v>
      </c>
      <c r="JU16" s="51">
        <f>JU13*0.22</f>
        <v>-220</v>
      </c>
      <c r="JV16" s="38"/>
      <c r="JW16" s="38"/>
      <c r="JX16" s="51">
        <f>JX13*0.22</f>
        <v>-231</v>
      </c>
      <c r="JY16" s="51">
        <f>JY13*0.22</f>
        <v>-231</v>
      </c>
      <c r="JZ16" s="51">
        <v>-231</v>
      </c>
      <c r="KA16" s="51">
        <f>KA13*0.22</f>
        <v>-231</v>
      </c>
      <c r="KB16" s="51">
        <f>KB13*0.22</f>
        <v>-231</v>
      </c>
      <c r="KC16" s="38"/>
      <c r="KD16" s="38"/>
      <c r="KE16" s="51">
        <f>KE13*0.22</f>
        <v>-242</v>
      </c>
      <c r="KF16" s="51">
        <f>KF13*0.22</f>
        <v>-242</v>
      </c>
      <c r="KG16" s="51">
        <f>KG13*0.22</f>
        <v>-275</v>
      </c>
      <c r="KH16" s="51">
        <f>KH13*0.22</f>
        <v>-308</v>
      </c>
      <c r="KI16" s="51">
        <f>KI13*0.22</f>
        <v>-297</v>
      </c>
      <c r="KJ16" s="38"/>
      <c r="KK16" s="38"/>
      <c r="KL16" s="51">
        <f>KL13*0.22</f>
        <v>-286</v>
      </c>
      <c r="KM16" s="51">
        <f>KM13*0.22</f>
        <v>-259.60000000000002</v>
      </c>
      <c r="KN16" s="51">
        <f>KN13*0.22</f>
        <v>-283.8</v>
      </c>
      <c r="KO16" s="51">
        <f>KO13*0.22</f>
        <v>-275</v>
      </c>
      <c r="KP16" s="51">
        <f>KP13*0.22</f>
        <v>-264</v>
      </c>
      <c r="KQ16" s="38"/>
      <c r="KR16" s="38"/>
      <c r="KS16" s="51">
        <f>KS13*0.22</f>
        <v>-268.39999999999998</v>
      </c>
      <c r="KT16" s="51">
        <f>KT13*0.22</f>
        <v>-264</v>
      </c>
      <c r="KU16" s="51">
        <v>-264</v>
      </c>
      <c r="KV16" s="51">
        <f>KV13*0.22</f>
        <v>-264</v>
      </c>
      <c r="KW16" s="51">
        <f>KW13*0.22</f>
        <v>-275</v>
      </c>
      <c r="KX16" s="38"/>
      <c r="KY16" s="38"/>
      <c r="KZ16" s="51">
        <f>KZ13*0.22</f>
        <v>-275</v>
      </c>
      <c r="LA16" s="51">
        <f>LA13*0.22</f>
        <v>-275</v>
      </c>
      <c r="LB16" s="51">
        <f>LB13*0.22</f>
        <v>-275</v>
      </c>
      <c r="LC16" s="51">
        <f>LC13*0.22</f>
        <v>-297</v>
      </c>
      <c r="LD16" s="51">
        <f>LD13*0.22</f>
        <v>-308</v>
      </c>
      <c r="LE16" s="38"/>
      <c r="LF16" s="38"/>
      <c r="LG16" s="51">
        <f>LG13*0.22</f>
        <v>-319</v>
      </c>
      <c r="LH16" s="51">
        <f>LH13*0.22</f>
        <v>-319</v>
      </c>
      <c r="LI16" s="51">
        <f>LI13*0.22</f>
        <v>-327.8</v>
      </c>
      <c r="LJ16" s="51">
        <f>LJ13*0.22</f>
        <v>-327.8</v>
      </c>
      <c r="LK16" s="51">
        <f>LK13*0.22</f>
        <v>-330</v>
      </c>
      <c r="LL16" s="38"/>
      <c r="LM16" s="38"/>
      <c r="LN16" s="51">
        <f>LN13*0.22</f>
        <v>-308</v>
      </c>
      <c r="LO16" s="51">
        <f>LO13*0.22</f>
        <v>-319</v>
      </c>
      <c r="LP16" s="51">
        <f>LP13*0.22</f>
        <v>-270.60000000000002</v>
      </c>
      <c r="LQ16" s="51">
        <f>LQ13*0.22</f>
        <v>-270.60000000000002</v>
      </c>
      <c r="LR16" s="51">
        <f>LR13*0.22</f>
        <v>-297</v>
      </c>
      <c r="LS16" s="38"/>
      <c r="LT16" s="38"/>
      <c r="LU16" s="51">
        <f>LU13*0.22</f>
        <v>-363</v>
      </c>
      <c r="LV16" s="51">
        <f>LV13*0.22</f>
        <v>-352</v>
      </c>
      <c r="LW16" s="51">
        <f>LW13*0.22</f>
        <v>-341</v>
      </c>
      <c r="LX16" s="51">
        <f>LX13*0.22</f>
        <v>-308</v>
      </c>
      <c r="LY16" s="51">
        <f>LY13*0.22</f>
        <v>-308</v>
      </c>
      <c r="LZ16" s="38"/>
      <c r="MA16" s="38"/>
      <c r="MB16" s="51">
        <f>MB13*0.22</f>
        <v>-231</v>
      </c>
      <c r="MC16" s="51">
        <f>MC13*0.22</f>
        <v>-209</v>
      </c>
      <c r="MD16" s="51">
        <f>MD13*0.22</f>
        <v>-209</v>
      </c>
      <c r="ME16" s="51">
        <f>ME13*0.22</f>
        <v>-198</v>
      </c>
      <c r="MF16" s="51">
        <f>MF13*0.22</f>
        <v>-176</v>
      </c>
      <c r="MG16" s="38"/>
      <c r="MH16" s="38"/>
      <c r="MI16" s="51">
        <f>MI13*0.22</f>
        <v>-220</v>
      </c>
      <c r="MJ16" s="51">
        <f>MJ13*0.22</f>
        <v>-198</v>
      </c>
      <c r="MK16" s="51">
        <f>MK13*0.22</f>
        <v>-209</v>
      </c>
      <c r="ML16" s="51">
        <f>ML13*0.22</f>
        <v>-198</v>
      </c>
      <c r="MM16" s="51">
        <f>MM13*0.22</f>
        <v>-154</v>
      </c>
      <c r="MN16" s="38"/>
      <c r="MO16" s="38"/>
      <c r="MP16" s="51">
        <f>MP13*0.22</f>
        <v>-154</v>
      </c>
      <c r="MQ16" s="51">
        <f>MQ13*0.22</f>
        <v>-165</v>
      </c>
      <c r="MR16" s="51">
        <f>MR13*0.22</f>
        <v>-176</v>
      </c>
      <c r="MS16" s="51">
        <f>MS13*0.22</f>
        <v>-198</v>
      </c>
      <c r="MT16" s="51">
        <f>MT13*0.22</f>
        <v>-198</v>
      </c>
      <c r="MU16" s="38"/>
      <c r="MV16" s="38"/>
      <c r="MW16" s="51">
        <f>MW13*0.22</f>
        <v>-198</v>
      </c>
      <c r="MX16" s="51">
        <f>MX13*0.22</f>
        <v>-220</v>
      </c>
      <c r="MY16" s="51">
        <f>MY13*0.22</f>
        <v>-209</v>
      </c>
      <c r="MZ16" s="51">
        <f>MZ13*0.22</f>
        <v>-220</v>
      </c>
      <c r="NA16" s="51">
        <f>NA13*0.22</f>
        <v>-220</v>
      </c>
      <c r="NB16" s="38"/>
    </row>
    <row r="17" spans="1:367" x14ac:dyDescent="0.25">
      <c r="A17" s="19" t="s">
        <v>83</v>
      </c>
      <c r="B17" s="85"/>
      <c r="C17" s="85"/>
      <c r="D17" s="85">
        <v>350</v>
      </c>
      <c r="E17" s="85">
        <v>300</v>
      </c>
      <c r="F17" s="85">
        <v>200</v>
      </c>
      <c r="G17" s="85">
        <v>200</v>
      </c>
      <c r="H17" s="85">
        <v>150</v>
      </c>
      <c r="I17" s="85"/>
      <c r="J17" s="85"/>
      <c r="K17" s="85">
        <v>150</v>
      </c>
      <c r="L17" s="85">
        <v>100</v>
      </c>
      <c r="M17" s="85">
        <v>100</v>
      </c>
      <c r="N17" s="85">
        <v>50</v>
      </c>
      <c r="O17" s="85">
        <v>50</v>
      </c>
      <c r="P17" s="85"/>
      <c r="Q17" s="85"/>
      <c r="R17" s="85">
        <v>180</v>
      </c>
      <c r="S17" s="85">
        <v>200</v>
      </c>
      <c r="T17" s="85">
        <v>200</v>
      </c>
      <c r="U17" s="85">
        <v>100</v>
      </c>
      <c r="V17" s="85">
        <v>100</v>
      </c>
      <c r="W17" s="20"/>
      <c r="X17" s="20"/>
      <c r="Y17" s="85">
        <v>50</v>
      </c>
      <c r="Z17" s="85">
        <v>50</v>
      </c>
      <c r="AA17" s="85">
        <v>1</v>
      </c>
      <c r="AB17" s="85">
        <v>1</v>
      </c>
      <c r="AC17" s="85">
        <v>-100</v>
      </c>
      <c r="AD17" s="20"/>
      <c r="AE17" s="20"/>
      <c r="AF17" s="85">
        <v>-100</v>
      </c>
      <c r="AG17" s="85">
        <v>-80</v>
      </c>
      <c r="AH17" s="85">
        <v>-100</v>
      </c>
      <c r="AI17" s="85">
        <v>-50</v>
      </c>
      <c r="AJ17" s="85">
        <v>-50</v>
      </c>
      <c r="AK17" s="20"/>
      <c r="AL17" s="20"/>
      <c r="AM17" s="85">
        <v>-50</v>
      </c>
      <c r="AN17" s="85">
        <v>10</v>
      </c>
      <c r="AO17" s="85">
        <v>220</v>
      </c>
      <c r="AP17" s="85">
        <v>220</v>
      </c>
      <c r="AQ17" s="85">
        <v>270</v>
      </c>
      <c r="AR17" s="20"/>
      <c r="AS17" s="20"/>
      <c r="AT17" s="85">
        <v>250</v>
      </c>
      <c r="AU17" s="85">
        <v>250</v>
      </c>
      <c r="AV17" s="85">
        <v>350</v>
      </c>
      <c r="AW17" s="85">
        <v>550</v>
      </c>
      <c r="AX17" s="85">
        <v>350</v>
      </c>
      <c r="AY17" s="20"/>
      <c r="AZ17" s="20"/>
      <c r="BA17" s="85">
        <v>350</v>
      </c>
      <c r="BB17" s="85">
        <v>250</v>
      </c>
      <c r="BC17" s="85">
        <v>250</v>
      </c>
      <c r="BD17" s="85">
        <v>250</v>
      </c>
      <c r="BE17" s="85">
        <v>500</v>
      </c>
      <c r="BF17" s="20"/>
      <c r="BG17" s="20"/>
      <c r="BH17" s="85">
        <v>500</v>
      </c>
      <c r="BI17" s="85">
        <v>500</v>
      </c>
      <c r="BJ17" s="85">
        <v>500</v>
      </c>
      <c r="BK17" s="85">
        <v>750</v>
      </c>
      <c r="BL17" s="85">
        <v>750</v>
      </c>
      <c r="BM17" s="20"/>
      <c r="BN17" s="20"/>
      <c r="BO17" s="85">
        <v>600</v>
      </c>
      <c r="BP17" s="85">
        <v>650</v>
      </c>
      <c r="BQ17" s="85">
        <v>600</v>
      </c>
      <c r="BR17" s="85">
        <v>450</v>
      </c>
      <c r="BS17" s="85">
        <v>200</v>
      </c>
      <c r="BT17" s="20"/>
      <c r="BU17" s="20"/>
      <c r="BV17" s="85">
        <v>450</v>
      </c>
      <c r="BW17" s="85">
        <v>360</v>
      </c>
      <c r="BX17" s="85">
        <v>290</v>
      </c>
      <c r="BY17" s="85">
        <v>280</v>
      </c>
      <c r="BZ17" s="85">
        <v>250</v>
      </c>
      <c r="CA17" s="20"/>
      <c r="CB17" s="20"/>
      <c r="CC17" s="85">
        <v>130</v>
      </c>
      <c r="CD17" s="85">
        <v>120</v>
      </c>
      <c r="CE17" s="85">
        <v>170</v>
      </c>
      <c r="CF17" s="85">
        <v>200</v>
      </c>
      <c r="CG17" s="85">
        <v>200</v>
      </c>
      <c r="CH17" s="20"/>
      <c r="CI17" s="20"/>
      <c r="CJ17" s="85">
        <v>250</v>
      </c>
      <c r="CK17" s="85">
        <v>500</v>
      </c>
      <c r="CL17" s="85">
        <v>220</v>
      </c>
      <c r="CM17" s="85">
        <v>250</v>
      </c>
      <c r="CN17" s="85">
        <v>500</v>
      </c>
      <c r="CO17" s="20"/>
      <c r="CP17" s="20"/>
      <c r="CQ17" s="85">
        <v>400</v>
      </c>
      <c r="CR17" s="85">
        <v>400</v>
      </c>
      <c r="CS17" s="85">
        <v>400</v>
      </c>
      <c r="CT17" s="85">
        <v>400</v>
      </c>
      <c r="CU17" s="85">
        <v>420</v>
      </c>
      <c r="CV17" s="20"/>
      <c r="CW17" s="20"/>
      <c r="CX17" s="85">
        <v>420</v>
      </c>
      <c r="CY17" s="85">
        <v>450</v>
      </c>
      <c r="CZ17" s="85">
        <v>350</v>
      </c>
      <c r="DA17" s="85">
        <v>300</v>
      </c>
      <c r="DB17" s="85">
        <v>300</v>
      </c>
      <c r="DC17" s="20"/>
      <c r="DD17" s="20"/>
      <c r="DE17" s="85">
        <v>350</v>
      </c>
      <c r="DF17" s="85">
        <v>350</v>
      </c>
      <c r="DG17" s="85">
        <v>350</v>
      </c>
      <c r="DH17" s="85">
        <v>350</v>
      </c>
      <c r="DI17" s="85">
        <v>240</v>
      </c>
      <c r="DJ17" s="20"/>
      <c r="DK17" s="20"/>
      <c r="DL17" s="85">
        <v>250</v>
      </c>
      <c r="DM17" s="85">
        <v>300</v>
      </c>
      <c r="DN17" s="85">
        <v>50</v>
      </c>
      <c r="DO17" s="85">
        <v>-50</v>
      </c>
      <c r="DP17" s="85">
        <v>-50</v>
      </c>
      <c r="DQ17" s="20"/>
      <c r="DR17" s="20"/>
      <c r="DS17" s="85">
        <v>-50</v>
      </c>
      <c r="DT17" s="85">
        <v>75</v>
      </c>
      <c r="DU17" s="85">
        <v>120</v>
      </c>
      <c r="DV17" s="85">
        <v>150</v>
      </c>
      <c r="DW17" s="85">
        <v>230</v>
      </c>
      <c r="DX17" s="20"/>
      <c r="DY17" s="20"/>
      <c r="DZ17" s="85">
        <v>290</v>
      </c>
      <c r="EA17" s="85">
        <v>200</v>
      </c>
      <c r="EB17" s="85">
        <v>100</v>
      </c>
      <c r="EC17" s="85">
        <v>100</v>
      </c>
      <c r="ED17" s="85">
        <v>100</v>
      </c>
      <c r="EE17" s="20"/>
      <c r="EF17" s="20"/>
      <c r="EG17" s="85">
        <v>-70</v>
      </c>
      <c r="EH17" s="85">
        <v>-120</v>
      </c>
      <c r="EI17" s="85">
        <v>-100</v>
      </c>
      <c r="EJ17" s="85">
        <v>-150</v>
      </c>
      <c r="EK17" s="85">
        <v>-200</v>
      </c>
      <c r="EL17" s="20"/>
      <c r="EM17" s="20"/>
      <c r="EN17" s="85">
        <v>-170</v>
      </c>
      <c r="EO17" s="85">
        <v>1</v>
      </c>
      <c r="EP17" s="85">
        <v>20</v>
      </c>
      <c r="EQ17" s="85">
        <v>-30</v>
      </c>
      <c r="ER17" s="85">
        <v>-50</v>
      </c>
      <c r="ES17" s="20"/>
      <c r="ET17" s="20"/>
      <c r="EU17" s="85">
        <v>-50</v>
      </c>
      <c r="EV17" s="85">
        <v>-50</v>
      </c>
      <c r="EW17" s="85">
        <v>-170</v>
      </c>
      <c r="EX17" s="85">
        <v>-170</v>
      </c>
      <c r="EY17" s="85">
        <v>-170</v>
      </c>
      <c r="EZ17" s="20"/>
      <c r="FA17" s="20"/>
      <c r="FB17" s="85">
        <v>-170</v>
      </c>
      <c r="FC17" s="85">
        <v>-350</v>
      </c>
      <c r="FD17" s="85">
        <v>-350</v>
      </c>
      <c r="FE17" s="85">
        <v>-540</v>
      </c>
      <c r="FF17" s="85">
        <v>-540</v>
      </c>
      <c r="FG17" s="20"/>
      <c r="FH17" s="20"/>
      <c r="FI17" s="85">
        <v>-350</v>
      </c>
      <c r="FJ17" s="85">
        <v>-250</v>
      </c>
      <c r="FK17" s="85">
        <v>-250</v>
      </c>
      <c r="FL17" s="85">
        <v>-250</v>
      </c>
      <c r="FM17" s="85">
        <v>-250</v>
      </c>
      <c r="FN17" s="20"/>
      <c r="FO17" s="20"/>
      <c r="FP17" s="85">
        <v>-500</v>
      </c>
      <c r="FQ17" s="85">
        <v>-470</v>
      </c>
      <c r="FR17" s="85">
        <v>-450</v>
      </c>
      <c r="FS17" s="85">
        <v>-480</v>
      </c>
      <c r="FT17" s="85">
        <v>-480</v>
      </c>
      <c r="FU17" s="20"/>
      <c r="FV17" s="20"/>
      <c r="FW17" s="85">
        <v>-50</v>
      </c>
      <c r="FX17" s="85">
        <v>-500</v>
      </c>
      <c r="FY17" s="85">
        <v>-450</v>
      </c>
      <c r="FZ17" s="85">
        <v>-320</v>
      </c>
      <c r="GA17" s="85">
        <v>-220</v>
      </c>
      <c r="GB17" s="20"/>
      <c r="GC17" s="20"/>
      <c r="GD17" s="85">
        <v>-220</v>
      </c>
      <c r="GE17" s="85">
        <v>-220</v>
      </c>
      <c r="GF17" s="85">
        <v>-30</v>
      </c>
      <c r="GG17" s="85">
        <v>-150</v>
      </c>
      <c r="GH17" s="85">
        <v>-150</v>
      </c>
      <c r="GI17" s="20"/>
      <c r="GJ17" s="20"/>
      <c r="GK17" s="85">
        <v>-150</v>
      </c>
      <c r="GL17" s="85">
        <v>-100</v>
      </c>
      <c r="GM17" s="85">
        <v>-120</v>
      </c>
      <c r="GN17" s="85">
        <v>-200</v>
      </c>
      <c r="GO17" s="85">
        <v>-250</v>
      </c>
      <c r="GP17" s="20"/>
      <c r="GQ17" s="20"/>
      <c r="GR17" s="85">
        <v>-250</v>
      </c>
      <c r="GS17" s="85">
        <v>-350</v>
      </c>
      <c r="GT17" s="85">
        <v>-280</v>
      </c>
      <c r="GU17" s="85">
        <v>-340</v>
      </c>
      <c r="GV17" s="85">
        <v>-330</v>
      </c>
      <c r="GW17" s="20"/>
      <c r="GX17" s="20"/>
      <c r="GY17" s="85">
        <v>-310</v>
      </c>
      <c r="GZ17" s="85">
        <v>-250</v>
      </c>
      <c r="HA17" s="85">
        <v>-300</v>
      </c>
      <c r="HB17" s="85">
        <v>-300</v>
      </c>
      <c r="HC17" s="85">
        <v>-550</v>
      </c>
      <c r="HD17" s="20"/>
      <c r="HE17" s="20"/>
      <c r="HF17" s="85">
        <v>-450</v>
      </c>
      <c r="HG17" s="85">
        <v>-450</v>
      </c>
      <c r="HH17" s="85">
        <v>-500</v>
      </c>
      <c r="HI17" s="85">
        <v>-550</v>
      </c>
      <c r="HJ17" s="85">
        <v>-550</v>
      </c>
      <c r="HK17" s="20"/>
      <c r="HL17" s="20"/>
      <c r="HM17" s="85">
        <v>-500</v>
      </c>
      <c r="HN17" s="85">
        <v>-450</v>
      </c>
      <c r="HO17" s="85">
        <v>-450</v>
      </c>
      <c r="HP17" s="85">
        <v>-650</v>
      </c>
      <c r="HQ17" s="85">
        <v>-650</v>
      </c>
      <c r="HR17" s="20"/>
      <c r="HS17" s="20"/>
      <c r="HT17" s="85">
        <v>-700</v>
      </c>
      <c r="HU17" s="85">
        <v>-850</v>
      </c>
      <c r="HV17" s="85">
        <v>-900</v>
      </c>
      <c r="HW17" s="85">
        <v>-750</v>
      </c>
      <c r="HX17" s="85">
        <v>-750</v>
      </c>
      <c r="HY17" s="20"/>
      <c r="HZ17" s="20"/>
      <c r="IA17" s="85">
        <v>-750</v>
      </c>
      <c r="IB17" s="85">
        <v>-780</v>
      </c>
      <c r="IC17" s="85">
        <v>-780</v>
      </c>
      <c r="ID17" s="85">
        <v>-800</v>
      </c>
      <c r="IE17" s="85">
        <v>-580</v>
      </c>
      <c r="IF17" s="20"/>
      <c r="IG17" s="20"/>
      <c r="IH17" s="85">
        <v>-600</v>
      </c>
      <c r="II17" s="85">
        <v>-550</v>
      </c>
      <c r="IJ17" s="85">
        <v>-550</v>
      </c>
      <c r="IK17" s="85">
        <v>-500</v>
      </c>
      <c r="IL17" s="85">
        <v>-600</v>
      </c>
      <c r="IM17" s="20"/>
      <c r="IN17" s="20"/>
      <c r="IO17" s="85">
        <v>-700</v>
      </c>
      <c r="IP17" s="85">
        <v>-1000</v>
      </c>
      <c r="IQ17" s="85">
        <v>-1000</v>
      </c>
      <c r="IR17" s="85">
        <v>-1100</v>
      </c>
      <c r="IS17" s="85">
        <v>-1200</v>
      </c>
      <c r="IT17" s="20"/>
      <c r="IU17" s="20"/>
      <c r="IV17" s="85">
        <v>-1200</v>
      </c>
      <c r="IW17" s="85">
        <v>-1600</v>
      </c>
      <c r="IX17" s="85">
        <v>-1600</v>
      </c>
      <c r="IY17" s="85">
        <v>-1350</v>
      </c>
      <c r="IZ17" s="85">
        <v>-1400</v>
      </c>
      <c r="JA17" s="20"/>
      <c r="JB17" s="20"/>
      <c r="JC17" s="85">
        <v>-1200</v>
      </c>
      <c r="JD17" s="85">
        <v>-1500</v>
      </c>
      <c r="JE17" s="85">
        <v>-1550</v>
      </c>
      <c r="JF17" s="85">
        <v>-1700</v>
      </c>
      <c r="JG17" s="85">
        <v>-1700</v>
      </c>
      <c r="JH17" s="20"/>
      <c r="JI17" s="20"/>
      <c r="JJ17" s="85">
        <v>-1650</v>
      </c>
      <c r="JK17" s="85">
        <v>-1650</v>
      </c>
      <c r="JL17" s="85">
        <v>-1650</v>
      </c>
      <c r="JM17" s="85">
        <v>-1400</v>
      </c>
      <c r="JN17" s="85">
        <v>-1450</v>
      </c>
      <c r="JO17" s="20"/>
      <c r="JP17" s="20"/>
      <c r="JQ17" s="85">
        <v>-1350</v>
      </c>
      <c r="JR17" s="85">
        <v>-1400</v>
      </c>
      <c r="JS17" s="85">
        <v>-1450</v>
      </c>
      <c r="JT17" s="85">
        <v>-1200</v>
      </c>
      <c r="JU17" s="85">
        <v>-1000</v>
      </c>
      <c r="JV17" s="20"/>
      <c r="JW17" s="20"/>
      <c r="JX17" s="85">
        <v>-1050</v>
      </c>
      <c r="JY17" s="85">
        <v>-1050</v>
      </c>
      <c r="JZ17" s="85">
        <v>-1050</v>
      </c>
      <c r="KA17" s="85">
        <v>-1050</v>
      </c>
      <c r="KB17" s="85">
        <v>-1050</v>
      </c>
      <c r="KC17" s="20"/>
      <c r="KD17" s="20"/>
      <c r="KE17" s="85">
        <v>-1100</v>
      </c>
      <c r="KF17" s="85">
        <v>-1100</v>
      </c>
      <c r="KG17" s="85">
        <v>-1250</v>
      </c>
      <c r="KH17" s="85">
        <v>-1400</v>
      </c>
      <c r="KI17" s="85">
        <v>-1350</v>
      </c>
      <c r="KJ17" s="20"/>
      <c r="KK17" s="20"/>
      <c r="KL17" s="85">
        <v>-1300</v>
      </c>
      <c r="KM17" s="85">
        <v>-1180</v>
      </c>
      <c r="KN17" s="85">
        <v>-1290</v>
      </c>
      <c r="KO17" s="85">
        <v>-1250</v>
      </c>
      <c r="KP17" s="85">
        <v>-1200</v>
      </c>
      <c r="KQ17" s="20"/>
      <c r="KR17" s="20"/>
      <c r="KS17" s="85">
        <v>-1220</v>
      </c>
      <c r="KT17" s="85">
        <v>-1200</v>
      </c>
      <c r="KU17" s="85">
        <v>-1200</v>
      </c>
      <c r="KV17" s="85">
        <v>-1200</v>
      </c>
      <c r="KW17" s="85">
        <v>-1250</v>
      </c>
      <c r="KX17" s="20"/>
      <c r="KY17" s="20"/>
      <c r="KZ17" s="85">
        <v>-1250</v>
      </c>
      <c r="LA17" s="85">
        <v>-1250</v>
      </c>
      <c r="LB17" s="85">
        <v>-1250</v>
      </c>
      <c r="LC17" s="85">
        <v>-1350</v>
      </c>
      <c r="LD17" s="85">
        <v>-1400</v>
      </c>
      <c r="LE17" s="20"/>
      <c r="LF17" s="20"/>
      <c r="LG17" s="85">
        <v>-1450</v>
      </c>
      <c r="LH17" s="85">
        <v>-1450</v>
      </c>
      <c r="LI17" s="85">
        <v>-1490</v>
      </c>
      <c r="LJ17" s="85">
        <v>-1490</v>
      </c>
      <c r="LK17" s="85">
        <v>-1500</v>
      </c>
      <c r="LL17" s="20"/>
      <c r="LM17" s="20"/>
      <c r="LN17" s="85">
        <v>-1400</v>
      </c>
      <c r="LO17" s="85">
        <v>-1450</v>
      </c>
      <c r="LP17" s="85">
        <v>-1230</v>
      </c>
      <c r="LQ17" s="85">
        <v>-1230</v>
      </c>
      <c r="LR17" s="85">
        <v>-1350</v>
      </c>
      <c r="LS17" s="20"/>
      <c r="LT17" s="20"/>
      <c r="LU17" s="85">
        <v>-1650</v>
      </c>
      <c r="LV17" s="85">
        <v>-1600</v>
      </c>
      <c r="LW17" s="85">
        <v>-1550</v>
      </c>
      <c r="LX17" s="85">
        <v>-1400</v>
      </c>
      <c r="LY17" s="85">
        <v>-1400</v>
      </c>
      <c r="LZ17" s="20"/>
      <c r="MA17" s="20"/>
      <c r="MB17" s="85">
        <v>-1050</v>
      </c>
      <c r="MC17" s="85">
        <v>-950</v>
      </c>
      <c r="MD17" s="85">
        <v>-950</v>
      </c>
      <c r="ME17" s="85">
        <v>-900</v>
      </c>
      <c r="MF17" s="85">
        <v>-900</v>
      </c>
      <c r="MG17" s="20"/>
      <c r="MH17" s="20"/>
      <c r="MI17" s="85">
        <v>-1000</v>
      </c>
      <c r="MJ17" s="85">
        <v>-900</v>
      </c>
      <c r="MK17" s="85">
        <v>-950</v>
      </c>
      <c r="ML17" s="85">
        <v>-900</v>
      </c>
      <c r="MM17" s="85">
        <v>-700</v>
      </c>
      <c r="MN17" s="20"/>
      <c r="MO17" s="20"/>
      <c r="MP17" s="85">
        <v>-700</v>
      </c>
      <c r="MQ17" s="85">
        <v>-750</v>
      </c>
      <c r="MR17" s="85">
        <v>-800</v>
      </c>
      <c r="MS17" s="85">
        <v>-900</v>
      </c>
      <c r="MT17" s="85">
        <v>-900</v>
      </c>
      <c r="MU17" s="20"/>
      <c r="MV17" s="20"/>
      <c r="MW17" s="85">
        <v>-900</v>
      </c>
      <c r="MX17" s="85">
        <v>-1000</v>
      </c>
      <c r="MY17" s="85">
        <v>-950</v>
      </c>
      <c r="MZ17" s="85">
        <v>-1000</v>
      </c>
      <c r="NA17" s="85">
        <v>-1000</v>
      </c>
      <c r="NB17" s="20"/>
    </row>
    <row r="18" spans="1:367" x14ac:dyDescent="0.25">
      <c r="A18" t="s">
        <v>85</v>
      </c>
      <c r="B18" s="86"/>
      <c r="C18" s="86"/>
      <c r="D18" s="86">
        <f>(D10+D17)*0.220462</f>
        <v>1316.378602</v>
      </c>
      <c r="E18" s="86">
        <f>(E10+E17)*0.220462</f>
        <v>1347.9046679999999</v>
      </c>
      <c r="F18" s="86">
        <f>(F10+F17)*0.220462</f>
        <v>1328.5040119999999</v>
      </c>
      <c r="G18" s="86">
        <f>(G10+G17)*0.220462</f>
        <v>1339.968036</v>
      </c>
      <c r="H18" s="86">
        <f>(H10+H17)*0.220462</f>
        <v>1325.6380059999999</v>
      </c>
      <c r="I18" s="86"/>
      <c r="J18" s="86"/>
      <c r="K18" s="86">
        <f>(K10+K17)*0.220462</f>
        <v>1309.3238179999998</v>
      </c>
      <c r="L18" s="86">
        <f>(L10+L17)*0.220462</f>
        <v>1320.346918</v>
      </c>
      <c r="M18" s="86">
        <f>(M10+M17)*0.220462</f>
        <v>1328.9449359999999</v>
      </c>
      <c r="N18" s="86">
        <f>(N10+N17)*0.220462</f>
        <v>1307.5601219999999</v>
      </c>
      <c r="O18" s="86">
        <f>(O10+O17)*0.220462</f>
        <v>1293.00963</v>
      </c>
      <c r="P18" s="86"/>
      <c r="Q18" s="86"/>
      <c r="R18" s="86">
        <f>(R10+R17)*0.220462</f>
        <v>1328.5040119999999</v>
      </c>
      <c r="S18" s="86">
        <f>(S10+S17)*0.220462</f>
        <v>1346.5818959999999</v>
      </c>
      <c r="T18" s="86">
        <f>(T10+T17)*0.220462</f>
        <v>1383.619512</v>
      </c>
      <c r="U18" s="86">
        <f>(U10+U17)*0.220462</f>
        <v>1408.311256</v>
      </c>
      <c r="V18" s="86">
        <f>(V10+V17)*0.220462</f>
        <v>1410.9567999999999</v>
      </c>
      <c r="W18" s="86"/>
      <c r="X18" s="35"/>
      <c r="Y18" s="86">
        <f>(Y10+Y17)*0.220462</f>
        <v>1377.2261140000001</v>
      </c>
      <c r="Z18" s="86">
        <f>(Z10+Z17)*0.220462</f>
        <v>1389.1310619999999</v>
      </c>
      <c r="AA18" s="86">
        <f>(AA10+AA17)*0.220462</f>
        <v>1409.6340279999999</v>
      </c>
      <c r="AB18" s="86">
        <f>(AB10+AB17)*0.220462</f>
        <v>1418.6729699999999</v>
      </c>
      <c r="AC18" s="86">
        <f>(AC10+AC17)*0.220462</f>
        <v>1416.9092739999999</v>
      </c>
      <c r="AD18" s="35"/>
      <c r="AE18" s="35"/>
      <c r="AF18" s="86">
        <f>(AF10+AF17)*0.220462</f>
        <v>1406.988484</v>
      </c>
      <c r="AG18" s="86">
        <f>(AG10+AG17)*0.220462</f>
        <v>1433.6643859999999</v>
      </c>
      <c r="AH18" s="86">
        <f>(AH10+AH17)*0.220462</f>
        <v>1432.5620759999999</v>
      </c>
      <c r="AI18" s="86">
        <f>(AI10+AI17)*0.220462</f>
        <v>1438.5145499999999</v>
      </c>
      <c r="AJ18" s="86">
        <f>(AJ10+AJ17)*0.220462</f>
        <v>1429.916532</v>
      </c>
      <c r="AK18" s="35"/>
      <c r="AL18" s="35"/>
      <c r="AM18" s="86">
        <f>(AM10+AM17)*0.220462</f>
        <v>1429.475608</v>
      </c>
      <c r="AN18" s="86">
        <f>(AN10+AN17)*0.220462</f>
        <v>1398.8313900000001</v>
      </c>
      <c r="AO18" s="86">
        <f>(AO10+AO17)*0.220462</f>
        <v>1461.6630599999999</v>
      </c>
      <c r="AP18" s="86">
        <f>(AP10+AP17)*0.220462</f>
        <v>1470.702002</v>
      </c>
      <c r="AQ18" s="86">
        <f>(AQ10+AQ17)*0.220462</f>
        <v>1508.4010039999998</v>
      </c>
      <c r="AR18" s="35"/>
      <c r="AS18" s="35"/>
      <c r="AT18" s="86">
        <f>(AT10+AT17)*0.220462</f>
        <v>1505.9759219999999</v>
      </c>
      <c r="AU18" s="86">
        <f>(AU10+AU17)*0.220462</f>
        <v>1502.0076059999999</v>
      </c>
      <c r="AV18" s="86">
        <f>(AV10+AV17)*0.220462</f>
        <v>1553.595714</v>
      </c>
      <c r="AW18" s="86">
        <f>(AW10+AW17)*0.220462</f>
        <v>1594.1607219999999</v>
      </c>
      <c r="AX18" s="86">
        <f>(AX10+AX17)*0.220462</f>
        <v>1566.8234339999999</v>
      </c>
      <c r="AY18" s="35"/>
      <c r="AZ18" s="35"/>
      <c r="BA18" s="86">
        <f>(BA10+BA17)*0.220462</f>
        <v>1566.8234339999999</v>
      </c>
      <c r="BB18" s="86">
        <f>(BB10+BB17)*0.220462</f>
        <v>1601.65643</v>
      </c>
      <c r="BC18" s="86">
        <f>(BC10+BC17)*0.220462</f>
        <v>1614.2227639999999</v>
      </c>
      <c r="BD18" s="86">
        <f>(BD10+BD17)*0.220462</f>
        <v>1642.4419</v>
      </c>
      <c r="BE18" s="86">
        <f>(BE10+BE17)*0.220462</f>
        <v>1625.90725</v>
      </c>
      <c r="BF18" s="35"/>
      <c r="BG18" s="35"/>
      <c r="BH18" s="86">
        <f>(BH10+BH17)*0.220462</f>
        <v>1625.90725</v>
      </c>
      <c r="BI18" s="86">
        <f>(BI10+BI17)*0.220462</f>
        <v>1625.90725</v>
      </c>
      <c r="BJ18" s="86">
        <f>(BJ10+BJ17)*0.220462</f>
        <v>1625.90725</v>
      </c>
      <c r="BK18" s="86">
        <f>(BK10+BK17)*0.220462</f>
        <v>1891.56396</v>
      </c>
      <c r="BL18" s="86">
        <f>(BL10+BL17)*0.220462</f>
        <v>1858.4946599999998</v>
      </c>
      <c r="BM18" s="35"/>
      <c r="BN18" s="35"/>
      <c r="BO18" s="86">
        <f>(BO10+BO17)*0.220462</f>
        <v>1855.1877299999999</v>
      </c>
      <c r="BP18" s="86">
        <f>(BP10+BP17)*0.220462</f>
        <v>1899.9415159999999</v>
      </c>
      <c r="BQ18" s="86">
        <f>(BQ10+BQ17)*0.220462</f>
        <v>1897.5164339999999</v>
      </c>
      <c r="BR18" s="86">
        <f>(BR10+BR17)*0.220462</f>
        <v>1881.6431699999998</v>
      </c>
      <c r="BS18" s="86">
        <f>(BS10+BS17)*0.220462</f>
        <v>1855.8491159999999</v>
      </c>
      <c r="BT18" s="35"/>
      <c r="BU18" s="35"/>
      <c r="BV18" s="86">
        <f>(BV10+BV17)*0.220462</f>
        <v>1834.9052259999999</v>
      </c>
      <c r="BW18" s="86">
        <f>(BW10+BW17)*0.220462</f>
        <v>1703.7303359999999</v>
      </c>
      <c r="BX18" s="86">
        <f>(BX10+BX17)*0.220462</f>
        <v>1685.43199</v>
      </c>
      <c r="BY18" s="86">
        <f>(BY10+BY17)*0.220462</f>
        <v>1707.037266</v>
      </c>
      <c r="BZ18" s="86">
        <f>(BZ10+BZ17)*0.220462</f>
        <v>1648.835298</v>
      </c>
      <c r="CA18" s="35"/>
      <c r="CB18" s="35"/>
      <c r="CC18" s="86">
        <f>(CC10+CC17)*0.220462</f>
        <v>1653.6854619999999</v>
      </c>
      <c r="CD18" s="86">
        <f>(CD10+CD17)*0.220462</f>
        <v>1669.779188</v>
      </c>
      <c r="CE18" s="86">
        <f>(CE10+CE17)*0.220462</f>
        <v>1712.328354</v>
      </c>
      <c r="CF18" s="86">
        <f>(CF10+CF17)*0.220462</f>
        <v>1681.9045979999999</v>
      </c>
      <c r="CG18" s="86">
        <f>(CG10+CG17)*0.220462</f>
        <v>1692.04585</v>
      </c>
      <c r="CH18" s="35"/>
      <c r="CI18" s="35"/>
      <c r="CJ18" s="86">
        <f>(CJ10+CJ17)*0.220462</f>
        <v>1652.3626899999999</v>
      </c>
      <c r="CK18" s="86">
        <f>(CK10+CK17)*0.220462</f>
        <v>1690.061692</v>
      </c>
      <c r="CL18" s="86">
        <f>(CL10+CL17)*0.220462</f>
        <v>1640.6782039999998</v>
      </c>
      <c r="CM18" s="86">
        <f>(CM10+CM17)*0.220462</f>
        <v>1597.026728</v>
      </c>
      <c r="CN18" s="86">
        <f>(CN10+CN17)*0.220462</f>
        <v>1679.9204399999999</v>
      </c>
      <c r="CO18" s="35"/>
      <c r="CP18" s="35"/>
      <c r="CQ18" s="86">
        <f>(CQ10+CQ17)*0.220462</f>
        <v>1683.0069079999998</v>
      </c>
      <c r="CR18" s="86">
        <f>(CR10+CR17)*0.220462</f>
        <v>1684.5501419999998</v>
      </c>
      <c r="CS18" s="86">
        <f>(CS10+CS17)*0.220462</f>
        <v>1671.763346</v>
      </c>
      <c r="CT18" s="86">
        <f>(CT10+CT17)*0.220462</f>
        <v>1697.9983239999999</v>
      </c>
      <c r="CU18" s="86">
        <f>(CU10+CU17)*0.220462</f>
        <v>1748.7045839999998</v>
      </c>
      <c r="CV18" s="35"/>
      <c r="CW18" s="35"/>
      <c r="CX18" s="86">
        <f>(CX10+CX17)*0.220462</f>
        <v>1730.6267</v>
      </c>
      <c r="CY18" s="86">
        <f>(CY10+CY17)*0.220462</f>
        <v>1762.1527659999999</v>
      </c>
      <c r="CZ18" s="86">
        <f>(CZ10+CZ17)*0.220462</f>
        <v>1799.190382</v>
      </c>
      <c r="DA18" s="86">
        <f>(DA10+DA17)*0.220462</f>
        <v>1805.8042419999999</v>
      </c>
      <c r="DB18" s="86">
        <f>(DB10+DB17)*0.220462</f>
        <v>1805.8042419999999</v>
      </c>
      <c r="DC18" s="35"/>
      <c r="DD18" s="35"/>
      <c r="DE18" s="86">
        <f>(DE10+DE17)*0.220462</f>
        <v>1840.637238</v>
      </c>
      <c r="DF18" s="86">
        <f>(DF10+DF17)*0.220462</f>
        <v>1845.487402</v>
      </c>
      <c r="DG18" s="86">
        <v>1858.7151219999998</v>
      </c>
      <c r="DH18" s="86">
        <v>1858.7151219999998</v>
      </c>
      <c r="DI18" s="86">
        <f>(DI10+DI17)*0.220462</f>
        <v>1888.477492</v>
      </c>
      <c r="DJ18" s="35"/>
      <c r="DK18" s="35"/>
      <c r="DL18" s="86">
        <f>(DL10+DL17)*0.220462</f>
        <v>1879.2180879999999</v>
      </c>
      <c r="DM18" s="86">
        <f>(DM10+DM17)*0.220462</f>
        <v>1946.4589979999998</v>
      </c>
      <c r="DN18" s="86">
        <f>(DN10+DN17)*0.220462</f>
        <v>1946.6794599999998</v>
      </c>
      <c r="DO18" s="86">
        <f>(DO10+DO17)*0.220462</f>
        <v>1986.3626199999999</v>
      </c>
      <c r="DP18" s="86">
        <f>(DP10+DP17)*0.220462</f>
        <v>1954.836554</v>
      </c>
      <c r="DQ18" s="35"/>
      <c r="DR18" s="35"/>
      <c r="DS18" s="86">
        <f>(DS10+DS17)*0.220462</f>
        <v>1812.1976399999999</v>
      </c>
      <c r="DT18" s="86">
        <f>(DT10+DT17)*0.220462</f>
        <v>1875.0293099999999</v>
      </c>
      <c r="DU18" s="86">
        <f>(DU10+DU17)*0.220462</f>
        <v>1946.2385359999998</v>
      </c>
      <c r="DV18" s="86">
        <f>(DV10+DV17)*0.220462</f>
        <v>1940.0655999999999</v>
      </c>
      <c r="DW18" s="86">
        <f>(DW10+DW17)*0.220462</f>
        <v>1999.59034</v>
      </c>
      <c r="DX18" s="35"/>
      <c r="DY18" s="35"/>
      <c r="DZ18" s="86">
        <f>(DZ10+DZ17)*0.220462</f>
        <v>1985.9216959999999</v>
      </c>
      <c r="EA18" s="86">
        <f>(EA10+EA17)*0.220462</f>
        <v>1983.2761519999999</v>
      </c>
      <c r="EB18" s="86">
        <f>(EB10+EB17)*0.220462</f>
        <v>1994.07879</v>
      </c>
      <c r="EC18" s="86">
        <f>(EC10+EC17)*0.220462</f>
        <v>1973.575824</v>
      </c>
      <c r="ED18" s="86">
        <f>(ED10+ED17)*0.220462</f>
        <v>1969.6075079999998</v>
      </c>
      <c r="EE18" s="35"/>
      <c r="EF18" s="35"/>
      <c r="EG18" s="86">
        <f>(EG10+EG17)*0.220462</f>
        <v>1814.1817979999998</v>
      </c>
      <c r="EH18" s="86">
        <f>(EH10+EH17)*0.220462</f>
        <v>1814.1817979999998</v>
      </c>
      <c r="EI18" s="86">
        <f>(EI10+EI17)*0.220462</f>
        <v>1753.77521</v>
      </c>
      <c r="EJ18" s="86">
        <f>(EJ10+EJ17)*0.220462</f>
        <v>1720.2649859999999</v>
      </c>
      <c r="EK18" s="86">
        <f>(EK10+EK17)*0.220462</f>
        <v>1740.1065659999999</v>
      </c>
      <c r="EL18" s="35"/>
      <c r="EM18" s="35"/>
      <c r="EN18" s="86">
        <f>(EN10+EN17)*0.220462</f>
        <v>1736.579174</v>
      </c>
      <c r="EO18" s="86">
        <f>(EO10+EO17)*0.220462</f>
        <v>1766.5620059999999</v>
      </c>
      <c r="EP18" s="86">
        <f>(EP10+EP17)*0.220462</f>
        <v>1744.2953439999999</v>
      </c>
      <c r="EQ18" s="86">
        <f>(EQ10+EQ17)*0.220462</f>
        <v>1768.5461639999999</v>
      </c>
      <c r="ER18" s="86">
        <f>(ER10+ER17)*0.220462</f>
        <v>1743.1930339999999</v>
      </c>
      <c r="ES18" s="35"/>
      <c r="ET18" s="35"/>
      <c r="EU18" s="86">
        <f>(EU10+EU17)*0.220462</f>
        <v>1743.1930339999999</v>
      </c>
      <c r="EV18" s="86">
        <f>(EV10+EV17)*0.220462</f>
        <v>1706.8168039999998</v>
      </c>
      <c r="EW18" s="86">
        <f>(EW10+EW17)*0.220462</f>
        <v>1684.5501419999998</v>
      </c>
      <c r="EX18" s="86">
        <f>(EX10+EX17)*0.220462</f>
        <v>1757.963988</v>
      </c>
      <c r="EY18" s="86">
        <f>(EY10+EY17)*0.220462</f>
        <v>1767.0029299999999</v>
      </c>
      <c r="EZ18" s="35"/>
      <c r="FA18" s="35"/>
      <c r="FB18" s="86">
        <f>(FB10+FB17)*0.220462</f>
        <v>1752.452438</v>
      </c>
      <c r="FC18" s="86">
        <f>(FC10+FC17)*0.220462</f>
        <v>1718.2808279999999</v>
      </c>
      <c r="FD18" s="86">
        <f>(FD10+FD17)*0.220462</f>
        <v>1751.350128</v>
      </c>
      <c r="FE18" s="86">
        <f>(FE10+FE17)*0.220462</f>
        <v>1702.6280259999999</v>
      </c>
      <c r="FF18" s="86">
        <f>(FF10+FF17)*0.220462</f>
        <v>1662.5039419999998</v>
      </c>
      <c r="FG18" s="35"/>
      <c r="FH18" s="35"/>
      <c r="FI18" s="86">
        <f>(FI10+FI17)*0.220462</f>
        <v>1675.7316619999999</v>
      </c>
      <c r="FJ18" s="86">
        <f>(FJ10+FJ17)*0.220462</f>
        <v>1670.661036</v>
      </c>
      <c r="FK18" s="86">
        <f>(FK10+FK17)*0.220462</f>
        <v>1657.2128539999999</v>
      </c>
      <c r="FL18" s="86">
        <f>(FL10+FL17)*0.220462</f>
        <v>1657.2128539999999</v>
      </c>
      <c r="FM18" s="86">
        <f>(FM10+FM17)*0.220462</f>
        <v>1571.6735979999999</v>
      </c>
      <c r="FN18" s="35"/>
      <c r="FO18" s="35"/>
      <c r="FP18" s="86">
        <f>(FP10+FP17)*0.220462</f>
        <v>1516.558098</v>
      </c>
      <c r="FQ18" s="86">
        <f>(FQ10+FQ17)*0.220462</f>
        <v>1513.912554</v>
      </c>
      <c r="FR18" s="86">
        <f>(FR10+FR17)*0.220462</f>
        <v>1458.5765919999999</v>
      </c>
      <c r="FS18" s="86">
        <f>(FS10+FS17)*0.220462</f>
        <v>1386.926442</v>
      </c>
      <c r="FT18" s="86">
        <f>(FT10+FT17)*0.220462</f>
        <v>1431.9006899999999</v>
      </c>
      <c r="FU18" s="35"/>
      <c r="FV18" s="35"/>
      <c r="FW18" s="86">
        <f>(FW10+FW17)*0.220462</f>
        <v>1550.2887839999999</v>
      </c>
      <c r="FX18" s="86">
        <f>(FX10+FX17)*0.220462</f>
        <v>1479.0795579999999</v>
      </c>
      <c r="FY18" s="86">
        <f>(FY10+FY17)*0.220462</f>
        <v>1501.3462199999999</v>
      </c>
      <c r="FZ18" s="86">
        <f>(FZ10+FZ17)*0.220462</f>
        <v>1471.142926</v>
      </c>
      <c r="GA18" s="86">
        <f>(GA10+GA17)*0.220462</f>
        <v>1399.492776</v>
      </c>
      <c r="GB18" s="35"/>
      <c r="GC18" s="35"/>
      <c r="GD18" s="86">
        <f>(GD10+GD17)*0.220462</f>
        <v>1399.492776</v>
      </c>
      <c r="GE18" s="86">
        <f>(GE10+GE17)*0.220462</f>
        <v>1285.7343839999999</v>
      </c>
      <c r="GF18" s="86">
        <f>(GF10+GF17)*0.220462</f>
        <v>1321.008304</v>
      </c>
      <c r="GG18" s="86">
        <f>(GG10+GG17)*0.220462</f>
        <v>1359.589154</v>
      </c>
      <c r="GH18" s="86">
        <f>(GH10+GH17)*0.220462</f>
        <v>1379.430734</v>
      </c>
      <c r="GI18" s="35"/>
      <c r="GJ18" s="35"/>
      <c r="GK18" s="86">
        <f>(GK10+GK17)*0.220462</f>
        <v>1404.563402</v>
      </c>
      <c r="GL18" s="86">
        <f>(GL10+GL17)*0.220462</f>
        <v>1331.8109419999998</v>
      </c>
      <c r="GM18" s="86">
        <f>(GM10+GM17)*0.220462</f>
        <v>1300.9462619999999</v>
      </c>
      <c r="GN18" s="86">
        <f>(GN10+GN17)*0.220462</f>
        <v>1274.27036</v>
      </c>
      <c r="GO18" s="86">
        <f>(GO10+GO17)*0.220462</f>
        <v>1269.420196</v>
      </c>
      <c r="GP18" s="35"/>
      <c r="GQ18" s="35"/>
      <c r="GR18" s="86">
        <f>(GR10+GR17)*0.220462</f>
        <v>1338.20434</v>
      </c>
      <c r="GS18" s="86">
        <f>(GS10+GS17)*0.220462</f>
        <v>1287.2776179999998</v>
      </c>
      <c r="GT18" s="86">
        <f>(GT10+GT17)*0.220462</f>
        <v>1261.7040259999999</v>
      </c>
      <c r="GU18" s="86">
        <f>(GU10+GU17)*0.220462</f>
        <v>1216.9502399999999</v>
      </c>
      <c r="GV18" s="86">
        <f>(GV10+GV17)*0.220462</f>
        <v>1257.0743239999999</v>
      </c>
      <c r="GW18" s="35"/>
      <c r="GX18" s="35"/>
      <c r="GY18" s="86">
        <f>(GY10+GY17)*0.220462</f>
        <v>1254.649242</v>
      </c>
      <c r="GZ18" s="86">
        <f>(GZ10+GZ17)*0.220462</f>
        <v>1276.915904</v>
      </c>
      <c r="HA18" s="86">
        <f>(HA10+HA17)*0.220462</f>
        <v>1282.6479159999999</v>
      </c>
      <c r="HB18" s="86">
        <f>(HB10+HB17)*0.220462</f>
        <v>1385.383208</v>
      </c>
      <c r="HC18" s="86">
        <f>(HC10+HC17)*0.220462</f>
        <v>1391.1152199999999</v>
      </c>
      <c r="HD18" s="35"/>
      <c r="HE18" s="35"/>
      <c r="HF18" s="86">
        <f>(HF10+HF17)*0.220462</f>
        <v>1360.911926</v>
      </c>
      <c r="HG18" s="86">
        <f>(HG10+HG17)*0.220462</f>
        <v>1338.20434</v>
      </c>
      <c r="HH18" s="86">
        <f>(HH10+HH17)*0.220462</f>
        <v>1324.5356959999999</v>
      </c>
      <c r="HI18" s="86">
        <f>(HI10+HI17)*0.220462</f>
        <v>1334.676948</v>
      </c>
      <c r="HJ18" s="86">
        <f>(HJ10+HJ17)*0.220462</f>
        <v>1390.8947579999999</v>
      </c>
      <c r="HK18" s="35"/>
      <c r="HL18" s="35"/>
      <c r="HM18" s="86">
        <f>(HM10+HM17)*0.220462</f>
        <v>1415.3660399999999</v>
      </c>
      <c r="HN18" s="86">
        <f>(HN10+HN17)*0.220462</f>
        <v>1437.1917779999999</v>
      </c>
      <c r="HO18" s="86">
        <f>(HO10+HO17)*0.220462</f>
        <v>1456.3719719999999</v>
      </c>
      <c r="HP18" s="86">
        <f>(HP10+HP17)*0.220462</f>
        <v>1443.364714</v>
      </c>
      <c r="HQ18" s="86">
        <f>(HQ10+HQ17)*0.220462</f>
        <v>1443.364714</v>
      </c>
      <c r="HR18" s="35"/>
      <c r="HS18" s="35"/>
      <c r="HT18" s="86">
        <f>(HT10+HT17)*0.220462</f>
        <v>1365.5416279999999</v>
      </c>
      <c r="HU18" s="86">
        <f>(HU10+HU17)*0.220462</f>
        <v>1308.2215079999999</v>
      </c>
      <c r="HV18" s="86">
        <f>(HV10+HV17)*0.220462</f>
        <v>1287.7185419999998</v>
      </c>
      <c r="HW18" s="86">
        <f>(HW10+HW17)*0.220462</f>
        <v>1295.434712</v>
      </c>
      <c r="HX18" s="86">
        <f>(HX10+HX17)*0.220462</f>
        <v>1331.5904799999998</v>
      </c>
      <c r="HY18" s="35"/>
      <c r="HZ18" s="35"/>
      <c r="IA18" s="86">
        <f>(IA10+IA17)*0.220462</f>
        <v>1350.7706739999999</v>
      </c>
      <c r="IB18" s="86">
        <f>(IB10+IB17)*0.220462</f>
        <v>1362.234698</v>
      </c>
      <c r="IC18" s="86">
        <f>(IC10+IC17)*0.220462</f>
        <v>1344.1568139999999</v>
      </c>
      <c r="ID18" s="86">
        <f>(ID10+ID17)*0.220462</f>
        <v>1346.8023579999999</v>
      </c>
      <c r="IE18" s="86">
        <f>(IE10+IE17)*0.220462</f>
        <v>1433.4439239999999</v>
      </c>
      <c r="IF18" s="35"/>
      <c r="IG18" s="35"/>
      <c r="IH18" s="86">
        <f>(IH10+IH17)*0.220462</f>
        <v>1432.5620759999999</v>
      </c>
      <c r="II18" s="86">
        <f>(II10+II17)*0.220462</f>
        <v>1439.3963979999999</v>
      </c>
      <c r="IJ18" s="86">
        <f>(IJ10+IJ17)*0.220462</f>
        <v>1482.3864879999999</v>
      </c>
      <c r="IK18" s="86">
        <f>(IK10+IK17)*0.220462</f>
        <v>1400.374624</v>
      </c>
      <c r="IL18" s="86">
        <f>(IL10+IL17)*0.220462</f>
        <v>1444.0261</v>
      </c>
      <c r="IM18" s="35"/>
      <c r="IN18" s="35"/>
      <c r="IO18" s="86">
        <f>(IO10+IO17)*0.220462</f>
        <v>1421.9799</v>
      </c>
      <c r="IP18" s="86">
        <f>(IP10+IP17)*0.220462</f>
        <v>1300.2848759999999</v>
      </c>
      <c r="IQ18" s="86">
        <v>1300.2848759999999</v>
      </c>
      <c r="IR18" s="86">
        <f>(IR10+IR17)*0.220462</f>
        <v>1275.593132</v>
      </c>
      <c r="IS18" s="86">
        <f>(IS10+IS17)*0.220462</f>
        <v>1284.1911499999999</v>
      </c>
      <c r="IT18" s="35"/>
      <c r="IU18" s="35"/>
      <c r="IV18" s="86">
        <f>(IV10+IV17)*0.220462</f>
        <v>1321.008304</v>
      </c>
      <c r="IW18" s="86">
        <f>(IW10+IW17)*0.220462</f>
        <v>1233.7053519999999</v>
      </c>
      <c r="IX18" s="86">
        <f>(IX10+IX17)*0.220462</f>
        <v>1157.6459620000001</v>
      </c>
      <c r="IY18" s="86">
        <f>(IY10+IY17)*0.220462</f>
        <v>1174.8419979999999</v>
      </c>
      <c r="IZ18" s="86">
        <f>(IZ10+IZ17)*0.220462</f>
        <v>1205.045292</v>
      </c>
      <c r="JA18" s="35"/>
      <c r="JB18" s="35"/>
      <c r="JC18" s="86">
        <f>(JC10+JC17)*0.220462</f>
        <v>1234.5871999999999</v>
      </c>
      <c r="JD18" s="86">
        <f>(JD10+JD17)*0.220462</f>
        <v>1181.455858</v>
      </c>
      <c r="JE18" s="86">
        <f>(JE10+JE17)*0.220462</f>
        <v>1153.6776459999999</v>
      </c>
      <c r="JF18" s="86">
        <f>(JF10+JF17)*0.220462</f>
        <v>1155.8822659999998</v>
      </c>
      <c r="JG18" s="86">
        <f>(JG10+JG17)*0.220462</f>
        <v>1102.31</v>
      </c>
      <c r="JH18" s="35"/>
      <c r="JI18" s="35"/>
      <c r="JJ18" s="86">
        <f>(JJ10+JJ17)*0.220462</f>
        <v>1093.711982</v>
      </c>
      <c r="JK18" s="86">
        <f>(JK10+JK17)*0.220462</f>
        <v>1083.7911919999999</v>
      </c>
      <c r="JL18" s="86">
        <f>(JL10+JL17)*0.220462</f>
        <v>1080.7047239999999</v>
      </c>
      <c r="JM18" s="86">
        <f>(JM10+JM17)*0.220462</f>
        <v>1179.0307760000001</v>
      </c>
      <c r="JN18" s="86">
        <f>(JN10+JN17)*0.220462</f>
        <v>1121.04927</v>
      </c>
      <c r="JO18" s="35"/>
      <c r="JP18" s="35"/>
      <c r="JQ18" s="86">
        <f>(JQ10+JQ17)*0.220462</f>
        <v>1176.8261559999999</v>
      </c>
      <c r="JR18" s="86">
        <f>(JR10+JR17)*0.220462</f>
        <v>1204.383906</v>
      </c>
      <c r="JS18" s="86">
        <f>(JS10+JS17)*0.220462</f>
        <v>1201.958824</v>
      </c>
      <c r="JT18" s="86">
        <f>(JT10+JT17)*0.220462</f>
        <v>1271.404354</v>
      </c>
      <c r="JU18" s="86">
        <f>(JU10+JU17)*0.220462</f>
        <v>1324.5356959999999</v>
      </c>
      <c r="JV18" s="35"/>
      <c r="JW18" s="35"/>
      <c r="JX18" s="86">
        <f>(JX10+JX17)*0.220462</f>
        <v>1301.6076479999999</v>
      </c>
      <c r="JY18" s="86">
        <f>(JY10+JY17)*0.220462</f>
        <v>1289.2617760000001</v>
      </c>
      <c r="JZ18" s="86">
        <v>1289.2617760000001</v>
      </c>
      <c r="KA18" s="86">
        <f>(KA10+KA17)*0.220462</f>
        <v>1311.969362</v>
      </c>
      <c r="KB18" s="86">
        <f>(KB10+KB17)*0.220462</f>
        <v>1302.2690339999999</v>
      </c>
      <c r="KC18" s="35"/>
      <c r="KD18" s="35"/>
      <c r="KE18" s="86">
        <f>(KE10+KE17)*0.220462</f>
        <v>1231.059808</v>
      </c>
      <c r="KF18" s="86">
        <f>(KF10+KF17)*0.220462</f>
        <v>1272.947588</v>
      </c>
      <c r="KG18" s="86">
        <f>(KG10+KG17)*0.220462</f>
        <v>1281.7660679999999</v>
      </c>
      <c r="KH18" s="86">
        <f>(KH10+KH17)*0.220462</f>
        <v>1243.8466039999998</v>
      </c>
      <c r="KI18" s="86">
        <f>(KI10+KI17)*0.220462</f>
        <v>1278.6795999999999</v>
      </c>
      <c r="KJ18" s="35"/>
      <c r="KK18" s="35"/>
      <c r="KL18" s="86">
        <f>(KL10+KL17)*0.220462</f>
        <v>1297.859794</v>
      </c>
      <c r="KM18" s="86">
        <f>(KM10+KM17)*0.220462</f>
        <v>1333.3541760000001</v>
      </c>
      <c r="KN18" s="86">
        <f>(KN10+KN17)*0.220462</f>
        <v>1334.236024</v>
      </c>
      <c r="KO18" s="86">
        <f>(KO10+KO17)*0.220462</f>
        <v>1318.36276</v>
      </c>
      <c r="KP18" s="86">
        <f>(KP10+KP17)*0.220462</f>
        <v>1318.142298</v>
      </c>
      <c r="KQ18" s="35"/>
      <c r="KR18" s="35"/>
      <c r="KS18" s="86">
        <f>(KS10+KS17)*0.220462</f>
        <v>1345.0386619999999</v>
      </c>
      <c r="KT18" s="86">
        <f>(KT10+KT17)*0.220462</f>
        <v>1352.9752939999998</v>
      </c>
      <c r="KU18" s="86">
        <v>1352.9752939999998</v>
      </c>
      <c r="KV18" s="86">
        <f>(KV10+KV17)*0.220462</f>
        <v>1395.3039979999999</v>
      </c>
      <c r="KW18" s="86">
        <f>(KW10+KW17)*0.220462</f>
        <v>1425.727754</v>
      </c>
      <c r="KX18" s="35"/>
      <c r="KY18" s="35"/>
      <c r="KZ18" s="86">
        <f>(KZ10+KZ17)*0.220462</f>
        <v>1407.208946</v>
      </c>
      <c r="LA18" s="86">
        <f>(LA10+LA17)*0.220462</f>
        <v>1378.548886</v>
      </c>
      <c r="LB18" s="86">
        <f>(LB10+LB17)*0.220462</f>
        <v>1389.7924479999999</v>
      </c>
      <c r="LC18" s="86">
        <f>(LC10+LC17)*0.220462</f>
        <v>1379.871658</v>
      </c>
      <c r="LD18" s="86">
        <f>(LD10+LD17)*0.220462</f>
        <v>1388.2492139999999</v>
      </c>
      <c r="LE18" s="35"/>
      <c r="LF18" s="35"/>
      <c r="LG18" s="86">
        <f>(LG10+LG17)*0.220462</f>
        <v>1362.014236</v>
      </c>
      <c r="LH18" s="86">
        <f>(LH10+LH17)*0.220462</f>
        <v>1362.014236</v>
      </c>
      <c r="LI18" s="86">
        <f>(LI10+LI17)*0.220462</f>
        <v>1304.6941159999999</v>
      </c>
      <c r="LJ18" s="86">
        <f>(LJ10+LJ17)*0.220462</f>
        <v>1261.7040259999999</v>
      </c>
      <c r="LK18" s="86">
        <f>(LK10+LK17)*0.220462</f>
        <v>1272.947588</v>
      </c>
      <c r="LL18" s="35"/>
      <c r="LM18" s="35"/>
      <c r="LN18" s="86">
        <f>(LN10+LN17)*0.220462</f>
        <v>1300.7257999999999</v>
      </c>
      <c r="LO18" s="86">
        <f>(LO10+LO17)*0.220462</f>
        <v>1308.2215079999999</v>
      </c>
      <c r="LP18" s="86">
        <f>(LP10+LP17)*0.220462</f>
        <v>1380.312582</v>
      </c>
      <c r="LQ18" s="86">
        <f>(LQ10+LQ17)*0.220462</f>
        <v>1380.312582</v>
      </c>
      <c r="LR18" s="86">
        <f>(LR10+LR17)*0.220462</f>
        <v>1345.2591239999999</v>
      </c>
      <c r="LS18" s="35"/>
      <c r="LT18" s="35"/>
      <c r="LU18" s="86">
        <f>(LU10+LU17)*0.220462</f>
        <v>1313.071672</v>
      </c>
      <c r="LV18" s="86">
        <f>(LV10+LV17)*0.220462</f>
        <v>1334.676948</v>
      </c>
      <c r="LW18" s="86">
        <f>(LW10+LW17)*0.220462</f>
        <v>1316.819526</v>
      </c>
      <c r="LX18" s="86">
        <f>(LX10+LX17)*0.220462</f>
        <v>1199.3132799999998</v>
      </c>
      <c r="LY18" s="86">
        <f>(LY10+LY17)*0.220462</f>
        <v>1181.455858</v>
      </c>
      <c r="LZ18" s="35"/>
      <c r="MA18" s="35"/>
      <c r="MB18" s="86">
        <f>(MB10+MB17)*0.220462</f>
        <v>1199.3132799999998</v>
      </c>
      <c r="MC18" s="86">
        <f>(MC10+MC17)*0.220462</f>
        <v>1198.6518939999999</v>
      </c>
      <c r="MD18" s="86">
        <f>(MD10+MD17)*0.220462</f>
        <v>1182.77863</v>
      </c>
      <c r="ME18" s="86">
        <f>(ME10+ME17)*0.220462</f>
        <v>1201.5179000000001</v>
      </c>
      <c r="MF18" s="86">
        <f>(MF10+MF17)*0.220462</f>
        <v>1172.8578399999999</v>
      </c>
      <c r="MG18" s="35"/>
      <c r="MH18" s="35"/>
      <c r="MI18" s="86">
        <f>(MI10+MI17)*0.220462</f>
        <v>1199.0928179999999</v>
      </c>
      <c r="MJ18" s="86">
        <f>(MJ10+MJ17)*0.220462</f>
        <v>1263.4677219999999</v>
      </c>
      <c r="MK18" s="86">
        <f>(MK10+MK17)*0.220462</f>
        <v>1252.444622</v>
      </c>
      <c r="ML18" s="86">
        <f>(ML10+ML17)*0.220462</f>
        <v>1208.572684</v>
      </c>
      <c r="MM18" s="86">
        <f>(MM10+MM17)*0.220462</f>
        <v>1242.5238319999999</v>
      </c>
      <c r="MN18" s="35"/>
      <c r="MO18" s="35"/>
      <c r="MP18" s="86">
        <f>(MP10+MP17)*0.220462</f>
        <v>1265.6723419999998</v>
      </c>
      <c r="MQ18" s="86">
        <f>(MQ10+MQ17)*0.220462</f>
        <v>1290.80501</v>
      </c>
      <c r="MR18" s="86">
        <f>(MR10+MR17)*0.220462</f>
        <v>1285.5139219999999</v>
      </c>
      <c r="MS18" s="86">
        <f>(MS10+MS17)*0.220462</f>
        <v>1252.22416</v>
      </c>
      <c r="MT18" s="86">
        <f>(MT10+MT17)*0.220462</f>
        <v>1255.090166</v>
      </c>
      <c r="MU18" s="35"/>
      <c r="MV18" s="35"/>
      <c r="MW18" s="86">
        <f>(MW10+MW17)*0.220462</f>
        <v>1255.090166</v>
      </c>
      <c r="MX18" s="86">
        <f>(MX10+MX17)*0.220462</f>
        <v>1270.96343</v>
      </c>
      <c r="MY18" s="86">
        <f>(MY10+MY17)*0.220462</f>
        <v>1241.2010599999999</v>
      </c>
      <c r="MZ18" s="86">
        <f>(MZ10+MZ17)*0.220462</f>
        <v>1243.4056799999998</v>
      </c>
      <c r="NA18" s="86">
        <f>(NA10+NA17)*0.220462</f>
        <v>1243.4056799999998</v>
      </c>
      <c r="NB18" s="35"/>
    </row>
    <row r="19" spans="1:367" x14ac:dyDescent="0.25">
      <c r="A19" s="16" t="s">
        <v>85</v>
      </c>
      <c r="B19" s="56"/>
      <c r="C19" s="56"/>
      <c r="D19" s="56">
        <f>D18*D20</f>
        <v>7412.5279078620006</v>
      </c>
      <c r="E19" s="56">
        <f>E18*E20</f>
        <v>7652.0548002359992</v>
      </c>
      <c r="F19" s="56">
        <f>F18*F20</f>
        <v>7521.9897159439988</v>
      </c>
      <c r="G19" s="56">
        <f>G18*G20</f>
        <v>7643.1776773439997</v>
      </c>
      <c r="H19" s="56">
        <f>H18*H20</f>
        <v>7522.995684049999</v>
      </c>
      <c r="I19" s="56"/>
      <c r="J19" s="56"/>
      <c r="K19" s="56">
        <f>K18*K20</f>
        <v>7429.1033433319999</v>
      </c>
      <c r="L19" s="56">
        <f>L18*L20</f>
        <v>7440.1548829299991</v>
      </c>
      <c r="M19" s="56">
        <f>M18*M20</f>
        <v>7390.2627890959993</v>
      </c>
      <c r="N19" s="56">
        <f>N18*N20</f>
        <v>7222.9621139279989</v>
      </c>
      <c r="O19" s="56">
        <f>O18*O20</f>
        <v>7156.2910981980003</v>
      </c>
      <c r="P19" s="56"/>
      <c r="Q19" s="56"/>
      <c r="R19" s="56">
        <f>R18*R20</f>
        <v>7314.0788380659988</v>
      </c>
      <c r="S19" s="56">
        <f>S18*S20</f>
        <v>7434.4786478159995</v>
      </c>
      <c r="T19" s="56">
        <f>T18*T20</f>
        <v>7606.4482672199993</v>
      </c>
      <c r="U19" s="56">
        <f>U18*U20</f>
        <v>7627.8362558727995</v>
      </c>
      <c r="V19" s="56">
        <f>V18*V20</f>
        <v>7674.1940352000001</v>
      </c>
      <c r="W19" s="56"/>
      <c r="X19" s="23"/>
      <c r="Y19" s="56">
        <f>Y18*Y20</f>
        <v>7561.5222563056004</v>
      </c>
      <c r="Z19" s="56">
        <f>Z18*Z20</f>
        <v>7635.7756216016005</v>
      </c>
      <c r="AA19" s="56">
        <f>AA18*AA20</f>
        <v>7657.1320400960003</v>
      </c>
      <c r="AB19" s="56">
        <f>AB18*AB20</f>
        <v>7633.8792515699997</v>
      </c>
      <c r="AC19" s="56">
        <f>AC18*AC20</f>
        <v>7644.2255332299983</v>
      </c>
      <c r="AD19" s="23"/>
      <c r="AE19" s="23"/>
      <c r="AF19" s="56">
        <f>AF18*AF20</f>
        <v>7537.3780076364001</v>
      </c>
      <c r="AG19" s="56">
        <f>AG18*AG20</f>
        <v>7571.1816224659988</v>
      </c>
      <c r="AH19" s="56">
        <f>AH18*AH20</f>
        <v>7585.8459610427999</v>
      </c>
      <c r="AI19" s="56">
        <f>AI18*AI20</f>
        <v>7627.2918470099994</v>
      </c>
      <c r="AJ19" s="56">
        <f>AJ18*AJ20</f>
        <v>7618.5952824960004</v>
      </c>
      <c r="AK19" s="23"/>
      <c r="AL19" s="23"/>
      <c r="AM19" s="56">
        <f>AM18*AM20</f>
        <v>7563.4983894888001</v>
      </c>
      <c r="AN19" s="56">
        <f>AN18*AN20</f>
        <v>7371.2818927439994</v>
      </c>
      <c r="AO19" s="56">
        <f>AO18*AO20</f>
        <v>7707.641647991999</v>
      </c>
      <c r="AP19" s="56">
        <f>AP18*AP20</f>
        <v>7662.2103602198004</v>
      </c>
      <c r="AQ19" s="56">
        <f>AQ18*AQ20</f>
        <v>7841.2717791935993</v>
      </c>
      <c r="AR19" s="23"/>
      <c r="AS19" s="23"/>
      <c r="AT19" s="56">
        <f>AT18*AT20</f>
        <v>7846.5863463965998</v>
      </c>
      <c r="AU19" s="56">
        <f>AU18*AU20</f>
        <v>7792.1150584068</v>
      </c>
      <c r="AV19" s="56">
        <f>AV18*AV20</f>
        <v>8020.9039522392004</v>
      </c>
      <c r="AW19" s="56">
        <f>AW18*AW20</f>
        <v>8219.8115147764001</v>
      </c>
      <c r="AX19" s="56">
        <f>AX18*AX20</f>
        <v>8043.2880984389994</v>
      </c>
      <c r="AY19" s="23"/>
      <c r="AZ19" s="23"/>
      <c r="BA19" s="56">
        <f>BA18*BA20</f>
        <v>7989.8594193396002</v>
      </c>
      <c r="BB19" s="56">
        <f>BB18*BB20</f>
        <v>8106.1433578729993</v>
      </c>
      <c r="BC19" s="56">
        <f>BC18*BC20</f>
        <v>8093.8743609723997</v>
      </c>
      <c r="BD19" s="56">
        <f>BD18*BD20</f>
        <v>8404.7036906800004</v>
      </c>
      <c r="BE19" s="56">
        <f>BE18*BE20</f>
        <v>8355.8625391999994</v>
      </c>
      <c r="BF19" s="23"/>
      <c r="BG19" s="23"/>
      <c r="BH19" s="56">
        <f>BH18*BH20</f>
        <v>8355.8625391999994</v>
      </c>
      <c r="BI19" s="56">
        <f>BI18*BI20</f>
        <v>8355.8625391999994</v>
      </c>
      <c r="BJ19" s="56">
        <f>BJ18*BJ20</f>
        <v>8348.0581844000008</v>
      </c>
      <c r="BK19" s="56">
        <f>BK18*BK20</f>
        <v>9547.8582444959993</v>
      </c>
      <c r="BL19" s="56">
        <f>BL18*BL20</f>
        <v>9432.7896468299987</v>
      </c>
      <c r="BM19" s="23"/>
      <c r="BN19" s="23"/>
      <c r="BO19" s="56">
        <f>BO18*BO20</f>
        <v>9382.982982020998</v>
      </c>
      <c r="BP19" s="56">
        <f>BP18*BP20</f>
        <v>9672.7922521075998</v>
      </c>
      <c r="BQ19" s="56">
        <f>BQ18*BQ20</f>
        <v>9505.0393211927985</v>
      </c>
      <c r="BR19" s="56">
        <f>BR18*BR20</f>
        <v>9504.3678159869996</v>
      </c>
      <c r="BS19" s="56">
        <f>BS18*BS20</f>
        <v>9326.0129777231996</v>
      </c>
      <c r="BT19" s="23"/>
      <c r="BU19" s="23"/>
      <c r="BV19" s="56">
        <f>BV18*BV20</f>
        <v>9292.6940265543999</v>
      </c>
      <c r="BW19" s="56">
        <f>BW18*BW20</f>
        <v>8742.1811000831985</v>
      </c>
      <c r="BX19" s="56">
        <f>BX18*BX20</f>
        <v>8642.8952447200008</v>
      </c>
      <c r="BY19" s="56">
        <f>BY18*BY20</f>
        <v>8663.21412495</v>
      </c>
      <c r="BZ19" s="56">
        <f>BZ18*BZ20</f>
        <v>8311.613853688199</v>
      </c>
      <c r="CA19" s="23"/>
      <c r="CB19" s="23"/>
      <c r="CC19" s="56">
        <f>CC18*CC20</f>
        <v>8212.6981099305995</v>
      </c>
      <c r="CD19" s="56">
        <f>CD18*CD20</f>
        <v>8216.315472472801</v>
      </c>
      <c r="CE19" s="56">
        <f>CE18*CE20</f>
        <v>8340.0664809924001</v>
      </c>
      <c r="CF19" s="56">
        <f>CF18*CF20</f>
        <v>8083.9062598271994</v>
      </c>
      <c r="CG19" s="56">
        <f>CG18*CG20</f>
        <v>8084.5950712999993</v>
      </c>
      <c r="CH19" s="23"/>
      <c r="CI19" s="23"/>
      <c r="CJ19" s="56">
        <f>CJ18*CJ20</f>
        <v>7915.3129939070004</v>
      </c>
      <c r="CK19" s="56">
        <f>CK18*CK20</f>
        <v>8024.919932123601</v>
      </c>
      <c r="CL19" s="56">
        <f>CL18*CL20</f>
        <v>7792.2370620775982</v>
      </c>
      <c r="CM19" s="56">
        <f>CM18*CM20</f>
        <v>7565.9141239</v>
      </c>
      <c r="CN19" s="56">
        <f>CN18*CN20</f>
        <v>7892.6022112079991</v>
      </c>
      <c r="CO19" s="23"/>
      <c r="CP19" s="23"/>
      <c r="CQ19" s="56">
        <f>CQ18*CQ20</f>
        <v>7770.7794956176003</v>
      </c>
      <c r="CR19" s="56">
        <f>CR18*CR20</f>
        <v>7816.1442038657988</v>
      </c>
      <c r="CS19" s="56">
        <f>CS18*CS20</f>
        <v>7851.2693781543994</v>
      </c>
      <c r="CT19" s="56">
        <f>CT18*CT20</f>
        <v>8051.908052408</v>
      </c>
      <c r="CU19" s="56">
        <f>CU18*CU20</f>
        <v>8308.0954785840004</v>
      </c>
      <c r="CV19" s="23"/>
      <c r="CW19" s="23"/>
      <c r="CX19" s="56">
        <f>CX18*CX20</f>
        <v>8137.7528687400008</v>
      </c>
      <c r="CY19" s="56">
        <f>CY18*CY20</f>
        <v>8190.6622716446</v>
      </c>
      <c r="CZ19" s="56">
        <f>CZ18*CZ20</f>
        <v>8422.0101781419999</v>
      </c>
      <c r="DA19" s="56">
        <f>DA18*DA20</f>
        <v>8515.2699031509983</v>
      </c>
      <c r="DB19" s="56">
        <f>DB18*DB20</f>
        <v>8515.2699031509983</v>
      </c>
      <c r="DC19" s="23"/>
      <c r="DD19" s="23"/>
      <c r="DE19" s="56">
        <f>DE18*DE20</f>
        <v>8604.2428327548005</v>
      </c>
      <c r="DF19" s="56">
        <f>DF18*DF20</f>
        <v>8619.3489110409992</v>
      </c>
      <c r="DG19" s="56">
        <v>8623.3229370068002</v>
      </c>
      <c r="DH19" s="56">
        <v>8623.3229370068002</v>
      </c>
      <c r="DI19" s="56">
        <f>DI18*DI20</f>
        <v>8936.8420353916008</v>
      </c>
      <c r="DJ19" s="23"/>
      <c r="DK19" s="23"/>
      <c r="DL19" s="56">
        <f>DL18*DL20</f>
        <v>9173.4030965719994</v>
      </c>
      <c r="DM19" s="56">
        <f>DM18*DM20</f>
        <v>9691.4193510419991</v>
      </c>
      <c r="DN19" s="56">
        <f>DN18*DN20</f>
        <v>9765.3228431439984</v>
      </c>
      <c r="DO19" s="56">
        <f>DO18*DO20</f>
        <v>9953.6630888199998</v>
      </c>
      <c r="DP19" s="56">
        <f>DP18*DP20</f>
        <v>9615.8410091259993</v>
      </c>
      <c r="DQ19" s="23"/>
      <c r="DR19" s="23"/>
      <c r="DS19" s="56">
        <f>DS18*DS20</f>
        <v>9108.6489979319995</v>
      </c>
      <c r="DT19" s="56">
        <f>DT18*DT20</f>
        <v>9405.8970306840001</v>
      </c>
      <c r="DU19" s="56">
        <f>DU18*DU20</f>
        <v>9748.7088268240004</v>
      </c>
      <c r="DV19" s="56">
        <f>DV18*DV20</f>
        <v>9702.2680655999993</v>
      </c>
      <c r="DW19" s="56">
        <f>DW18*DW20</f>
        <v>10147.920975500001</v>
      </c>
      <c r="DX19" s="23"/>
      <c r="DY19" s="23"/>
      <c r="DZ19" s="56">
        <f>DZ18*DZ20</f>
        <v>10194.530434246399</v>
      </c>
      <c r="EA19" s="56">
        <f>EA18*EA20</f>
        <v>10191.857817512799</v>
      </c>
      <c r="EB19" s="56">
        <f>EB18*EB20</f>
        <v>10217.65971996</v>
      </c>
      <c r="EC19" s="56">
        <f>EC18*EC20</f>
        <v>10159.968341951999</v>
      </c>
      <c r="ED19" s="56">
        <f>ED18*ED20</f>
        <v>10058.785543356</v>
      </c>
      <c r="EE19" s="23"/>
      <c r="EF19" s="23"/>
      <c r="EG19" s="56">
        <f>EG18*EG20</f>
        <v>9190.6449886679984</v>
      </c>
      <c r="EH19" s="56">
        <f>EH18*EH20</f>
        <v>9011.5852452053987</v>
      </c>
      <c r="EI19" s="56">
        <f>EI18*EI20</f>
        <v>8696.9712663899991</v>
      </c>
      <c r="EJ19" s="56">
        <f>EJ18*EJ20</f>
        <v>8462.8435986269997</v>
      </c>
      <c r="EK19" s="56">
        <f>EK18*EK20</f>
        <v>8487.3697756649999</v>
      </c>
      <c r="EL19" s="23"/>
      <c r="EM19" s="23"/>
      <c r="EN19" s="56">
        <f>EN18*EN20</f>
        <v>8330.3702976779987</v>
      </c>
      <c r="EO19" s="56">
        <f>EO18*EO20</f>
        <v>8497.6932174617996</v>
      </c>
      <c r="EP19" s="56">
        <f>EP18*EP20</f>
        <v>8434.7145654464002</v>
      </c>
      <c r="EQ19" s="56">
        <f>EQ18*EQ20</f>
        <v>8482.6548210095989</v>
      </c>
      <c r="ER19" s="56">
        <f>ER18*ER20</f>
        <v>8268.3131988688001</v>
      </c>
      <c r="ES19" s="23"/>
      <c r="ET19" s="23"/>
      <c r="EU19" s="56">
        <f>EU18*EU20</f>
        <v>8230.1372714242007</v>
      </c>
      <c r="EV19" s="56">
        <f>EV18*EV20</f>
        <v>8070.8539393943993</v>
      </c>
      <c r="EW19" s="56">
        <f>EW18*EW20</f>
        <v>8045.7483882203996</v>
      </c>
      <c r="EX19" s="56">
        <f>EX18*EX20</f>
        <v>8416.4283889487997</v>
      </c>
      <c r="EY19" s="56">
        <f>EY18*EY20</f>
        <v>8473.309150228999</v>
      </c>
      <c r="EZ19" s="23"/>
      <c r="FA19" s="23"/>
      <c r="FB19" s="56">
        <f>FB18*FB20</f>
        <v>8383.0314824167999</v>
      </c>
      <c r="FC19" s="56">
        <f>FC18*FC20</f>
        <v>8403.4242174167994</v>
      </c>
      <c r="FD19" s="56">
        <f>FD18*FD20</f>
        <v>8530.8264734880013</v>
      </c>
      <c r="FE19" s="56">
        <f>FE18*FE20</f>
        <v>8334.8749756777997</v>
      </c>
      <c r="FF19" s="56">
        <f>FF18*FF20</f>
        <v>8284.7558941685984</v>
      </c>
      <c r="FG19" s="23"/>
      <c r="FH19" s="23"/>
      <c r="FI19" s="56">
        <f>FI18*FI20</f>
        <v>8551.2586711859985</v>
      </c>
      <c r="FJ19" s="56">
        <f>FJ18*FJ20</f>
        <v>8539.2497533067999</v>
      </c>
      <c r="FK19" s="56">
        <f>FK18*FK20</f>
        <v>8471.0092245063988</v>
      </c>
      <c r="FL19" s="56">
        <f>FL18*FL20</f>
        <v>8471.0092245063988</v>
      </c>
      <c r="FM19" s="56">
        <f>FM18*FM20</f>
        <v>8064.2572313379997</v>
      </c>
      <c r="FN19" s="23"/>
      <c r="FO19" s="23"/>
      <c r="FP19" s="56">
        <f>FP18*FP20</f>
        <v>7831.5060180719993</v>
      </c>
      <c r="FQ19" s="56">
        <f>FQ18*FQ20</f>
        <v>7797.1038268661996</v>
      </c>
      <c r="FR19" s="56">
        <f>FR18*FR20</f>
        <v>7512.5445947551989</v>
      </c>
      <c r="FS19" s="56">
        <f>FS18*FS20</f>
        <v>7188.4397488859995</v>
      </c>
      <c r="FT19" s="56">
        <f>FT18*FT20</f>
        <v>7493.136310769999</v>
      </c>
      <c r="FU19" s="23"/>
      <c r="FV19" s="23"/>
      <c r="FW19" s="56">
        <f>FW18*FW20</f>
        <v>8092.6624813583994</v>
      </c>
      <c r="FX19" s="56">
        <f>FX18*FX20</f>
        <v>7717.2455018207993</v>
      </c>
      <c r="FY19" s="56">
        <f>FY18*FY20</f>
        <v>7846.7860188299992</v>
      </c>
      <c r="FZ19" s="56">
        <f>FZ18*FZ20</f>
        <v>7705.5524178027999</v>
      </c>
      <c r="GA19" s="56">
        <f>GA18*GA20</f>
        <v>7436.9046116640002</v>
      </c>
      <c r="GB19" s="23"/>
      <c r="GC19" s="23"/>
      <c r="GD19" s="56">
        <f>GD18*GD20</f>
        <v>7422.2099375159996</v>
      </c>
      <c r="GE19" s="56">
        <f>GE18*GE20</f>
        <v>6929.5940360063987</v>
      </c>
      <c r="GF19" s="56">
        <f>GF18*GF20</f>
        <v>7175.4529056672</v>
      </c>
      <c r="GG19" s="56">
        <f>GG18*GG20</f>
        <v>7292.4283453097996</v>
      </c>
      <c r="GH19" s="56">
        <f>GH18*GH20</f>
        <v>7322.4321652921999</v>
      </c>
      <c r="GI19" s="23"/>
      <c r="GJ19" s="23"/>
      <c r="GK19" s="56">
        <f>GK18*GK20</f>
        <v>7510.7623358548008</v>
      </c>
      <c r="GL19" s="56">
        <f>GL18*GL20</f>
        <v>7207.3612748213991</v>
      </c>
      <c r="GM19" s="56">
        <f>GM18*GM20</f>
        <v>7023.8088685379998</v>
      </c>
      <c r="GN19" s="56">
        <f>GN18*GN20</f>
        <v>6953.0562193400001</v>
      </c>
      <c r="GO19" s="56">
        <f>GO18*GO20</f>
        <v>6856.2654206155994</v>
      </c>
      <c r="GP19" s="23"/>
      <c r="GQ19" s="23"/>
      <c r="GR19" s="56">
        <f>GR18*GR20</f>
        <v>7182.4103336480002</v>
      </c>
      <c r="GS19" s="56">
        <f>GS18*GS20</f>
        <v>6938.5550887817999</v>
      </c>
      <c r="GT19" s="56">
        <f>GT18*GT20</f>
        <v>6849.1603051409993</v>
      </c>
      <c r="GU19" s="56">
        <f>GU18*GU20</f>
        <v>6662.437478928</v>
      </c>
      <c r="GV19" s="56">
        <f>GV18*GV20</f>
        <v>6857.9689745819996</v>
      </c>
      <c r="GW19" s="23"/>
      <c r="GX19" s="23"/>
      <c r="GY19" s="56">
        <f>GY18*GY20</f>
        <v>6792.7964611122006</v>
      </c>
      <c r="GZ19" s="56">
        <f>GZ18*GZ20</f>
        <v>6776.7203941183998</v>
      </c>
      <c r="HA19" s="56">
        <f>HA18*HA20</f>
        <v>6807.1407550035992</v>
      </c>
      <c r="HB19" s="56">
        <f>HB18*HB20</f>
        <v>7187.5066214248</v>
      </c>
      <c r="HC19" s="56">
        <f>HC18*HC20</f>
        <v>7217.244872882</v>
      </c>
      <c r="HD19" s="23"/>
      <c r="HE19" s="23"/>
      <c r="HF19" s="56">
        <f>HF18*HF20</f>
        <v>7121.1077439875999</v>
      </c>
      <c r="HG19" s="56">
        <f>HG18*HG20</f>
        <v>7002.2880294839997</v>
      </c>
      <c r="HH19" s="56">
        <f>HH18*HH20</f>
        <v>6999.2439783727996</v>
      </c>
      <c r="HI19" s="56">
        <f>HI18*HI20</f>
        <v>6994.5080136888</v>
      </c>
      <c r="HJ19" s="56">
        <f>HJ18*HJ20</f>
        <v>7255.1852366795993</v>
      </c>
      <c r="HK19" s="23"/>
      <c r="HL19" s="23"/>
      <c r="HM19" s="56">
        <f>HM18*HM20</f>
        <v>7252.9017353759991</v>
      </c>
      <c r="HN19" s="56">
        <f>HN18*HN20</f>
        <v>7361.4400060937987</v>
      </c>
      <c r="HO19" s="56">
        <f>HO18*HO20</f>
        <v>7353.8046354168</v>
      </c>
      <c r="HP19" s="56">
        <f>HP18*HP20</f>
        <v>7379.0577638536006</v>
      </c>
      <c r="HQ19" s="56">
        <f>HQ18*HQ20</f>
        <v>7364.0467708280003</v>
      </c>
      <c r="HR19" s="23"/>
      <c r="HS19" s="23"/>
      <c r="HT19" s="56">
        <f>HT18*HT20</f>
        <v>6953.2014156132</v>
      </c>
      <c r="HU19" s="56">
        <f>HU18*HU20</f>
        <v>6716.0167556195993</v>
      </c>
      <c r="HV19" s="56">
        <f>HV18*HV20</f>
        <v>6668.0641541843997</v>
      </c>
      <c r="HW19" s="56">
        <f>HW18*HW20</f>
        <v>6706.4655040239995</v>
      </c>
      <c r="HX19" s="56">
        <f>HX18*HX20</f>
        <v>6918.6778159839996</v>
      </c>
      <c r="HY19" s="23"/>
      <c r="HZ19" s="23"/>
      <c r="IA19" s="56">
        <f>IA18*IA20</f>
        <v>6984.2948469843996</v>
      </c>
      <c r="IB19" s="56">
        <f>IB18*IB20</f>
        <v>6951.074993484599</v>
      </c>
      <c r="IC19" s="56">
        <f>IC18*IC20</f>
        <v>6861.5172884258</v>
      </c>
      <c r="ID19" s="56">
        <f>ID18*ID20</f>
        <v>6891.5876658859997</v>
      </c>
      <c r="IE19" s="56">
        <f>IE18*IE20</f>
        <v>7296.2295731599997</v>
      </c>
      <c r="IF19" s="23"/>
      <c r="IG19" s="23"/>
      <c r="IH19" s="56">
        <f>IH18*IH20</f>
        <v>7223.8375244376002</v>
      </c>
      <c r="II19" s="56">
        <f>II18*II20</f>
        <v>7285.360928837199</v>
      </c>
      <c r="IJ19" s="56">
        <f>IJ18*IJ20</f>
        <v>7676.8349054055998</v>
      </c>
      <c r="IK19" s="56">
        <f>IK18*IK20</f>
        <v>7282.5081946496002</v>
      </c>
      <c r="IL19" s="56">
        <f>IL18*IL20</f>
        <v>7490.8853937499998</v>
      </c>
      <c r="IM19" s="23"/>
      <c r="IN19" s="23"/>
      <c r="IO19" s="56">
        <f>IO18*IO20</f>
        <v>7349.2187171700007</v>
      </c>
      <c r="IP19" s="56">
        <f>IP18*IP20</f>
        <v>6781.2456853151998</v>
      </c>
      <c r="IQ19" s="56">
        <v>6781.2456853151998</v>
      </c>
      <c r="IR19" s="56">
        <f>IR18*IR20</f>
        <v>6652.4733020064004</v>
      </c>
      <c r="IS19" s="56">
        <f>IS18*IS20</f>
        <v>6630.2789074499997</v>
      </c>
      <c r="IT19" s="23"/>
      <c r="IU19" s="23"/>
      <c r="IV19" s="56">
        <f>IV18*IV20</f>
        <v>6760.9204998720006</v>
      </c>
      <c r="IW19" s="56">
        <f>IW18*IW20</f>
        <v>6389.4833885431999</v>
      </c>
      <c r="IX19" s="56">
        <f>IX18*IX20</f>
        <v>5993.2489098702008</v>
      </c>
      <c r="IY19" s="56">
        <f>IY18*IY20</f>
        <v>6133.6151031583986</v>
      </c>
      <c r="IZ19" s="56">
        <f>IZ18*IZ20</f>
        <v>6372.1589995668</v>
      </c>
      <c r="JA19" s="23"/>
      <c r="JB19" s="23"/>
      <c r="JC19" s="56">
        <f>JC18*JC20</f>
        <v>6464.7924140799996</v>
      </c>
      <c r="JD19" s="56">
        <f>JD18*JD20</f>
        <v>6108.3630770316004</v>
      </c>
      <c r="JE19" s="56">
        <f>JE18*JE20</f>
        <v>5963.2443844093996</v>
      </c>
      <c r="JF19" s="56">
        <f>JF18*JF20</f>
        <v>5972.9060213283992</v>
      </c>
      <c r="JG19" s="56">
        <f>JG18*JG20</f>
        <v>5760.0106739999992</v>
      </c>
      <c r="JH19" s="23"/>
      <c r="JI19" s="23"/>
      <c r="JJ19" s="56">
        <f>JJ18*JJ20</f>
        <v>5856.2808076190004</v>
      </c>
      <c r="JK19" s="56">
        <f>JK18*JK20</f>
        <v>5798.8247727959997</v>
      </c>
      <c r="JL19" s="56">
        <f>JL18*JL20</f>
        <v>5791.6046863883994</v>
      </c>
      <c r="JM19" s="56">
        <f>JM18*JM20</f>
        <v>6356.5086226488002</v>
      </c>
      <c r="JN19" s="56">
        <f>JN18*JN20</f>
        <v>6060.7286684009996</v>
      </c>
      <c r="JO19" s="23"/>
      <c r="JP19" s="23"/>
      <c r="JQ19" s="56">
        <f>JQ18*JQ20</f>
        <v>6119.3783285844002</v>
      </c>
      <c r="JR19" s="56">
        <f>JR18*JR20</f>
        <v>6191.4967839647998</v>
      </c>
      <c r="JS19" s="56">
        <f>JS18*JS20</f>
        <v>6266.8931124536002</v>
      </c>
      <c r="JT19" s="56">
        <f>JT18*JT20</f>
        <v>6611.9383429769996</v>
      </c>
      <c r="JU19" s="56">
        <f>JU18*JU20</f>
        <v>6916.4604973727992</v>
      </c>
      <c r="JV19" s="23"/>
      <c r="JW19" s="23"/>
      <c r="JX19" s="56">
        <f>JX18*JX20</f>
        <v>6760.2898021824003</v>
      </c>
      <c r="JY19" s="56">
        <f>JY18*JY20</f>
        <v>6712.4125105664007</v>
      </c>
      <c r="JZ19" s="56">
        <v>6712.4125105664007</v>
      </c>
      <c r="KA19" s="56">
        <f>KA18*KA20</f>
        <v>6955.2743757068001</v>
      </c>
      <c r="KB19" s="56">
        <f>KB18*KB20</f>
        <v>6878.7152644913995</v>
      </c>
      <c r="KC19" s="23"/>
      <c r="KD19" s="23"/>
      <c r="KE19" s="56">
        <f>KE18*KE20</f>
        <v>6486.9465522751998</v>
      </c>
      <c r="KF19" s="56">
        <f>KF18*KF20</f>
        <v>6707.6700202071997</v>
      </c>
      <c r="KG19" s="56">
        <f>KG18*KG20</f>
        <v>6768.3657220739997</v>
      </c>
      <c r="KH19" s="56">
        <f>KH18*KH20</f>
        <v>6489.5208870491988</v>
      </c>
      <c r="KI19" s="56">
        <f>KI18*KI20</f>
        <v>6638.3930113599999</v>
      </c>
      <c r="KJ19" s="23"/>
      <c r="KK19" s="23"/>
      <c r="KL19" s="56">
        <f>KL18*KL20</f>
        <v>6845.0423395353992</v>
      </c>
      <c r="KM19" s="56">
        <f>KM18*KM20</f>
        <v>7078.5106495487998</v>
      </c>
      <c r="KN19" s="56">
        <f>KN18*KN20</f>
        <v>7104.1397097879999</v>
      </c>
      <c r="KO19" s="56">
        <f>KO18*KO20</f>
        <v>6987.3226279999999</v>
      </c>
      <c r="KP19" s="56">
        <f>KP18*KP20</f>
        <v>7045.7342112696006</v>
      </c>
      <c r="KQ19" s="23"/>
      <c r="KR19" s="23"/>
      <c r="KS19" s="56">
        <f>KS18*KS20</f>
        <v>7070.4647345354006</v>
      </c>
      <c r="KT19" s="56">
        <f>KT18*KT20</f>
        <v>6967.4168715117994</v>
      </c>
      <c r="KU19" s="56">
        <v>6967.4168715117994</v>
      </c>
      <c r="KV19" s="56">
        <f>KV18*KV20</f>
        <v>7164.3279081307992</v>
      </c>
      <c r="KW19" s="56">
        <f>KW18*KW20</f>
        <v>7179.5372508178007</v>
      </c>
      <c r="KX19" s="23"/>
      <c r="KY19" s="23"/>
      <c r="KZ19" s="56">
        <f>KZ18*KZ20</f>
        <v>7160.3012799318003</v>
      </c>
      <c r="LA19" s="56">
        <f>LA18*LA20</f>
        <v>7132.7497910526008</v>
      </c>
      <c r="LB19" s="56">
        <f>LB18*LB20</f>
        <v>7174.9424920448</v>
      </c>
      <c r="LC19" s="56">
        <f>LC18*LC20</f>
        <v>7321.7370045137995</v>
      </c>
      <c r="LD19" s="56">
        <f>LD18*LD20</f>
        <v>7364.3844304271997</v>
      </c>
      <c r="LE19" s="23"/>
      <c r="LF19" s="23"/>
      <c r="LG19" s="56">
        <f>LG18*LG20</f>
        <v>7220.037465036</v>
      </c>
      <c r="LH19" s="56">
        <f>LH18*LH20</f>
        <v>7220.037465036</v>
      </c>
      <c r="LI19" s="56">
        <f>LI18*LI20</f>
        <v>6941.1031665315995</v>
      </c>
      <c r="LJ19" s="56">
        <f>LJ18*LJ20</f>
        <v>6895.4648428951996</v>
      </c>
      <c r="LK19" s="56">
        <f>LK18*LK20</f>
        <v>6806.9599320712005</v>
      </c>
      <c r="LL19" s="23"/>
      <c r="LM19" s="23"/>
      <c r="LN19" s="56">
        <f>LN18*LN20</f>
        <v>6927.1453204799991</v>
      </c>
      <c r="LO19" s="56">
        <f>LO18*LO20</f>
        <v>6977.5302350687989</v>
      </c>
      <c r="LP19" s="56">
        <f>LP18*LP20</f>
        <v>7443.6116609513992</v>
      </c>
      <c r="LQ19" s="56">
        <f>LQ18*LQ20</f>
        <v>7335.8092482972006</v>
      </c>
      <c r="LR19" s="56">
        <f>LR18*LR20</f>
        <v>7197.8089429620004</v>
      </c>
      <c r="LS19" s="23"/>
      <c r="LT19" s="23"/>
      <c r="LU19" s="56">
        <f>LU18*LU20</f>
        <v>7063.5377523568004</v>
      </c>
      <c r="LV19" s="56">
        <f>LV18*LV20</f>
        <v>7083.5309661204001</v>
      </c>
      <c r="LW19" s="56">
        <f>LW18*LW20</f>
        <v>6970.9792067387998</v>
      </c>
      <c r="LX19" s="56">
        <f>LX18*LX20</f>
        <v>6229.832832959999</v>
      </c>
      <c r="LY19" s="56">
        <f>LY18*LY20</f>
        <v>6140.1442396118</v>
      </c>
      <c r="LZ19" s="23"/>
      <c r="MA19" s="23"/>
      <c r="MB19" s="56">
        <f>MB18*MB20</f>
        <v>6291.59746688</v>
      </c>
      <c r="MC19" s="56">
        <f>MC18*MC20</f>
        <v>6280.0968682341991</v>
      </c>
      <c r="MD19" s="56">
        <f>MD18*MD20</f>
        <v>6174.6958379150001</v>
      </c>
      <c r="ME19" s="56">
        <f>ME18*ME20</f>
        <v>6258.46643752</v>
      </c>
      <c r="MF19" s="56">
        <f>MF18*MF20</f>
        <v>6144.9540811119996</v>
      </c>
      <c r="MG19" s="23"/>
      <c r="MH19" s="23"/>
      <c r="MI19" s="56">
        <f>MI18*MI20</f>
        <v>6315.1422352787995</v>
      </c>
      <c r="MJ19" s="56">
        <f>MJ18*MJ20</f>
        <v>6654.1791046851995</v>
      </c>
      <c r="MK19" s="56">
        <f>MK18*MK20</f>
        <v>6688.4300148665998</v>
      </c>
      <c r="ML19" s="56">
        <f>ML18*ML20</f>
        <v>6427.1895335119998</v>
      </c>
      <c r="MM19" s="56">
        <f>MM18*MM20</f>
        <v>6561.0228424927991</v>
      </c>
      <c r="MN19" s="23"/>
      <c r="MO19" s="23"/>
      <c r="MP19" s="56">
        <f>MP18*MP20</f>
        <v>6727.9344683693989</v>
      </c>
      <c r="MQ19" s="56">
        <f>MQ18*MQ20</f>
        <v>6766.9161844239998</v>
      </c>
      <c r="MR19" s="56">
        <f>MR18*MR20</f>
        <v>6688.2718333815992</v>
      </c>
      <c r="MS19" s="56">
        <f>MS18*MS20</f>
        <v>6495.0362730879997</v>
      </c>
      <c r="MT19" s="56">
        <f>MT18*MT20</f>
        <v>6456.4348319371993</v>
      </c>
      <c r="MU19" s="23"/>
      <c r="MV19" s="23"/>
      <c r="MW19" s="56">
        <f>MW18*MW20</f>
        <v>6510.0271820253993</v>
      </c>
      <c r="MX19" s="56">
        <f>MX18*MX20</f>
        <v>6714.4998006900005</v>
      </c>
      <c r="MY19" s="56">
        <f>MY18*MY20</f>
        <v>6544.8531893799991</v>
      </c>
      <c r="MZ19" s="56">
        <f>MZ18*MZ20</f>
        <v>6487.344794831999</v>
      </c>
      <c r="NA19" s="56">
        <f>NA18*NA20</f>
        <v>6487.344794831999</v>
      </c>
      <c r="NB19" s="23"/>
    </row>
    <row r="20" spans="1:367" x14ac:dyDescent="0.25">
      <c r="A20" s="34" t="s">
        <v>0</v>
      </c>
      <c r="B20" s="57"/>
      <c r="C20" s="57"/>
      <c r="D20" s="57">
        <v>5.6310000000000002</v>
      </c>
      <c r="E20" s="57">
        <v>5.6769999999999996</v>
      </c>
      <c r="F20" s="57">
        <v>5.6619999999999999</v>
      </c>
      <c r="G20" s="57">
        <v>5.7039999999999997</v>
      </c>
      <c r="H20" s="57">
        <v>5.6749999999999998</v>
      </c>
      <c r="I20" s="57"/>
      <c r="J20" s="57"/>
      <c r="K20" s="57">
        <v>5.6740000000000004</v>
      </c>
      <c r="L20" s="57">
        <v>5.6349999999999998</v>
      </c>
      <c r="M20" s="57">
        <v>5.5609999999999999</v>
      </c>
      <c r="N20" s="57">
        <v>5.524</v>
      </c>
      <c r="O20" s="57">
        <v>5.5346000000000002</v>
      </c>
      <c r="P20" s="57"/>
      <c r="Q20" s="57"/>
      <c r="R20" s="57">
        <v>5.5054999999999996</v>
      </c>
      <c r="S20" s="57">
        <v>5.5209999999999999</v>
      </c>
      <c r="T20" s="57">
        <v>5.4974999999999996</v>
      </c>
      <c r="U20" s="57">
        <v>5.4162999999999997</v>
      </c>
      <c r="V20" s="57">
        <v>5.4390000000000001</v>
      </c>
      <c r="W20" s="39"/>
      <c r="X20" s="39"/>
      <c r="Y20" s="57">
        <v>5.4904000000000002</v>
      </c>
      <c r="Z20" s="57">
        <v>5.4968000000000004</v>
      </c>
      <c r="AA20" s="57">
        <v>5.4320000000000004</v>
      </c>
      <c r="AB20" s="57">
        <v>5.3810000000000002</v>
      </c>
      <c r="AC20" s="57">
        <v>5.3949999999999996</v>
      </c>
      <c r="AD20" s="39"/>
      <c r="AE20" s="39"/>
      <c r="AF20" s="57">
        <v>5.3571</v>
      </c>
      <c r="AG20" s="57">
        <v>5.2809999999999997</v>
      </c>
      <c r="AH20" s="57">
        <v>5.2953000000000001</v>
      </c>
      <c r="AI20" s="57">
        <v>5.3022</v>
      </c>
      <c r="AJ20" s="57">
        <v>5.3280000000000003</v>
      </c>
      <c r="AK20" s="39"/>
      <c r="AL20" s="39"/>
      <c r="AM20" s="57">
        <v>5.2911000000000001</v>
      </c>
      <c r="AN20" s="57">
        <v>5.2695999999999996</v>
      </c>
      <c r="AO20" s="57">
        <v>5.2732000000000001</v>
      </c>
      <c r="AP20" s="57">
        <v>5.2099000000000002</v>
      </c>
      <c r="AQ20" s="57">
        <v>5.1984000000000004</v>
      </c>
      <c r="AR20" s="39"/>
      <c r="AS20" s="39"/>
      <c r="AT20" s="57">
        <v>5.2103000000000002</v>
      </c>
      <c r="AU20" s="57">
        <v>5.1878000000000002</v>
      </c>
      <c r="AV20" s="57">
        <v>5.1627999999999998</v>
      </c>
      <c r="AW20" s="57">
        <v>5.1562000000000001</v>
      </c>
      <c r="AX20" s="57">
        <v>5.1334999999999997</v>
      </c>
      <c r="AY20" s="39"/>
      <c r="AZ20" s="39"/>
      <c r="BA20" s="57">
        <v>5.0994000000000002</v>
      </c>
      <c r="BB20" s="57">
        <v>5.0610999999999997</v>
      </c>
      <c r="BC20" s="57">
        <v>5.0141</v>
      </c>
      <c r="BD20" s="57">
        <v>5.1172000000000004</v>
      </c>
      <c r="BE20" s="57">
        <v>5.1391999999999998</v>
      </c>
      <c r="BF20" s="39"/>
      <c r="BG20" s="39"/>
      <c r="BH20" s="57">
        <v>5.1391999999999998</v>
      </c>
      <c r="BI20" s="57">
        <v>5.1391999999999998</v>
      </c>
      <c r="BJ20" s="57">
        <v>5.1344000000000003</v>
      </c>
      <c r="BK20" s="57">
        <v>5.0476000000000001</v>
      </c>
      <c r="BL20" s="57">
        <v>5.0754999999999999</v>
      </c>
      <c r="BM20" s="39"/>
      <c r="BN20" s="39"/>
      <c r="BO20" s="57">
        <v>5.0576999999999996</v>
      </c>
      <c r="BP20" s="57">
        <v>5.0911</v>
      </c>
      <c r="BQ20" s="57">
        <v>5.0091999999999999</v>
      </c>
      <c r="BR20" s="57">
        <v>5.0510999999999999</v>
      </c>
      <c r="BS20" s="57">
        <v>5.0251999999999999</v>
      </c>
      <c r="BT20" s="39"/>
      <c r="BU20" s="39"/>
      <c r="BV20" s="57">
        <v>5.0644</v>
      </c>
      <c r="BW20" s="57">
        <v>5.1311999999999998</v>
      </c>
      <c r="BX20" s="57">
        <v>5.1280000000000001</v>
      </c>
      <c r="BY20" s="57">
        <v>5.0750000000000002</v>
      </c>
      <c r="BZ20" s="57">
        <v>5.0408999999999997</v>
      </c>
      <c r="CA20" s="39"/>
      <c r="CB20" s="39"/>
      <c r="CC20" s="57">
        <v>4.9663000000000004</v>
      </c>
      <c r="CD20" s="57">
        <v>4.9206000000000003</v>
      </c>
      <c r="CE20" s="57">
        <v>4.8705999999999996</v>
      </c>
      <c r="CF20" s="57">
        <v>4.8064</v>
      </c>
      <c r="CG20" s="57">
        <v>4.7779999999999996</v>
      </c>
      <c r="CH20" s="39"/>
      <c r="CI20" s="39"/>
      <c r="CJ20" s="57">
        <v>4.7903000000000002</v>
      </c>
      <c r="CK20" s="57">
        <v>4.7483000000000004</v>
      </c>
      <c r="CL20" s="57">
        <v>4.7493999999999996</v>
      </c>
      <c r="CM20" s="57">
        <v>4.7374999999999998</v>
      </c>
      <c r="CN20" s="57">
        <v>4.6981999999999999</v>
      </c>
      <c r="CO20" s="39"/>
      <c r="CP20" s="39"/>
      <c r="CQ20" s="57">
        <v>4.6172000000000004</v>
      </c>
      <c r="CR20" s="57">
        <v>4.6398999999999999</v>
      </c>
      <c r="CS20" s="57">
        <v>4.6963999999999997</v>
      </c>
      <c r="CT20" s="57">
        <v>4.742</v>
      </c>
      <c r="CU20" s="57">
        <v>4.7510000000000003</v>
      </c>
      <c r="CV20" s="39"/>
      <c r="CW20" s="39"/>
      <c r="CX20" s="57">
        <v>4.7022000000000004</v>
      </c>
      <c r="CY20" s="57">
        <v>4.6481000000000003</v>
      </c>
      <c r="CZ20" s="57">
        <v>4.681</v>
      </c>
      <c r="DA20" s="57">
        <v>4.7154999999999996</v>
      </c>
      <c r="DB20" s="57">
        <v>4.7154999999999996</v>
      </c>
      <c r="DC20" s="39"/>
      <c r="DD20" s="39"/>
      <c r="DE20" s="57">
        <v>4.6745999999999999</v>
      </c>
      <c r="DF20" s="57">
        <v>4.6704999999999997</v>
      </c>
      <c r="DG20" s="57">
        <v>4.6394000000000002</v>
      </c>
      <c r="DH20" s="57">
        <v>4.6394000000000002</v>
      </c>
      <c r="DI20" s="57">
        <v>4.7323000000000004</v>
      </c>
      <c r="DJ20" s="39"/>
      <c r="DK20" s="39"/>
      <c r="DL20" s="57">
        <v>4.8815</v>
      </c>
      <c r="DM20" s="57">
        <v>4.9790000000000001</v>
      </c>
      <c r="DN20" s="57">
        <v>5.0164</v>
      </c>
      <c r="DO20" s="57">
        <v>5.0110000000000001</v>
      </c>
      <c r="DP20" s="57">
        <v>4.9189999999999996</v>
      </c>
      <c r="DQ20" s="39"/>
      <c r="DR20" s="39"/>
      <c r="DS20" s="57">
        <v>5.0263</v>
      </c>
      <c r="DT20" s="57">
        <v>5.0164</v>
      </c>
      <c r="DU20" s="57">
        <v>5.0090000000000003</v>
      </c>
      <c r="DV20" s="57">
        <v>5.0010000000000003</v>
      </c>
      <c r="DW20" s="57">
        <v>5.0750000000000002</v>
      </c>
      <c r="DX20" s="39"/>
      <c r="DY20" s="39"/>
      <c r="DZ20" s="57">
        <v>5.1334</v>
      </c>
      <c r="EA20" s="57">
        <v>5.1388999999999996</v>
      </c>
      <c r="EB20" s="57">
        <v>5.1239999999999997</v>
      </c>
      <c r="EC20" s="57">
        <v>5.1479999999999997</v>
      </c>
      <c r="ED20" s="57">
        <v>5.1070000000000002</v>
      </c>
      <c r="EE20" s="39"/>
      <c r="EF20" s="39"/>
      <c r="EG20" s="57">
        <v>5.0659999999999998</v>
      </c>
      <c r="EH20" s="57">
        <v>4.9672999999999998</v>
      </c>
      <c r="EI20" s="57">
        <v>4.9589999999999996</v>
      </c>
      <c r="EJ20" s="57">
        <v>4.9195000000000002</v>
      </c>
      <c r="EK20" s="57">
        <v>4.8775000000000004</v>
      </c>
      <c r="EL20" s="39"/>
      <c r="EM20" s="39"/>
      <c r="EN20" s="57">
        <v>4.7969999999999997</v>
      </c>
      <c r="EO20" s="57">
        <v>4.8102999999999998</v>
      </c>
      <c r="EP20" s="57">
        <v>4.8356000000000003</v>
      </c>
      <c r="EQ20" s="57">
        <v>4.7964000000000002</v>
      </c>
      <c r="ER20" s="57">
        <v>4.7431999999999999</v>
      </c>
      <c r="ES20" s="39"/>
      <c r="ET20" s="39"/>
      <c r="EU20" s="57">
        <v>4.7213000000000003</v>
      </c>
      <c r="EV20" s="57">
        <v>4.7286000000000001</v>
      </c>
      <c r="EW20" s="57">
        <v>4.7762000000000002</v>
      </c>
      <c r="EX20" s="57">
        <v>4.7876000000000003</v>
      </c>
      <c r="EY20" s="57">
        <v>4.7953000000000001</v>
      </c>
      <c r="EZ20" s="39"/>
      <c r="FA20" s="39"/>
      <c r="FB20" s="57">
        <v>4.7835999999999999</v>
      </c>
      <c r="FC20" s="57">
        <v>4.8906000000000001</v>
      </c>
      <c r="FD20" s="57">
        <v>4.8710000000000004</v>
      </c>
      <c r="FE20" s="57">
        <v>4.8952999999999998</v>
      </c>
      <c r="FF20" s="57">
        <v>4.9832999999999998</v>
      </c>
      <c r="FG20" s="39"/>
      <c r="FH20" s="39"/>
      <c r="FI20" s="57">
        <v>5.1029999999999998</v>
      </c>
      <c r="FJ20" s="57">
        <v>5.1113</v>
      </c>
      <c r="FK20" s="57">
        <v>5.1116000000000001</v>
      </c>
      <c r="FL20" s="57">
        <v>5.1116000000000001</v>
      </c>
      <c r="FM20" s="57">
        <v>5.1310000000000002</v>
      </c>
      <c r="FN20" s="39"/>
      <c r="FO20" s="39"/>
      <c r="FP20" s="57">
        <v>5.1639999999999997</v>
      </c>
      <c r="FQ20" s="57">
        <v>5.1502999999999997</v>
      </c>
      <c r="FR20" s="57">
        <v>5.1505999999999998</v>
      </c>
      <c r="FS20" s="57">
        <v>5.1829999999999998</v>
      </c>
      <c r="FT20" s="57">
        <v>5.2329999999999997</v>
      </c>
      <c r="FU20" s="39"/>
      <c r="FV20" s="39"/>
      <c r="FW20" s="57">
        <v>5.2201000000000004</v>
      </c>
      <c r="FX20" s="57">
        <v>5.2176</v>
      </c>
      <c r="FY20" s="57">
        <v>5.2264999999999997</v>
      </c>
      <c r="FZ20" s="57">
        <v>5.2378</v>
      </c>
      <c r="GA20" s="57">
        <v>5.3140000000000001</v>
      </c>
      <c r="GB20" s="39"/>
      <c r="GC20" s="39"/>
      <c r="GD20" s="57">
        <v>5.3034999999999997</v>
      </c>
      <c r="GE20" s="57">
        <v>5.3895999999999997</v>
      </c>
      <c r="GF20" s="57">
        <v>5.4318</v>
      </c>
      <c r="GG20" s="57">
        <v>5.3636999999999997</v>
      </c>
      <c r="GH20" s="57">
        <v>5.3083</v>
      </c>
      <c r="GI20" s="39"/>
      <c r="GJ20" s="39"/>
      <c r="GK20" s="57">
        <v>5.3474000000000004</v>
      </c>
      <c r="GL20" s="57">
        <v>5.4116999999999997</v>
      </c>
      <c r="GM20" s="57">
        <v>5.399</v>
      </c>
      <c r="GN20" s="57">
        <v>5.4565000000000001</v>
      </c>
      <c r="GO20" s="57">
        <v>5.4010999999999996</v>
      </c>
      <c r="GP20" s="39"/>
      <c r="GQ20" s="39"/>
      <c r="GR20" s="57">
        <v>5.3672000000000004</v>
      </c>
      <c r="GS20" s="57">
        <v>5.3901000000000003</v>
      </c>
      <c r="GT20" s="57">
        <v>5.4284999999999997</v>
      </c>
      <c r="GU20" s="57">
        <v>5.4747000000000003</v>
      </c>
      <c r="GV20" s="57">
        <v>5.4554999999999998</v>
      </c>
      <c r="GW20" s="39"/>
      <c r="GX20" s="39"/>
      <c r="GY20" s="57">
        <v>5.4141000000000004</v>
      </c>
      <c r="GZ20" s="57">
        <v>5.3071000000000002</v>
      </c>
      <c r="HA20" s="57">
        <v>5.3071000000000002</v>
      </c>
      <c r="HB20" s="57">
        <v>5.1881000000000004</v>
      </c>
      <c r="HC20" s="57">
        <v>5.1881000000000004</v>
      </c>
      <c r="HD20" s="39"/>
      <c r="HE20" s="39"/>
      <c r="HF20" s="57">
        <v>5.2325999999999997</v>
      </c>
      <c r="HG20" s="57">
        <v>5.2325999999999997</v>
      </c>
      <c r="HH20" s="57">
        <v>5.2843</v>
      </c>
      <c r="HI20" s="57">
        <v>5.2405999999999997</v>
      </c>
      <c r="HJ20" s="57">
        <v>5.2161999999999997</v>
      </c>
      <c r="HK20" s="39"/>
      <c r="HL20" s="39"/>
      <c r="HM20" s="57">
        <v>5.1243999999999996</v>
      </c>
      <c r="HN20" s="57">
        <v>5.1220999999999997</v>
      </c>
      <c r="HO20" s="57">
        <v>5.0494000000000003</v>
      </c>
      <c r="HP20" s="57">
        <v>5.1124000000000001</v>
      </c>
      <c r="HQ20" s="57">
        <v>5.1020000000000003</v>
      </c>
      <c r="HR20" s="39"/>
      <c r="HS20" s="39"/>
      <c r="HT20" s="57">
        <v>5.0918999999999999</v>
      </c>
      <c r="HU20" s="57">
        <v>5.1337000000000002</v>
      </c>
      <c r="HV20" s="57">
        <v>5.1782000000000004</v>
      </c>
      <c r="HW20" s="57">
        <v>5.1769999999999996</v>
      </c>
      <c r="HX20" s="57">
        <v>5.1958000000000002</v>
      </c>
      <c r="HY20" s="39"/>
      <c r="HZ20" s="39"/>
      <c r="IA20" s="57">
        <v>5.1706000000000003</v>
      </c>
      <c r="IB20" s="57">
        <v>5.1026999999999996</v>
      </c>
      <c r="IC20" s="57">
        <v>5.1047000000000002</v>
      </c>
      <c r="ID20" s="57">
        <v>5.117</v>
      </c>
      <c r="IE20" s="57">
        <v>5.09</v>
      </c>
      <c r="IF20" s="39"/>
      <c r="IG20" s="39"/>
      <c r="IH20" s="57">
        <v>5.0426000000000002</v>
      </c>
      <c r="II20" s="57">
        <v>5.0613999999999999</v>
      </c>
      <c r="IJ20" s="57">
        <v>5.1787000000000001</v>
      </c>
      <c r="IK20" s="57">
        <v>5.2004000000000001</v>
      </c>
      <c r="IL20" s="57">
        <v>5.1875</v>
      </c>
      <c r="IM20" s="39"/>
      <c r="IN20" s="39"/>
      <c r="IO20" s="57">
        <v>5.1683000000000003</v>
      </c>
      <c r="IP20" s="57">
        <v>5.2152000000000003</v>
      </c>
      <c r="IQ20" s="57">
        <v>5.2152000000000003</v>
      </c>
      <c r="IR20" s="57">
        <v>5.2152000000000003</v>
      </c>
      <c r="IS20" s="57">
        <v>5.1630000000000003</v>
      </c>
      <c r="IT20" s="39"/>
      <c r="IU20" s="39"/>
      <c r="IV20" s="57">
        <v>5.1180000000000003</v>
      </c>
      <c r="IW20" s="57">
        <v>5.1791</v>
      </c>
      <c r="IX20" s="57">
        <v>5.1771000000000003</v>
      </c>
      <c r="IY20" s="57">
        <v>5.2207999999999997</v>
      </c>
      <c r="IZ20" s="57">
        <v>5.2878999999999996</v>
      </c>
      <c r="JA20" s="39"/>
      <c r="JB20" s="39"/>
      <c r="JC20" s="57">
        <v>5.2363999999999997</v>
      </c>
      <c r="JD20" s="57">
        <v>5.1702000000000004</v>
      </c>
      <c r="JE20" s="57">
        <v>5.1688999999999998</v>
      </c>
      <c r="JF20" s="57">
        <v>5.1673999999999998</v>
      </c>
      <c r="JG20" s="57">
        <v>5.2253999999999996</v>
      </c>
      <c r="JH20" s="39"/>
      <c r="JI20" s="39"/>
      <c r="JJ20" s="57">
        <v>5.3544999999999998</v>
      </c>
      <c r="JK20" s="57">
        <v>5.3505000000000003</v>
      </c>
      <c r="JL20" s="57">
        <v>5.3590999999999998</v>
      </c>
      <c r="JM20" s="57">
        <v>5.3913000000000002</v>
      </c>
      <c r="JN20" s="57">
        <v>5.4062999999999999</v>
      </c>
      <c r="JO20" s="39"/>
      <c r="JP20" s="39"/>
      <c r="JQ20" s="57">
        <v>5.1999000000000004</v>
      </c>
      <c r="JR20" s="57">
        <v>5.1407999999999996</v>
      </c>
      <c r="JS20" s="57">
        <v>5.2138999999999998</v>
      </c>
      <c r="JT20" s="57">
        <v>5.2004999999999999</v>
      </c>
      <c r="JU20" s="57">
        <v>5.2218</v>
      </c>
      <c r="JV20" s="39"/>
      <c r="JW20" s="39"/>
      <c r="JX20" s="57">
        <v>5.1938000000000004</v>
      </c>
      <c r="JY20" s="57">
        <v>5.2064000000000004</v>
      </c>
      <c r="JZ20" s="57">
        <v>5.2064000000000004</v>
      </c>
      <c r="KA20" s="57">
        <v>5.3014000000000001</v>
      </c>
      <c r="KB20" s="57">
        <v>5.2820999999999998</v>
      </c>
      <c r="KC20" s="39"/>
      <c r="KD20" s="39"/>
      <c r="KE20" s="57">
        <v>5.2694000000000001</v>
      </c>
      <c r="KF20" s="57">
        <v>5.2694000000000001</v>
      </c>
      <c r="KG20" s="57">
        <v>5.2805</v>
      </c>
      <c r="KH20" s="57">
        <v>5.2172999999999998</v>
      </c>
      <c r="KI20" s="57">
        <v>5.1916000000000002</v>
      </c>
      <c r="KJ20" s="39"/>
      <c r="KK20" s="39"/>
      <c r="KL20" s="57">
        <v>5.2740999999999998</v>
      </c>
      <c r="KM20" s="57">
        <v>5.3087999999999997</v>
      </c>
      <c r="KN20" s="57">
        <v>5.3244999999999996</v>
      </c>
      <c r="KO20" s="57">
        <v>5.3</v>
      </c>
      <c r="KP20" s="57">
        <v>5.3452000000000002</v>
      </c>
      <c r="KQ20" s="39"/>
      <c r="KR20" s="39"/>
      <c r="KS20" s="57">
        <v>5.2567000000000004</v>
      </c>
      <c r="KT20" s="57">
        <v>5.1497000000000002</v>
      </c>
      <c r="KU20" s="57">
        <v>5.1497000000000002</v>
      </c>
      <c r="KV20" s="57">
        <v>5.1345999999999998</v>
      </c>
      <c r="KW20" s="57">
        <v>5.0357000000000003</v>
      </c>
      <c r="KX20" s="39"/>
      <c r="KY20" s="39"/>
      <c r="KZ20" s="57">
        <v>5.0883000000000003</v>
      </c>
      <c r="LA20" s="57">
        <v>5.1741000000000001</v>
      </c>
      <c r="LB20" s="57">
        <v>5.1626000000000003</v>
      </c>
      <c r="LC20" s="57">
        <v>5.3060999999999998</v>
      </c>
      <c r="LD20" s="57">
        <v>5.3048000000000002</v>
      </c>
      <c r="LE20" s="39"/>
      <c r="LF20" s="39"/>
      <c r="LG20" s="57">
        <v>5.3010000000000002</v>
      </c>
      <c r="LH20" s="57">
        <v>5.3010000000000002</v>
      </c>
      <c r="LI20" s="57">
        <v>5.3201000000000001</v>
      </c>
      <c r="LJ20" s="57">
        <v>5.4652000000000003</v>
      </c>
      <c r="LK20" s="57">
        <v>5.3474000000000004</v>
      </c>
      <c r="LL20" s="39"/>
      <c r="LM20" s="39"/>
      <c r="LN20" s="57">
        <v>5.3255999999999997</v>
      </c>
      <c r="LO20" s="57">
        <v>5.3335999999999997</v>
      </c>
      <c r="LP20" s="57">
        <v>5.3926999999999996</v>
      </c>
      <c r="LQ20" s="57">
        <v>5.3146000000000004</v>
      </c>
      <c r="LR20" s="57">
        <v>5.3505000000000003</v>
      </c>
      <c r="LS20" s="39"/>
      <c r="LT20" s="39"/>
      <c r="LU20" s="57">
        <v>5.3794000000000004</v>
      </c>
      <c r="LV20" s="57">
        <v>5.3072999999999997</v>
      </c>
      <c r="LW20" s="57">
        <v>5.2938000000000001</v>
      </c>
      <c r="LX20" s="57">
        <v>5.1944999999999997</v>
      </c>
      <c r="LY20" s="57">
        <v>5.1970999999999998</v>
      </c>
      <c r="LZ20" s="39"/>
      <c r="MA20" s="39"/>
      <c r="MB20" s="57">
        <v>5.2460000000000004</v>
      </c>
      <c r="MC20" s="57">
        <v>5.2393000000000001</v>
      </c>
      <c r="MD20" s="57">
        <v>5.2205000000000004</v>
      </c>
      <c r="ME20" s="57">
        <v>5.2088000000000001</v>
      </c>
      <c r="MF20" s="57">
        <v>5.2393000000000001</v>
      </c>
      <c r="MG20" s="39"/>
      <c r="MH20" s="39"/>
      <c r="MI20" s="57">
        <v>5.2666000000000004</v>
      </c>
      <c r="MJ20" s="57">
        <v>5.2666000000000004</v>
      </c>
      <c r="MK20" s="57">
        <v>5.3403</v>
      </c>
      <c r="ML20" s="57">
        <v>5.3179999999999996</v>
      </c>
      <c r="MM20" s="57">
        <v>5.2804000000000002</v>
      </c>
      <c r="MN20" s="39"/>
      <c r="MO20" s="39"/>
      <c r="MP20" s="57">
        <v>5.3156999999999996</v>
      </c>
      <c r="MQ20" s="57">
        <v>5.2423999999999999</v>
      </c>
      <c r="MR20" s="57">
        <v>5.2027999999999999</v>
      </c>
      <c r="MS20" s="57">
        <v>5.1867999999999999</v>
      </c>
      <c r="MT20" s="57">
        <v>5.1441999999999997</v>
      </c>
      <c r="MU20" s="39"/>
      <c r="MV20" s="39"/>
      <c r="MW20" s="57">
        <v>5.1868999999999996</v>
      </c>
      <c r="MX20" s="57">
        <v>5.2830000000000004</v>
      </c>
      <c r="MY20" s="57">
        <v>5.2729999999999997</v>
      </c>
      <c r="MZ20" s="57">
        <v>5.2173999999999996</v>
      </c>
      <c r="NA20" s="57">
        <v>5.2173999999999996</v>
      </c>
      <c r="NB20" s="39"/>
    </row>
    <row r="21" spans="1:367" x14ac:dyDescent="0.25">
      <c r="A21" s="1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24"/>
      <c r="X21" s="24"/>
      <c r="Y21" s="58"/>
      <c r="Z21" s="58"/>
      <c r="AA21" s="58"/>
      <c r="AB21" s="58"/>
      <c r="AC21" s="58"/>
      <c r="AD21" s="24"/>
      <c r="AE21" s="24"/>
      <c r="AF21" s="58"/>
      <c r="AG21" s="58"/>
      <c r="AH21" s="58"/>
      <c r="AI21" s="58"/>
      <c r="AJ21" s="58"/>
      <c r="AK21" s="24"/>
      <c r="AL21" s="24"/>
      <c r="AM21" s="58"/>
      <c r="AN21" s="58"/>
      <c r="AO21" s="58"/>
      <c r="AP21" s="58"/>
      <c r="AQ21" s="58"/>
      <c r="AR21" s="24"/>
      <c r="AS21" s="24"/>
      <c r="AT21" s="58"/>
      <c r="AU21" s="58"/>
      <c r="AV21" s="58"/>
      <c r="AW21" s="58"/>
      <c r="AX21" s="58"/>
      <c r="AY21" s="24"/>
      <c r="AZ21" s="24"/>
      <c r="BA21" s="58"/>
      <c r="BB21" s="58"/>
      <c r="BC21" s="58"/>
      <c r="BD21" s="58"/>
      <c r="BE21" s="58"/>
      <c r="BF21" s="24"/>
      <c r="BG21" s="24"/>
      <c r="BH21" s="58"/>
      <c r="BI21" s="58"/>
      <c r="BJ21" s="58"/>
      <c r="BK21" s="58"/>
      <c r="BL21" s="58"/>
      <c r="BM21" s="24"/>
      <c r="BN21" s="24"/>
      <c r="BO21" s="58"/>
      <c r="BP21" s="58"/>
      <c r="BQ21" s="58"/>
      <c r="BR21" s="58"/>
      <c r="BS21" s="58"/>
      <c r="BT21" s="24"/>
      <c r="BU21" s="24"/>
      <c r="BV21" s="58"/>
      <c r="BW21" s="58"/>
      <c r="BX21" s="58"/>
      <c r="BY21" s="58"/>
      <c r="BZ21" s="58"/>
      <c r="CA21" s="24"/>
      <c r="CB21" s="24"/>
      <c r="CC21" s="58"/>
      <c r="CD21" s="58"/>
      <c r="CE21" s="58"/>
      <c r="CF21" s="58"/>
      <c r="CG21" s="58"/>
      <c r="CH21" s="24"/>
      <c r="CI21" s="24"/>
      <c r="CJ21" s="58"/>
      <c r="CK21" s="58"/>
      <c r="CL21" s="58"/>
      <c r="CM21" s="58"/>
      <c r="CN21" s="58"/>
      <c r="CO21" s="24"/>
      <c r="CP21" s="24"/>
      <c r="CQ21" s="58"/>
      <c r="CR21" s="58"/>
      <c r="CS21" s="58"/>
      <c r="CT21" s="58"/>
      <c r="CU21" s="58"/>
      <c r="CV21" s="24"/>
      <c r="CW21" s="24"/>
      <c r="CX21" s="58"/>
      <c r="CY21" s="58"/>
      <c r="CZ21" s="58"/>
      <c r="DA21" s="58"/>
      <c r="DB21" s="58"/>
      <c r="DC21" s="24"/>
      <c r="DD21" s="24"/>
      <c r="DE21" s="58"/>
      <c r="DF21" s="58"/>
      <c r="DG21" s="58"/>
      <c r="DH21" s="58"/>
      <c r="DI21" s="58"/>
      <c r="DJ21" s="24"/>
      <c r="DK21" s="24"/>
      <c r="DL21" s="58"/>
      <c r="DM21" s="58"/>
      <c r="DN21" s="58"/>
      <c r="DO21" s="58"/>
      <c r="DP21" s="58"/>
      <c r="DQ21" s="24"/>
      <c r="DR21" s="24"/>
      <c r="DS21" s="58"/>
      <c r="DT21" s="58"/>
      <c r="DU21" s="58"/>
      <c r="DV21" s="58"/>
      <c r="DW21" s="58"/>
      <c r="DX21" s="24"/>
      <c r="DY21" s="24"/>
      <c r="DZ21" s="58"/>
      <c r="EA21" s="58"/>
      <c r="EB21" s="58"/>
      <c r="EC21" s="58"/>
      <c r="ED21" s="58"/>
      <c r="EE21" s="24"/>
      <c r="EF21" s="24"/>
      <c r="EG21" s="58"/>
      <c r="EH21" s="58"/>
      <c r="EI21" s="58"/>
      <c r="EJ21" s="58"/>
      <c r="EK21" s="58"/>
      <c r="EL21" s="24"/>
      <c r="EM21" s="24"/>
      <c r="EN21" s="58"/>
      <c r="EO21" s="58"/>
      <c r="EP21" s="58"/>
      <c r="EQ21" s="58"/>
      <c r="ER21" s="58"/>
      <c r="ES21" s="24"/>
      <c r="ET21" s="24"/>
      <c r="EU21" s="58"/>
      <c r="EV21" s="58"/>
      <c r="EW21" s="58"/>
      <c r="EX21" s="58"/>
      <c r="EY21" s="58"/>
      <c r="EZ21" s="24"/>
      <c r="FA21" s="24"/>
      <c r="FB21" s="58"/>
      <c r="FC21" s="58"/>
      <c r="FD21" s="58"/>
      <c r="FE21" s="58"/>
      <c r="FF21" s="58"/>
      <c r="FG21" s="24"/>
      <c r="FH21" s="24"/>
      <c r="FI21" s="58"/>
      <c r="FJ21" s="58"/>
      <c r="FK21" s="58"/>
      <c r="FL21" s="58"/>
      <c r="FM21" s="58"/>
      <c r="FN21" s="24"/>
      <c r="FO21" s="24"/>
      <c r="FP21" s="58"/>
      <c r="FQ21" s="58"/>
      <c r="FR21" s="58"/>
      <c r="FS21" s="58"/>
      <c r="FT21" s="58"/>
      <c r="FU21" s="24"/>
      <c r="FV21" s="24"/>
      <c r="FW21" s="58"/>
      <c r="FX21" s="58"/>
      <c r="FY21" s="58"/>
      <c r="FZ21" s="58"/>
      <c r="GA21" s="58"/>
      <c r="GB21" s="24"/>
      <c r="GC21" s="24"/>
      <c r="GD21" s="58"/>
      <c r="GE21" s="58"/>
      <c r="GF21" s="58"/>
      <c r="GG21" s="58"/>
      <c r="GH21" s="58"/>
      <c r="GI21" s="24"/>
      <c r="GJ21" s="24"/>
      <c r="GK21" s="58"/>
      <c r="GL21" s="58"/>
      <c r="GM21" s="58"/>
      <c r="GN21" s="58"/>
      <c r="GO21" s="58"/>
      <c r="GP21" s="24"/>
      <c r="GQ21" s="24"/>
      <c r="GR21" s="58"/>
      <c r="GS21" s="58"/>
      <c r="GT21" s="58"/>
      <c r="GU21" s="58"/>
      <c r="GV21" s="58"/>
      <c r="GW21" s="24"/>
      <c r="GX21" s="24"/>
      <c r="GY21" s="58"/>
      <c r="GZ21" s="58"/>
      <c r="HA21" s="58"/>
      <c r="HB21" s="58"/>
      <c r="HC21" s="58"/>
      <c r="HD21" s="24"/>
      <c r="HE21" s="24"/>
      <c r="HF21" s="58"/>
      <c r="HG21" s="58"/>
      <c r="HH21" s="58"/>
      <c r="HI21" s="58"/>
      <c r="HJ21" s="58"/>
      <c r="HK21" s="24"/>
      <c r="HL21" s="24"/>
      <c r="HM21" s="58"/>
      <c r="HN21" s="58"/>
      <c r="HO21" s="58"/>
      <c r="HP21" s="58"/>
      <c r="HQ21" s="58"/>
      <c r="HR21" s="24"/>
      <c r="HS21" s="24"/>
      <c r="HT21" s="58"/>
      <c r="HU21" s="58"/>
      <c r="HV21" s="58"/>
      <c r="HW21" s="58"/>
      <c r="HX21" s="58"/>
      <c r="HY21" s="24"/>
      <c r="HZ21" s="24"/>
      <c r="IA21" s="58"/>
      <c r="IB21" s="58"/>
      <c r="IC21" s="58"/>
      <c r="ID21" s="58"/>
      <c r="IE21" s="58"/>
      <c r="IF21" s="24"/>
      <c r="IG21" s="24"/>
      <c r="IH21" s="58"/>
      <c r="II21" s="58"/>
      <c r="IJ21" s="58"/>
      <c r="IK21" s="58"/>
      <c r="IL21" s="58"/>
      <c r="IM21" s="24"/>
      <c r="IN21" s="24"/>
      <c r="IO21" s="58"/>
      <c r="IP21" s="58"/>
      <c r="IQ21" s="58"/>
      <c r="IR21" s="58"/>
      <c r="IS21" s="58"/>
      <c r="IT21" s="24"/>
      <c r="IU21" s="24"/>
      <c r="IV21" s="58"/>
      <c r="IW21" s="58"/>
      <c r="IX21" s="58"/>
      <c r="IY21" s="58"/>
      <c r="IZ21" s="58"/>
      <c r="JA21" s="24"/>
      <c r="JB21" s="24"/>
      <c r="JC21" s="58"/>
      <c r="JD21" s="58"/>
      <c r="JE21" s="58"/>
      <c r="JF21" s="58"/>
      <c r="JG21" s="58"/>
      <c r="JH21" s="24"/>
      <c r="JI21" s="24"/>
      <c r="JJ21" s="58"/>
      <c r="JK21" s="58"/>
      <c r="JL21" s="58"/>
      <c r="JM21" s="58"/>
      <c r="JN21" s="58"/>
      <c r="JO21" s="24"/>
      <c r="JP21" s="24"/>
      <c r="JQ21" s="58"/>
      <c r="JR21" s="58"/>
      <c r="JS21" s="58"/>
      <c r="JT21" s="58"/>
      <c r="JU21" s="58"/>
      <c r="JV21" s="24"/>
      <c r="JW21" s="24"/>
      <c r="JX21" s="58"/>
      <c r="JY21" s="58"/>
      <c r="JZ21" s="58"/>
      <c r="KA21" s="58"/>
      <c r="KB21" s="58"/>
      <c r="KC21" s="24"/>
      <c r="KD21" s="24"/>
      <c r="KE21" s="58"/>
      <c r="KF21" s="58"/>
      <c r="KG21" s="58"/>
      <c r="KH21" s="58"/>
      <c r="KI21" s="58"/>
      <c r="KJ21" s="24"/>
      <c r="KK21" s="24"/>
      <c r="KL21" s="58"/>
      <c r="KM21" s="58"/>
      <c r="KN21" s="58"/>
      <c r="KO21" s="58"/>
      <c r="KP21" s="58"/>
      <c r="KQ21" s="24"/>
      <c r="KR21" s="24"/>
      <c r="KS21" s="58"/>
      <c r="KT21" s="58"/>
      <c r="KU21" s="58"/>
      <c r="KV21" s="58"/>
      <c r="KW21" s="58"/>
      <c r="KX21" s="24"/>
      <c r="KY21" s="24"/>
      <c r="KZ21" s="58"/>
      <c r="LA21" s="58"/>
      <c r="LB21" s="58"/>
      <c r="LC21" s="58"/>
      <c r="LD21" s="58"/>
      <c r="LE21" s="24"/>
      <c r="LF21" s="24"/>
      <c r="LG21" s="58"/>
      <c r="LH21" s="58"/>
      <c r="LI21" s="58"/>
      <c r="LJ21" s="58"/>
      <c r="LK21" s="58"/>
      <c r="LL21" s="24"/>
      <c r="LM21" s="24"/>
      <c r="LN21" s="58"/>
      <c r="LO21" s="58"/>
      <c r="LP21" s="58"/>
      <c r="LQ21" s="58"/>
      <c r="LR21" s="58"/>
      <c r="LS21" s="24"/>
      <c r="LT21" s="24"/>
      <c r="LU21" s="58"/>
      <c r="LV21" s="58"/>
      <c r="LW21" s="58"/>
      <c r="LX21" s="58"/>
      <c r="LY21" s="58"/>
      <c r="LZ21" s="24"/>
      <c r="MA21" s="24"/>
      <c r="MB21" s="58"/>
      <c r="MC21" s="58"/>
      <c r="MD21" s="58"/>
      <c r="ME21" s="58"/>
      <c r="MF21" s="58"/>
      <c r="MG21" s="24"/>
      <c r="MH21" s="24"/>
      <c r="MI21" s="58"/>
      <c r="MJ21" s="58"/>
      <c r="MK21" s="58"/>
      <c r="ML21" s="58"/>
      <c r="MM21" s="58"/>
      <c r="MN21" s="24"/>
      <c r="MO21" s="24"/>
      <c r="MP21" s="58"/>
      <c r="MQ21" s="58"/>
      <c r="MR21" s="58"/>
      <c r="MS21" s="58"/>
      <c r="MT21" s="58"/>
      <c r="MU21" s="24"/>
      <c r="MV21" s="24"/>
      <c r="MW21" s="58"/>
      <c r="MX21" s="58"/>
      <c r="MY21" s="58"/>
      <c r="MZ21" s="58"/>
      <c r="NA21" s="58"/>
      <c r="NB21" s="24"/>
    </row>
    <row r="22" spans="1:367" x14ac:dyDescent="0.25">
      <c r="A22" s="69" t="s">
        <v>86</v>
      </c>
      <c r="B22" s="78"/>
      <c r="C22" s="78"/>
      <c r="D22" s="78">
        <v>180</v>
      </c>
      <c r="E22" s="78">
        <v>182.5</v>
      </c>
      <c r="F22" s="78">
        <v>185</v>
      </c>
      <c r="G22" s="78">
        <v>183</v>
      </c>
      <c r="H22" s="78">
        <v>184</v>
      </c>
      <c r="I22" s="78"/>
      <c r="J22" s="78"/>
      <c r="K22" s="78">
        <v>184</v>
      </c>
      <c r="L22" s="78">
        <v>184</v>
      </c>
      <c r="M22" s="78">
        <v>183</v>
      </c>
      <c r="N22" s="78">
        <v>182</v>
      </c>
      <c r="O22" s="78">
        <v>182</v>
      </c>
      <c r="P22" s="78"/>
      <c r="Q22" s="78"/>
      <c r="R22" s="78">
        <v>182</v>
      </c>
      <c r="S22" s="78">
        <v>185</v>
      </c>
      <c r="T22" s="78">
        <v>186</v>
      </c>
      <c r="U22" s="78">
        <v>186.5</v>
      </c>
      <c r="V22" s="78">
        <v>185.5</v>
      </c>
      <c r="W22" s="22"/>
      <c r="X22" s="22"/>
      <c r="Y22" s="78">
        <v>187.5</v>
      </c>
      <c r="Z22" s="78">
        <v>187.5</v>
      </c>
      <c r="AA22" s="78">
        <v>187.5</v>
      </c>
      <c r="AB22" s="78">
        <v>189</v>
      </c>
      <c r="AC22" s="78">
        <v>191</v>
      </c>
      <c r="AD22" s="22"/>
      <c r="AE22" s="22"/>
      <c r="AF22" s="78">
        <v>195</v>
      </c>
      <c r="AG22" s="78">
        <v>198</v>
      </c>
      <c r="AH22" s="78">
        <v>199</v>
      </c>
      <c r="AI22" s="78">
        <v>200</v>
      </c>
      <c r="AJ22" s="78">
        <v>202</v>
      </c>
      <c r="AK22" s="22"/>
      <c r="AL22" s="22"/>
      <c r="AM22" s="78">
        <v>204</v>
      </c>
      <c r="AN22" s="78">
        <v>204</v>
      </c>
      <c r="AO22" s="78">
        <v>204</v>
      </c>
      <c r="AP22" s="78">
        <v>206</v>
      </c>
      <c r="AQ22" s="78">
        <v>207</v>
      </c>
      <c r="AR22" s="22"/>
      <c r="AS22" s="22"/>
      <c r="AT22" s="78">
        <v>206</v>
      </c>
      <c r="AU22" s="78">
        <v>204</v>
      </c>
      <c r="AV22" s="78">
        <v>204</v>
      </c>
      <c r="AW22" s="78">
        <v>205</v>
      </c>
      <c r="AX22" s="78">
        <v>207</v>
      </c>
      <c r="AY22" s="22"/>
      <c r="AZ22" s="22"/>
      <c r="BA22" s="78">
        <v>207</v>
      </c>
      <c r="BB22" s="78">
        <v>205</v>
      </c>
      <c r="BC22" s="78">
        <v>208</v>
      </c>
      <c r="BD22" s="78">
        <v>208</v>
      </c>
      <c r="BE22" s="78">
        <v>205</v>
      </c>
      <c r="BF22" s="22"/>
      <c r="BG22" s="22"/>
      <c r="BH22" s="78">
        <v>205</v>
      </c>
      <c r="BI22" s="78">
        <v>205</v>
      </c>
      <c r="BJ22" s="78">
        <v>208</v>
      </c>
      <c r="BK22" s="78">
        <v>209</v>
      </c>
      <c r="BL22" s="78">
        <v>211</v>
      </c>
      <c r="BM22" s="22"/>
      <c r="BN22" s="22"/>
      <c r="BO22" s="78">
        <v>212</v>
      </c>
      <c r="BP22" s="78">
        <v>215</v>
      </c>
      <c r="BQ22" s="78">
        <v>213</v>
      </c>
      <c r="BR22" s="78">
        <v>213</v>
      </c>
      <c r="BS22" s="78">
        <v>212</v>
      </c>
      <c r="BT22" s="22"/>
      <c r="BU22" s="22"/>
      <c r="BV22" s="78">
        <v>213</v>
      </c>
      <c r="BW22" s="78">
        <v>213</v>
      </c>
      <c r="BX22" s="78">
        <v>212</v>
      </c>
      <c r="BY22" s="78">
        <v>210</v>
      </c>
      <c r="BZ22" s="78">
        <v>209</v>
      </c>
      <c r="CA22" s="22"/>
      <c r="CB22" s="22"/>
      <c r="CC22" s="78">
        <v>207</v>
      </c>
      <c r="CD22" s="78">
        <v>205</v>
      </c>
      <c r="CE22" s="78">
        <v>203</v>
      </c>
      <c r="CF22" s="78">
        <v>201.5</v>
      </c>
      <c r="CG22" s="78">
        <v>198</v>
      </c>
      <c r="CH22" s="22"/>
      <c r="CI22" s="22"/>
      <c r="CJ22" s="78">
        <v>197</v>
      </c>
      <c r="CK22" s="78">
        <v>189</v>
      </c>
      <c r="CL22" s="78">
        <v>192</v>
      </c>
      <c r="CM22" s="78">
        <v>187</v>
      </c>
      <c r="CN22" s="78">
        <v>183</v>
      </c>
      <c r="CO22" s="22"/>
      <c r="CP22" s="22"/>
      <c r="CQ22" s="78">
        <v>182</v>
      </c>
      <c r="CR22" s="78">
        <v>182</v>
      </c>
      <c r="CS22" s="78">
        <v>182</v>
      </c>
      <c r="CT22" s="78">
        <v>184</v>
      </c>
      <c r="CU22" s="78">
        <v>185</v>
      </c>
      <c r="CV22" s="22"/>
      <c r="CW22" s="22"/>
      <c r="CX22" s="78">
        <v>184</v>
      </c>
      <c r="CY22" s="78">
        <v>186</v>
      </c>
      <c r="CZ22" s="78">
        <v>185</v>
      </c>
      <c r="DA22" s="78">
        <v>187.5</v>
      </c>
      <c r="DB22" s="78">
        <v>187.5</v>
      </c>
      <c r="DC22" s="22"/>
      <c r="DD22" s="22"/>
      <c r="DE22" s="78">
        <v>188</v>
      </c>
      <c r="DF22" s="78">
        <v>190</v>
      </c>
      <c r="DG22" s="78">
        <v>190.5</v>
      </c>
      <c r="DH22" s="78">
        <v>190.5</v>
      </c>
      <c r="DI22" s="78">
        <v>193</v>
      </c>
      <c r="DJ22" s="22"/>
      <c r="DK22" s="22"/>
      <c r="DL22" s="78">
        <v>197</v>
      </c>
      <c r="DM22" s="78">
        <v>198</v>
      </c>
      <c r="DN22" s="78">
        <v>200</v>
      </c>
      <c r="DO22" s="78">
        <v>200</v>
      </c>
      <c r="DP22" s="78">
        <v>199</v>
      </c>
      <c r="DQ22" s="22"/>
      <c r="DR22" s="22"/>
      <c r="DS22" s="78">
        <v>199</v>
      </c>
      <c r="DT22" s="78">
        <v>196</v>
      </c>
      <c r="DU22" s="78">
        <v>196</v>
      </c>
      <c r="DV22" s="78">
        <v>195</v>
      </c>
      <c r="DW22" s="78">
        <v>196</v>
      </c>
      <c r="DX22" s="22"/>
      <c r="DY22" s="22"/>
      <c r="DZ22" s="78">
        <v>195</v>
      </c>
      <c r="EA22" s="78">
        <v>196</v>
      </c>
      <c r="EB22" s="78">
        <v>196</v>
      </c>
      <c r="EC22" s="78">
        <v>195</v>
      </c>
      <c r="ED22" s="78">
        <v>198</v>
      </c>
      <c r="EE22" s="22"/>
      <c r="EF22" s="22"/>
      <c r="EG22" s="78">
        <v>195</v>
      </c>
      <c r="EH22" s="78">
        <v>196</v>
      </c>
      <c r="EI22" s="78">
        <v>198</v>
      </c>
      <c r="EJ22" s="78">
        <v>195</v>
      </c>
      <c r="EK22" s="78">
        <v>194.5</v>
      </c>
      <c r="EL22" s="22"/>
      <c r="EM22" s="22"/>
      <c r="EN22" s="78">
        <v>192.5</v>
      </c>
      <c r="EO22" s="78">
        <v>190.5</v>
      </c>
      <c r="EP22" s="78">
        <v>189.5</v>
      </c>
      <c r="EQ22" s="78">
        <v>191.5</v>
      </c>
      <c r="ER22" s="78">
        <v>196</v>
      </c>
      <c r="ES22" s="22"/>
      <c r="ET22" s="22"/>
      <c r="EU22" s="78">
        <v>192.5</v>
      </c>
      <c r="EV22" s="78">
        <v>189.5</v>
      </c>
      <c r="EW22" s="78">
        <v>186</v>
      </c>
      <c r="EX22" s="118">
        <v>191</v>
      </c>
      <c r="EY22" s="78">
        <v>190</v>
      </c>
      <c r="EZ22" s="22"/>
      <c r="FA22" s="22"/>
      <c r="FB22" s="78">
        <v>189</v>
      </c>
      <c r="FC22" s="78">
        <v>195</v>
      </c>
      <c r="FD22" s="78">
        <v>196</v>
      </c>
      <c r="FE22" s="78">
        <v>199</v>
      </c>
      <c r="FF22" s="78">
        <v>199</v>
      </c>
      <c r="FG22" s="22"/>
      <c r="FH22" s="22"/>
      <c r="FI22" s="78">
        <v>197</v>
      </c>
      <c r="FJ22" s="78">
        <v>197</v>
      </c>
      <c r="FK22" s="78">
        <v>197</v>
      </c>
      <c r="FL22" s="78">
        <v>197</v>
      </c>
      <c r="FM22" s="78">
        <v>197</v>
      </c>
      <c r="FN22" s="22"/>
      <c r="FO22" s="22"/>
      <c r="FP22" s="78">
        <v>197</v>
      </c>
      <c r="FQ22" s="78">
        <v>195</v>
      </c>
      <c r="FR22" s="78">
        <v>193</v>
      </c>
      <c r="FS22" s="78">
        <v>188</v>
      </c>
      <c r="FT22" s="78">
        <v>188</v>
      </c>
      <c r="FU22" s="22"/>
      <c r="FV22" s="22"/>
      <c r="FW22" s="78">
        <v>187</v>
      </c>
      <c r="FX22" s="78">
        <v>188</v>
      </c>
      <c r="FY22" s="78">
        <v>193</v>
      </c>
      <c r="FZ22" s="78">
        <v>193</v>
      </c>
      <c r="GA22" s="78">
        <v>188.5</v>
      </c>
      <c r="GB22" s="22"/>
      <c r="GC22" s="22"/>
      <c r="GD22" s="78">
        <v>188.5</v>
      </c>
      <c r="GE22" s="78">
        <v>185</v>
      </c>
      <c r="GF22" s="78">
        <v>188</v>
      </c>
      <c r="GG22" s="78">
        <v>191</v>
      </c>
      <c r="GH22" s="78">
        <v>192.5</v>
      </c>
      <c r="GI22" s="22"/>
      <c r="GJ22" s="22"/>
      <c r="GK22" s="78">
        <v>196.5</v>
      </c>
      <c r="GL22" s="78">
        <v>189</v>
      </c>
      <c r="GM22" s="78">
        <v>189</v>
      </c>
      <c r="GN22" s="78">
        <v>189</v>
      </c>
      <c r="GO22" s="78">
        <v>187.5</v>
      </c>
      <c r="GP22" s="22"/>
      <c r="GQ22" s="22"/>
      <c r="GR22" s="78">
        <v>190</v>
      </c>
      <c r="GS22" s="78">
        <v>188.5</v>
      </c>
      <c r="GT22" s="78">
        <v>186</v>
      </c>
      <c r="GU22" s="78">
        <v>185</v>
      </c>
      <c r="GV22" s="78">
        <v>185</v>
      </c>
      <c r="GW22" s="22"/>
      <c r="GX22" s="22"/>
      <c r="GY22" s="78">
        <v>185.5</v>
      </c>
      <c r="GZ22" s="78">
        <v>191</v>
      </c>
      <c r="HA22" s="78">
        <v>186</v>
      </c>
      <c r="HB22" s="78">
        <v>186</v>
      </c>
      <c r="HC22" s="78">
        <v>191</v>
      </c>
      <c r="HD22" s="22"/>
      <c r="HE22" s="22"/>
      <c r="HF22" s="78">
        <v>196</v>
      </c>
      <c r="HG22" s="78">
        <v>183</v>
      </c>
      <c r="HH22" s="78">
        <v>182</v>
      </c>
      <c r="HI22" s="78">
        <v>186</v>
      </c>
      <c r="HJ22" s="78">
        <v>186</v>
      </c>
      <c r="HK22" s="22"/>
      <c r="HL22" s="22"/>
      <c r="HM22" s="78">
        <v>184.5</v>
      </c>
      <c r="HN22" s="78">
        <v>186.5</v>
      </c>
      <c r="HO22" s="78">
        <v>183.5</v>
      </c>
      <c r="HP22" s="78">
        <v>193</v>
      </c>
      <c r="HQ22" s="78">
        <v>184.5</v>
      </c>
      <c r="HR22" s="22"/>
      <c r="HS22" s="22"/>
      <c r="HT22" s="78">
        <v>182.5</v>
      </c>
      <c r="HU22" s="78">
        <v>182.5</v>
      </c>
      <c r="HV22" s="78">
        <v>189</v>
      </c>
      <c r="HW22" s="78">
        <v>183.5</v>
      </c>
      <c r="HX22" s="78">
        <v>183.5</v>
      </c>
      <c r="HY22" s="22"/>
      <c r="HZ22" s="22"/>
      <c r="IA22" s="78">
        <v>183.5</v>
      </c>
      <c r="IB22" s="78">
        <v>185</v>
      </c>
      <c r="IC22" s="78">
        <v>186</v>
      </c>
      <c r="ID22" s="78">
        <v>185</v>
      </c>
      <c r="IE22" s="78">
        <v>185</v>
      </c>
      <c r="IF22" s="22"/>
      <c r="IG22" s="22"/>
      <c r="IH22" s="78">
        <v>184</v>
      </c>
      <c r="II22" s="78">
        <v>184</v>
      </c>
      <c r="IJ22" s="78">
        <v>185</v>
      </c>
      <c r="IK22" s="78">
        <v>183</v>
      </c>
      <c r="IL22" s="78">
        <v>185</v>
      </c>
      <c r="IM22" s="22"/>
      <c r="IN22" s="22"/>
      <c r="IO22" s="78">
        <v>184</v>
      </c>
      <c r="IP22" s="78">
        <v>185</v>
      </c>
      <c r="IQ22" s="78">
        <v>185</v>
      </c>
      <c r="IR22" s="78">
        <v>181.5</v>
      </c>
      <c r="IS22" s="78">
        <v>181</v>
      </c>
      <c r="IT22" s="22"/>
      <c r="IU22" s="22"/>
      <c r="IV22" s="78">
        <v>184</v>
      </c>
      <c r="IW22" s="78">
        <v>183</v>
      </c>
      <c r="IX22" s="78">
        <v>184</v>
      </c>
      <c r="IY22" s="78">
        <v>183</v>
      </c>
      <c r="IZ22" s="78">
        <v>183</v>
      </c>
      <c r="JA22" s="22"/>
      <c r="JB22" s="22"/>
      <c r="JC22" s="78">
        <v>181</v>
      </c>
      <c r="JD22" s="78">
        <v>184</v>
      </c>
      <c r="JE22" s="78">
        <v>182</v>
      </c>
      <c r="JF22" s="78">
        <v>181</v>
      </c>
      <c r="JG22" s="78">
        <v>179</v>
      </c>
      <c r="JH22" s="22"/>
      <c r="JI22" s="22"/>
      <c r="JJ22" s="78">
        <v>181</v>
      </c>
      <c r="JK22" s="78">
        <v>181</v>
      </c>
      <c r="JL22" s="78">
        <v>181</v>
      </c>
      <c r="JM22" s="78">
        <v>183</v>
      </c>
      <c r="JN22" s="78">
        <v>180</v>
      </c>
      <c r="JO22" s="22"/>
      <c r="JP22" s="22"/>
      <c r="JQ22" s="78">
        <v>172</v>
      </c>
      <c r="JR22" s="78">
        <v>173</v>
      </c>
      <c r="JS22" s="78">
        <v>176</v>
      </c>
      <c r="JT22" s="78">
        <v>174</v>
      </c>
      <c r="JU22" s="78">
        <v>175</v>
      </c>
      <c r="JV22" s="22"/>
      <c r="JW22" s="22"/>
      <c r="JX22" s="78">
        <v>179</v>
      </c>
      <c r="JY22" s="78">
        <v>181</v>
      </c>
      <c r="JZ22" s="78">
        <v>181</v>
      </c>
      <c r="KA22" s="78">
        <v>182</v>
      </c>
      <c r="KB22" s="78">
        <v>183</v>
      </c>
      <c r="KC22" s="22"/>
      <c r="KD22" s="22"/>
      <c r="KE22" s="78">
        <v>183</v>
      </c>
      <c r="KF22" s="78">
        <v>182</v>
      </c>
      <c r="KG22" s="78">
        <v>183</v>
      </c>
      <c r="KH22" s="78">
        <v>182</v>
      </c>
      <c r="KI22" s="78">
        <v>182</v>
      </c>
      <c r="KJ22" s="22"/>
      <c r="KK22" s="22"/>
      <c r="KL22" s="78">
        <v>185</v>
      </c>
      <c r="KM22" s="78">
        <v>185</v>
      </c>
      <c r="KN22" s="78">
        <v>185</v>
      </c>
      <c r="KO22" s="78">
        <v>184</v>
      </c>
      <c r="KP22" s="78">
        <v>184</v>
      </c>
      <c r="KQ22" s="22"/>
      <c r="KR22" s="22"/>
      <c r="KS22" s="78">
        <v>183</v>
      </c>
      <c r="KT22" s="78">
        <v>184</v>
      </c>
      <c r="KU22" s="78">
        <v>184</v>
      </c>
      <c r="KV22" s="78">
        <v>183</v>
      </c>
      <c r="KW22" s="78">
        <v>182</v>
      </c>
      <c r="KX22" s="22"/>
      <c r="KY22" s="22"/>
      <c r="KZ22" s="78">
        <v>182</v>
      </c>
      <c r="LA22" s="78">
        <v>183</v>
      </c>
      <c r="LB22" s="78">
        <v>184</v>
      </c>
      <c r="LC22" s="78">
        <v>184</v>
      </c>
      <c r="LD22" s="78">
        <v>185</v>
      </c>
      <c r="LE22" s="22"/>
      <c r="LF22" s="22"/>
      <c r="LG22" s="78">
        <v>183</v>
      </c>
      <c r="LH22" s="78">
        <v>183</v>
      </c>
      <c r="LI22" s="78">
        <v>183</v>
      </c>
      <c r="LJ22" s="78">
        <v>184</v>
      </c>
      <c r="LK22" s="78">
        <v>183</v>
      </c>
      <c r="LL22" s="22"/>
      <c r="LM22" s="22"/>
      <c r="LN22" s="78">
        <v>182</v>
      </c>
      <c r="LO22" s="78">
        <v>181</v>
      </c>
      <c r="LP22" s="78">
        <v>182</v>
      </c>
      <c r="LQ22" s="78">
        <v>180</v>
      </c>
      <c r="LR22" s="78">
        <v>180</v>
      </c>
      <c r="LS22" s="22"/>
      <c r="LT22" s="22"/>
      <c r="LU22" s="78">
        <v>183</v>
      </c>
      <c r="LV22" s="78">
        <v>181</v>
      </c>
      <c r="LW22" s="78">
        <v>181</v>
      </c>
      <c r="LX22" s="78">
        <v>177</v>
      </c>
      <c r="LY22" s="78">
        <v>179</v>
      </c>
      <c r="LZ22" s="22"/>
      <c r="MA22" s="22"/>
      <c r="MB22" s="78">
        <v>179</v>
      </c>
      <c r="MC22" s="78">
        <v>180</v>
      </c>
      <c r="MD22" s="78">
        <v>180</v>
      </c>
      <c r="ME22" s="78">
        <v>182</v>
      </c>
      <c r="MF22" s="78">
        <v>184</v>
      </c>
      <c r="MG22" s="22"/>
      <c r="MH22" s="22"/>
      <c r="MI22" s="78">
        <v>182</v>
      </c>
      <c r="MJ22" s="78">
        <v>184</v>
      </c>
      <c r="MK22" s="78">
        <v>184</v>
      </c>
      <c r="ML22" s="78">
        <v>184</v>
      </c>
      <c r="MM22" s="78">
        <v>183</v>
      </c>
      <c r="MN22" s="22"/>
      <c r="MO22" s="22"/>
      <c r="MP22" s="78">
        <v>182</v>
      </c>
      <c r="MQ22" s="78">
        <v>182</v>
      </c>
      <c r="MR22" s="78">
        <v>182</v>
      </c>
      <c r="MS22" s="78">
        <v>181</v>
      </c>
      <c r="MT22" s="78">
        <v>180</v>
      </c>
      <c r="MU22" s="22"/>
      <c r="MV22" s="22"/>
      <c r="MW22" s="78">
        <v>181</v>
      </c>
      <c r="MX22" s="78">
        <v>183</v>
      </c>
      <c r="MY22" s="78">
        <v>183</v>
      </c>
      <c r="MZ22" s="78">
        <v>183</v>
      </c>
      <c r="NA22" s="78">
        <v>183</v>
      </c>
      <c r="NB22" s="22"/>
    </row>
    <row r="23" spans="1:367" x14ac:dyDescent="0.25">
      <c r="A23" s="45" t="s">
        <v>87</v>
      </c>
      <c r="B23" s="59"/>
      <c r="C23" s="59"/>
      <c r="D23" s="59">
        <v>164</v>
      </c>
      <c r="E23" s="59">
        <v>168.5</v>
      </c>
      <c r="F23" s="59">
        <v>168.5</v>
      </c>
      <c r="G23" s="59">
        <v>170.5</v>
      </c>
      <c r="H23" s="59">
        <v>170.5</v>
      </c>
      <c r="I23" s="59"/>
      <c r="J23" s="59"/>
      <c r="K23" s="59">
        <v>170</v>
      </c>
      <c r="L23" s="59">
        <v>169</v>
      </c>
      <c r="M23" s="59">
        <v>169</v>
      </c>
      <c r="N23" s="59">
        <v>168.5</v>
      </c>
      <c r="O23" s="59">
        <v>168</v>
      </c>
      <c r="P23" s="59"/>
      <c r="Q23" s="59"/>
      <c r="R23" s="59">
        <v>168</v>
      </c>
      <c r="S23" s="59">
        <v>167</v>
      </c>
      <c r="T23" s="59">
        <v>164</v>
      </c>
      <c r="U23" s="59">
        <v>166</v>
      </c>
      <c r="V23" s="59">
        <v>168</v>
      </c>
      <c r="W23" s="41"/>
      <c r="X23" s="41"/>
      <c r="Y23" s="59">
        <v>165</v>
      </c>
      <c r="Z23" s="59">
        <v>166</v>
      </c>
      <c r="AA23" s="59">
        <v>167.5</v>
      </c>
      <c r="AB23" s="59">
        <v>168.5</v>
      </c>
      <c r="AC23" s="59">
        <v>168.5</v>
      </c>
      <c r="AD23" s="41"/>
      <c r="AE23" s="41"/>
      <c r="AF23" s="59">
        <v>170</v>
      </c>
      <c r="AG23" s="59">
        <v>172</v>
      </c>
      <c r="AH23" s="59">
        <v>175.5</v>
      </c>
      <c r="AI23" s="59">
        <v>175.5</v>
      </c>
      <c r="AJ23" s="59">
        <v>180</v>
      </c>
      <c r="AK23" s="41"/>
      <c r="AL23" s="41"/>
      <c r="AM23" s="59">
        <v>182</v>
      </c>
      <c r="AN23" s="59">
        <v>181</v>
      </c>
      <c r="AO23" s="59">
        <v>180</v>
      </c>
      <c r="AP23" s="59">
        <v>182</v>
      </c>
      <c r="AQ23" s="59">
        <v>179.5</v>
      </c>
      <c r="AR23" s="41"/>
      <c r="AS23" s="41"/>
      <c r="AT23" s="59">
        <v>174.5</v>
      </c>
      <c r="AU23" s="59">
        <v>174.5</v>
      </c>
      <c r="AV23" s="59">
        <v>175</v>
      </c>
      <c r="AW23" s="59">
        <v>175</v>
      </c>
      <c r="AX23" s="59">
        <v>175</v>
      </c>
      <c r="AY23" s="41"/>
      <c r="AZ23" s="41"/>
      <c r="BA23" s="59">
        <v>175</v>
      </c>
      <c r="BB23" s="59">
        <v>176</v>
      </c>
      <c r="BC23" s="59">
        <v>176</v>
      </c>
      <c r="BD23" s="59">
        <v>182.5</v>
      </c>
      <c r="BE23" s="59">
        <v>176</v>
      </c>
      <c r="BF23" s="41"/>
      <c r="BG23" s="41"/>
      <c r="BH23" s="59">
        <v>176</v>
      </c>
      <c r="BI23" s="59">
        <v>176</v>
      </c>
      <c r="BJ23" s="59">
        <v>183.5</v>
      </c>
      <c r="BK23" s="59">
        <v>183.5</v>
      </c>
      <c r="BL23" s="59">
        <v>183</v>
      </c>
      <c r="BM23" s="41"/>
      <c r="BN23" s="41"/>
      <c r="BO23" s="59">
        <v>183</v>
      </c>
      <c r="BP23" s="59">
        <v>190</v>
      </c>
      <c r="BQ23" s="59">
        <v>189</v>
      </c>
      <c r="BR23" s="59">
        <v>186</v>
      </c>
      <c r="BS23" s="59">
        <v>187</v>
      </c>
      <c r="BT23" s="41"/>
      <c r="BU23" s="41"/>
      <c r="BV23" s="59">
        <v>191.5</v>
      </c>
      <c r="BW23" s="59">
        <v>185</v>
      </c>
      <c r="BX23" s="59">
        <v>185</v>
      </c>
      <c r="BY23" s="59">
        <v>183</v>
      </c>
      <c r="BZ23" s="59">
        <v>182</v>
      </c>
      <c r="CA23" s="41"/>
      <c r="CB23" s="41"/>
      <c r="CC23" s="59">
        <v>180</v>
      </c>
      <c r="CD23" s="59">
        <v>180</v>
      </c>
      <c r="CE23" s="59">
        <v>182</v>
      </c>
      <c r="CF23" s="59">
        <v>178.5</v>
      </c>
      <c r="CG23" s="59">
        <v>175</v>
      </c>
      <c r="CH23" s="41"/>
      <c r="CI23" s="41"/>
      <c r="CJ23" s="59">
        <v>171</v>
      </c>
      <c r="CK23" s="59">
        <v>170</v>
      </c>
      <c r="CL23" s="59">
        <v>173</v>
      </c>
      <c r="CM23" s="59">
        <v>162</v>
      </c>
      <c r="CN23" s="59">
        <v>160</v>
      </c>
      <c r="CO23" s="41"/>
      <c r="CP23" s="41"/>
      <c r="CQ23" s="59">
        <v>161</v>
      </c>
      <c r="CR23" s="59">
        <v>164</v>
      </c>
      <c r="CS23" s="59">
        <v>164</v>
      </c>
      <c r="CT23" s="59">
        <v>166</v>
      </c>
      <c r="CU23" s="59">
        <v>170.5</v>
      </c>
      <c r="CV23" s="41"/>
      <c r="CW23" s="41"/>
      <c r="CX23" s="59">
        <v>165</v>
      </c>
      <c r="CY23" s="59">
        <v>169</v>
      </c>
      <c r="CZ23" s="59">
        <v>170</v>
      </c>
      <c r="DA23" s="59">
        <v>171</v>
      </c>
      <c r="DB23" s="59">
        <v>171</v>
      </c>
      <c r="DC23" s="41"/>
      <c r="DD23" s="41"/>
      <c r="DE23" s="59">
        <v>171</v>
      </c>
      <c r="DF23" s="59">
        <v>171</v>
      </c>
      <c r="DG23" s="59">
        <v>171</v>
      </c>
      <c r="DH23" s="59">
        <v>171</v>
      </c>
      <c r="DI23" s="59">
        <v>172</v>
      </c>
      <c r="DJ23" s="41"/>
      <c r="DK23" s="41"/>
      <c r="DL23" s="59">
        <v>172.5</v>
      </c>
      <c r="DM23" s="59">
        <v>175</v>
      </c>
      <c r="DN23" s="59">
        <v>178</v>
      </c>
      <c r="DO23" s="59">
        <v>179</v>
      </c>
      <c r="DP23" s="59">
        <v>178.5</v>
      </c>
      <c r="DQ23" s="41"/>
      <c r="DR23" s="41"/>
      <c r="DS23" s="59">
        <v>175</v>
      </c>
      <c r="DT23" s="59">
        <v>174</v>
      </c>
      <c r="DU23" s="59">
        <v>173.5</v>
      </c>
      <c r="DV23" s="59">
        <v>174.5</v>
      </c>
      <c r="DW23" s="59">
        <v>174.5</v>
      </c>
      <c r="DX23" s="41"/>
      <c r="DY23" s="41"/>
      <c r="DZ23" s="59">
        <v>172.5</v>
      </c>
      <c r="EA23" s="59">
        <v>171.5</v>
      </c>
      <c r="EB23" s="59">
        <v>173</v>
      </c>
      <c r="EC23" s="59">
        <v>175</v>
      </c>
      <c r="ED23" s="59">
        <v>177</v>
      </c>
      <c r="EE23" s="41"/>
      <c r="EF23" s="41"/>
      <c r="EG23" s="59">
        <v>177.5</v>
      </c>
      <c r="EH23" s="59">
        <v>174</v>
      </c>
      <c r="EI23" s="59">
        <v>173.5</v>
      </c>
      <c r="EJ23" s="59">
        <v>175</v>
      </c>
      <c r="EK23" s="59">
        <v>173.5</v>
      </c>
      <c r="EL23" s="41"/>
      <c r="EM23" s="41"/>
      <c r="EN23" s="59">
        <v>172</v>
      </c>
      <c r="EO23" s="59">
        <v>170</v>
      </c>
      <c r="EP23" s="59">
        <v>168</v>
      </c>
      <c r="EQ23" s="59">
        <v>170</v>
      </c>
      <c r="ER23" s="59">
        <v>171.5</v>
      </c>
      <c r="ES23" s="41"/>
      <c r="ET23" s="41"/>
      <c r="EU23" s="59">
        <v>171.5</v>
      </c>
      <c r="EV23" s="59">
        <v>171</v>
      </c>
      <c r="EW23" s="59">
        <v>169.5</v>
      </c>
      <c r="EX23" s="82">
        <v>171</v>
      </c>
      <c r="EY23" s="59">
        <v>170.5</v>
      </c>
      <c r="EZ23" s="41"/>
      <c r="FA23" s="41"/>
      <c r="FB23" s="59">
        <v>170</v>
      </c>
      <c r="FC23" s="59">
        <v>175</v>
      </c>
      <c r="FD23" s="59">
        <v>173.5</v>
      </c>
      <c r="FE23" s="59">
        <v>176</v>
      </c>
      <c r="FF23" s="59">
        <v>177.5</v>
      </c>
      <c r="FG23" s="41"/>
      <c r="FH23" s="41"/>
      <c r="FI23" s="59">
        <v>174</v>
      </c>
      <c r="FJ23" s="59">
        <v>174.5</v>
      </c>
      <c r="FK23" s="59">
        <v>173</v>
      </c>
      <c r="FL23" s="59">
        <v>173</v>
      </c>
      <c r="FM23" s="59">
        <v>175.5</v>
      </c>
      <c r="FN23" s="41"/>
      <c r="FO23" s="41"/>
      <c r="FP23" s="59">
        <v>175.5</v>
      </c>
      <c r="FQ23" s="59">
        <v>173</v>
      </c>
      <c r="FR23" s="59">
        <v>170</v>
      </c>
      <c r="FS23" s="59">
        <v>167</v>
      </c>
      <c r="FT23" s="59">
        <v>167</v>
      </c>
      <c r="FU23" s="41"/>
      <c r="FV23" s="41"/>
      <c r="FW23" s="59">
        <v>168.5</v>
      </c>
      <c r="FX23" s="59">
        <v>172</v>
      </c>
      <c r="FY23" s="59">
        <v>172.5</v>
      </c>
      <c r="FZ23" s="59">
        <v>174</v>
      </c>
      <c r="GA23" s="59">
        <v>170</v>
      </c>
      <c r="GB23" s="41"/>
      <c r="GC23" s="41"/>
      <c r="GD23" s="59">
        <v>170</v>
      </c>
      <c r="GE23" s="59">
        <v>168</v>
      </c>
      <c r="GF23" s="59">
        <v>167</v>
      </c>
      <c r="GG23" s="59">
        <v>167.5</v>
      </c>
      <c r="GH23" s="59">
        <v>170</v>
      </c>
      <c r="GI23" s="41"/>
      <c r="GJ23" s="41"/>
      <c r="GK23" s="59">
        <v>174.5</v>
      </c>
      <c r="GL23" s="59">
        <v>170</v>
      </c>
      <c r="GM23" s="59">
        <v>167</v>
      </c>
      <c r="GN23" s="59">
        <v>170</v>
      </c>
      <c r="GO23" s="59">
        <v>168.5</v>
      </c>
      <c r="GP23" s="41"/>
      <c r="GQ23" s="41"/>
      <c r="GR23" s="59">
        <v>170</v>
      </c>
      <c r="GS23" s="59">
        <v>165</v>
      </c>
      <c r="GT23" s="59">
        <v>165</v>
      </c>
      <c r="GU23" s="59">
        <v>164.5</v>
      </c>
      <c r="GV23" s="59">
        <v>164.5</v>
      </c>
      <c r="GW23" s="41"/>
      <c r="GX23" s="41"/>
      <c r="GY23" s="59">
        <v>164.5</v>
      </c>
      <c r="GZ23" s="59">
        <v>169.5</v>
      </c>
      <c r="HA23" s="59">
        <v>168</v>
      </c>
      <c r="HB23" s="59">
        <v>166</v>
      </c>
      <c r="HC23" s="59">
        <v>171</v>
      </c>
      <c r="HD23" s="41"/>
      <c r="HE23" s="41"/>
      <c r="HF23" s="59">
        <v>164</v>
      </c>
      <c r="HG23" s="59">
        <v>163.5</v>
      </c>
      <c r="HH23" s="59">
        <v>164</v>
      </c>
      <c r="HI23" s="59">
        <v>168</v>
      </c>
      <c r="HJ23" s="59">
        <v>165</v>
      </c>
      <c r="HK23" s="41"/>
      <c r="HL23" s="41"/>
      <c r="HM23" s="59">
        <v>165.5</v>
      </c>
      <c r="HN23" s="59">
        <v>167.5</v>
      </c>
      <c r="HO23" s="59">
        <v>167</v>
      </c>
      <c r="HP23" s="59">
        <v>167</v>
      </c>
      <c r="HQ23" s="59">
        <v>167.5</v>
      </c>
      <c r="HR23" s="41"/>
      <c r="HS23" s="41"/>
      <c r="HT23" s="59">
        <v>185.5</v>
      </c>
      <c r="HU23" s="59">
        <v>162.5</v>
      </c>
      <c r="HV23" s="59">
        <v>164</v>
      </c>
      <c r="HW23" s="59">
        <v>164</v>
      </c>
      <c r="HX23" s="59">
        <v>164</v>
      </c>
      <c r="HY23" s="41"/>
      <c r="HZ23" s="41"/>
      <c r="IA23" s="59">
        <v>165</v>
      </c>
      <c r="IB23" s="59">
        <v>167</v>
      </c>
      <c r="IC23" s="59">
        <v>167</v>
      </c>
      <c r="ID23" s="59">
        <v>166</v>
      </c>
      <c r="IE23" s="59">
        <v>167.5</v>
      </c>
      <c r="IF23" s="41"/>
      <c r="IG23" s="41"/>
      <c r="IH23" s="59">
        <v>166</v>
      </c>
      <c r="II23" s="59">
        <v>164.5</v>
      </c>
      <c r="IJ23" s="59">
        <v>170</v>
      </c>
      <c r="IK23" s="59">
        <v>170</v>
      </c>
      <c r="IL23" s="59">
        <v>170</v>
      </c>
      <c r="IM23" s="41"/>
      <c r="IN23" s="41"/>
      <c r="IO23" s="59">
        <v>170</v>
      </c>
      <c r="IP23" s="59">
        <v>171.5</v>
      </c>
      <c r="IQ23" s="59">
        <v>171.5</v>
      </c>
      <c r="IR23" s="59">
        <v>165</v>
      </c>
      <c r="IS23" s="59">
        <v>165</v>
      </c>
      <c r="IT23" s="41"/>
      <c r="IU23" s="41"/>
      <c r="IV23" s="59">
        <v>170</v>
      </c>
      <c r="IW23" s="59">
        <v>170</v>
      </c>
      <c r="IX23" s="59">
        <v>166.5</v>
      </c>
      <c r="IY23" s="59">
        <v>168.5</v>
      </c>
      <c r="IZ23" s="59">
        <v>170</v>
      </c>
      <c r="JA23" s="41"/>
      <c r="JB23" s="41"/>
      <c r="JC23" s="59">
        <v>167</v>
      </c>
      <c r="JD23" s="59">
        <v>171</v>
      </c>
      <c r="JE23" s="59">
        <v>168.3</v>
      </c>
      <c r="JF23" s="59">
        <v>168</v>
      </c>
      <c r="JG23" s="59">
        <v>167</v>
      </c>
      <c r="JH23" s="41"/>
      <c r="JI23" s="41"/>
      <c r="JJ23" s="59">
        <v>170</v>
      </c>
      <c r="JK23" s="59">
        <v>170</v>
      </c>
      <c r="JL23" s="59">
        <v>167</v>
      </c>
      <c r="JM23" s="59">
        <v>172</v>
      </c>
      <c r="JN23" s="59">
        <v>168</v>
      </c>
      <c r="JO23" s="41"/>
      <c r="JP23" s="41"/>
      <c r="JQ23" s="59">
        <v>158</v>
      </c>
      <c r="JR23" s="59">
        <v>158</v>
      </c>
      <c r="JS23" s="59">
        <v>161</v>
      </c>
      <c r="JT23" s="59">
        <v>160</v>
      </c>
      <c r="JU23" s="59">
        <v>160</v>
      </c>
      <c r="JV23" s="41"/>
      <c r="JW23" s="41"/>
      <c r="JX23" s="59">
        <v>165</v>
      </c>
      <c r="JY23" s="59">
        <v>167</v>
      </c>
      <c r="JZ23" s="59">
        <v>167</v>
      </c>
      <c r="KA23" s="59">
        <v>170</v>
      </c>
      <c r="KB23" s="59">
        <v>168.5</v>
      </c>
      <c r="KC23" s="41"/>
      <c r="KD23" s="41"/>
      <c r="KE23" s="59">
        <v>170</v>
      </c>
      <c r="KF23" s="59">
        <v>168.5</v>
      </c>
      <c r="KG23" s="59">
        <v>168.5</v>
      </c>
      <c r="KH23" s="59">
        <v>168.5</v>
      </c>
      <c r="KI23" s="59">
        <v>168.5</v>
      </c>
      <c r="KJ23" s="41"/>
      <c r="KK23" s="41"/>
      <c r="KL23" s="59">
        <v>170</v>
      </c>
      <c r="KM23" s="59">
        <v>172</v>
      </c>
      <c r="KN23" s="59">
        <v>173</v>
      </c>
      <c r="KO23" s="59">
        <v>171.5</v>
      </c>
      <c r="KP23" s="59">
        <v>171.5</v>
      </c>
      <c r="KQ23" s="41"/>
      <c r="KR23" s="41"/>
      <c r="KS23" s="59">
        <v>170</v>
      </c>
      <c r="KT23" s="59">
        <v>170</v>
      </c>
      <c r="KU23" s="59">
        <v>170</v>
      </c>
      <c r="KV23" s="59">
        <v>169</v>
      </c>
      <c r="KW23" s="59">
        <v>167</v>
      </c>
      <c r="KX23" s="41"/>
      <c r="KY23" s="41"/>
      <c r="KZ23" s="59">
        <v>170</v>
      </c>
      <c r="LA23" s="59">
        <v>170</v>
      </c>
      <c r="LB23" s="59">
        <v>172.5</v>
      </c>
      <c r="LC23" s="59">
        <v>175</v>
      </c>
      <c r="LD23" s="59">
        <v>176</v>
      </c>
      <c r="LE23" s="41"/>
      <c r="LF23" s="41"/>
      <c r="LG23" s="59">
        <v>172</v>
      </c>
      <c r="LH23" s="59">
        <v>172</v>
      </c>
      <c r="LI23" s="59">
        <v>168</v>
      </c>
      <c r="LJ23" s="59">
        <v>170</v>
      </c>
      <c r="LK23" s="59">
        <v>170</v>
      </c>
      <c r="LL23" s="41"/>
      <c r="LM23" s="41"/>
      <c r="LN23" s="59">
        <v>169</v>
      </c>
      <c r="LO23" s="59">
        <v>168</v>
      </c>
      <c r="LP23" s="59">
        <v>168</v>
      </c>
      <c r="LQ23" s="59">
        <v>168</v>
      </c>
      <c r="LR23" s="59">
        <v>168</v>
      </c>
      <c r="LS23" s="41"/>
      <c r="LT23" s="41"/>
      <c r="LU23" s="59">
        <v>168</v>
      </c>
      <c r="LV23" s="59">
        <v>167.5</v>
      </c>
      <c r="LW23" s="59">
        <v>169</v>
      </c>
      <c r="LX23" s="59">
        <v>163.5</v>
      </c>
      <c r="LY23" s="59">
        <v>165</v>
      </c>
      <c r="LZ23" s="41"/>
      <c r="MA23" s="41"/>
      <c r="MB23" s="59">
        <v>166</v>
      </c>
      <c r="MC23" s="59">
        <v>170</v>
      </c>
      <c r="MD23" s="59">
        <v>165</v>
      </c>
      <c r="ME23" s="59">
        <v>165</v>
      </c>
      <c r="MF23" s="59">
        <v>168</v>
      </c>
      <c r="MG23" s="41"/>
      <c r="MH23" s="41"/>
      <c r="MI23" s="59">
        <v>172</v>
      </c>
      <c r="MJ23" s="59">
        <v>172</v>
      </c>
      <c r="MK23" s="59">
        <v>172</v>
      </c>
      <c r="ML23" s="59">
        <v>181.5</v>
      </c>
      <c r="MM23" s="59">
        <v>170</v>
      </c>
      <c r="MN23" s="41"/>
      <c r="MO23" s="41"/>
      <c r="MP23" s="59">
        <v>169</v>
      </c>
      <c r="MQ23" s="59">
        <v>170</v>
      </c>
      <c r="MR23" s="59">
        <v>170</v>
      </c>
      <c r="MS23" s="59">
        <v>169</v>
      </c>
      <c r="MT23" s="59">
        <v>167</v>
      </c>
      <c r="MU23" s="41"/>
      <c r="MV23" s="41"/>
      <c r="MW23" s="59">
        <v>167</v>
      </c>
      <c r="MX23" s="59">
        <v>172</v>
      </c>
      <c r="MY23" s="59">
        <v>172</v>
      </c>
      <c r="MZ23" s="59">
        <v>172</v>
      </c>
      <c r="NA23" s="59">
        <v>172</v>
      </c>
      <c r="NB23" s="41"/>
    </row>
    <row r="24" spans="1:367" x14ac:dyDescent="0.25">
      <c r="A24" s="25" t="s">
        <v>88</v>
      </c>
      <c r="B24" s="56"/>
      <c r="C24" s="56"/>
      <c r="D24" s="56">
        <v>177</v>
      </c>
      <c r="E24" s="56">
        <v>177.5</v>
      </c>
      <c r="F24" s="56">
        <v>180.5</v>
      </c>
      <c r="G24" s="56">
        <v>179</v>
      </c>
      <c r="H24" s="56">
        <v>179</v>
      </c>
      <c r="I24" s="56"/>
      <c r="J24" s="56"/>
      <c r="K24" s="56">
        <v>180</v>
      </c>
      <c r="L24" s="56">
        <v>179</v>
      </c>
      <c r="M24" s="56">
        <v>175</v>
      </c>
      <c r="N24" s="56">
        <v>174.5</v>
      </c>
      <c r="O24" s="56">
        <v>176.5</v>
      </c>
      <c r="P24" s="56"/>
      <c r="Q24" s="56"/>
      <c r="R24" s="56">
        <v>176.5</v>
      </c>
      <c r="S24" s="56">
        <v>177</v>
      </c>
      <c r="T24" s="56">
        <v>177</v>
      </c>
      <c r="U24" s="56">
        <v>180</v>
      </c>
      <c r="V24" s="56">
        <v>183</v>
      </c>
      <c r="W24" s="23"/>
      <c r="X24" s="23"/>
      <c r="Y24" s="56">
        <v>177</v>
      </c>
      <c r="Z24" s="56">
        <v>180</v>
      </c>
      <c r="AA24" s="56">
        <v>181</v>
      </c>
      <c r="AB24" s="56">
        <v>182</v>
      </c>
      <c r="AC24" s="56">
        <v>184</v>
      </c>
      <c r="AD24" s="23"/>
      <c r="AE24" s="23"/>
      <c r="AF24" s="56">
        <v>183</v>
      </c>
      <c r="AG24" s="56">
        <v>188</v>
      </c>
      <c r="AH24" s="56">
        <v>194</v>
      </c>
      <c r="AI24" s="56">
        <v>190</v>
      </c>
      <c r="AJ24" s="56">
        <v>193</v>
      </c>
      <c r="AK24" s="23"/>
      <c r="AL24" s="23"/>
      <c r="AM24" s="56">
        <v>195.5</v>
      </c>
      <c r="AN24" s="56">
        <v>197</v>
      </c>
      <c r="AO24" s="56">
        <v>197</v>
      </c>
      <c r="AP24" s="56">
        <v>192</v>
      </c>
      <c r="AQ24" s="56">
        <v>194</v>
      </c>
      <c r="AR24" s="23"/>
      <c r="AS24" s="23"/>
      <c r="AT24" s="56">
        <v>188</v>
      </c>
      <c r="AU24" s="56">
        <v>187</v>
      </c>
      <c r="AV24" s="56">
        <v>192</v>
      </c>
      <c r="AW24" s="56">
        <v>196</v>
      </c>
      <c r="AX24" s="56">
        <v>197</v>
      </c>
      <c r="AY24" s="23"/>
      <c r="AZ24" s="23"/>
      <c r="BA24" s="56">
        <v>199</v>
      </c>
      <c r="BB24" s="56">
        <v>197</v>
      </c>
      <c r="BC24" s="56">
        <v>198</v>
      </c>
      <c r="BD24" s="56">
        <v>199</v>
      </c>
      <c r="BE24" s="56">
        <v>194</v>
      </c>
      <c r="BF24" s="23"/>
      <c r="BG24" s="23"/>
      <c r="BH24" s="56">
        <v>194</v>
      </c>
      <c r="BI24" s="56">
        <v>194</v>
      </c>
      <c r="BJ24" s="56">
        <v>202</v>
      </c>
      <c r="BK24" s="56">
        <v>202</v>
      </c>
      <c r="BL24" s="56">
        <v>203</v>
      </c>
      <c r="BM24" s="23"/>
      <c r="BN24" s="23"/>
      <c r="BO24" s="56">
        <v>205</v>
      </c>
      <c r="BP24" s="56">
        <v>206</v>
      </c>
      <c r="BQ24" s="56">
        <v>203</v>
      </c>
      <c r="BR24" s="56">
        <v>204</v>
      </c>
      <c r="BS24" s="56">
        <v>202</v>
      </c>
      <c r="BT24" s="23"/>
      <c r="BU24" s="23"/>
      <c r="BV24" s="56">
        <v>202</v>
      </c>
      <c r="BW24" s="56">
        <v>206</v>
      </c>
      <c r="BX24" s="56">
        <v>204</v>
      </c>
      <c r="BY24" s="56">
        <v>201</v>
      </c>
      <c r="BZ24" s="56">
        <v>201</v>
      </c>
      <c r="CA24" s="23"/>
      <c r="CB24" s="23"/>
      <c r="CC24" s="56">
        <v>200</v>
      </c>
      <c r="CD24" s="56">
        <v>202</v>
      </c>
      <c r="CE24" s="56">
        <v>198</v>
      </c>
      <c r="CF24" s="56">
        <v>194</v>
      </c>
      <c r="CG24" s="56">
        <v>190</v>
      </c>
      <c r="CH24" s="23"/>
      <c r="CI24" s="23"/>
      <c r="CJ24" s="56">
        <v>188</v>
      </c>
      <c r="CK24" s="56">
        <v>182</v>
      </c>
      <c r="CL24" s="56">
        <v>184</v>
      </c>
      <c r="CM24" s="56">
        <v>183</v>
      </c>
      <c r="CN24" s="56">
        <v>175</v>
      </c>
      <c r="CO24" s="23"/>
      <c r="CP24" s="23"/>
      <c r="CQ24" s="56">
        <v>173</v>
      </c>
      <c r="CR24" s="56">
        <v>177</v>
      </c>
      <c r="CS24" s="56">
        <v>178</v>
      </c>
      <c r="CT24" s="56">
        <v>181</v>
      </c>
      <c r="CU24" s="56">
        <v>183.5</v>
      </c>
      <c r="CV24" s="23"/>
      <c r="CW24" s="23"/>
      <c r="CX24" s="56">
        <v>180</v>
      </c>
      <c r="CY24" s="56">
        <v>182</v>
      </c>
      <c r="CZ24" s="56">
        <v>182</v>
      </c>
      <c r="DA24" s="56">
        <v>184.5</v>
      </c>
      <c r="DB24" s="56">
        <v>184.5</v>
      </c>
      <c r="DC24" s="23"/>
      <c r="DD24" s="23"/>
      <c r="DE24" s="56">
        <v>185</v>
      </c>
      <c r="DF24" s="56">
        <v>184</v>
      </c>
      <c r="DG24" s="56">
        <v>184.5</v>
      </c>
      <c r="DH24" s="56">
        <v>184.5</v>
      </c>
      <c r="DI24" s="56">
        <v>189.5</v>
      </c>
      <c r="DJ24" s="23"/>
      <c r="DK24" s="23"/>
      <c r="DL24" s="56">
        <v>190.5</v>
      </c>
      <c r="DM24" s="56">
        <v>192.5</v>
      </c>
      <c r="DN24" s="56">
        <v>192.5</v>
      </c>
      <c r="DO24" s="56">
        <v>194.5</v>
      </c>
      <c r="DP24" s="56">
        <v>192.5</v>
      </c>
      <c r="DQ24" s="23"/>
      <c r="DR24" s="23"/>
      <c r="DS24" s="56">
        <v>192.5</v>
      </c>
      <c r="DT24" s="56">
        <v>190.5</v>
      </c>
      <c r="DU24" s="56">
        <v>189.5</v>
      </c>
      <c r="DV24" s="56">
        <v>189.5</v>
      </c>
      <c r="DW24" s="56">
        <v>188.5</v>
      </c>
      <c r="DX24" s="23"/>
      <c r="DY24" s="23"/>
      <c r="DZ24" s="56">
        <v>190.5</v>
      </c>
      <c r="EA24" s="56">
        <v>191</v>
      </c>
      <c r="EB24" s="56">
        <v>191.5</v>
      </c>
      <c r="EC24" s="56">
        <v>192</v>
      </c>
      <c r="ED24" s="56">
        <v>197.5</v>
      </c>
      <c r="EE24" s="23"/>
      <c r="EF24" s="23"/>
      <c r="EG24" s="56">
        <v>193</v>
      </c>
      <c r="EH24" s="56">
        <v>192</v>
      </c>
      <c r="EI24" s="56">
        <v>192</v>
      </c>
      <c r="EJ24" s="56">
        <v>192</v>
      </c>
      <c r="EK24" s="56">
        <v>191</v>
      </c>
      <c r="EL24" s="23"/>
      <c r="EM24" s="23"/>
      <c r="EN24" s="56">
        <v>187.5</v>
      </c>
      <c r="EO24" s="56">
        <v>187.5</v>
      </c>
      <c r="EP24" s="56">
        <v>186.5</v>
      </c>
      <c r="EQ24" s="56">
        <v>188.2</v>
      </c>
      <c r="ER24" s="56">
        <v>195</v>
      </c>
      <c r="ES24" s="23"/>
      <c r="ET24" s="23"/>
      <c r="EU24" s="56">
        <v>189.5</v>
      </c>
      <c r="EV24" s="56">
        <v>187</v>
      </c>
      <c r="EW24" s="56">
        <v>187</v>
      </c>
      <c r="EX24" s="83">
        <v>190</v>
      </c>
      <c r="EY24" s="56">
        <v>189</v>
      </c>
      <c r="EZ24" s="23"/>
      <c r="FA24" s="23"/>
      <c r="FB24" s="56">
        <v>187</v>
      </c>
      <c r="FC24" s="56">
        <v>192</v>
      </c>
      <c r="FD24" s="56">
        <v>194</v>
      </c>
      <c r="FE24" s="56">
        <v>196</v>
      </c>
      <c r="FF24" s="56">
        <v>197.5</v>
      </c>
      <c r="FG24" s="23"/>
      <c r="FH24" s="23"/>
      <c r="FI24" s="56">
        <v>197.5</v>
      </c>
      <c r="FJ24" s="56">
        <v>196.5</v>
      </c>
      <c r="FK24" s="56">
        <v>195.5</v>
      </c>
      <c r="FL24" s="56">
        <v>195.5</v>
      </c>
      <c r="FM24" s="56">
        <v>197</v>
      </c>
      <c r="FN24" s="23"/>
      <c r="FO24" s="23"/>
      <c r="FP24" s="56">
        <v>197</v>
      </c>
      <c r="FQ24" s="56">
        <v>195</v>
      </c>
      <c r="FR24" s="56">
        <v>195.5</v>
      </c>
      <c r="FS24" s="56">
        <v>187</v>
      </c>
      <c r="FT24" s="56">
        <v>187.5</v>
      </c>
      <c r="FU24" s="23"/>
      <c r="FV24" s="23"/>
      <c r="FW24" s="56">
        <v>186</v>
      </c>
      <c r="FX24" s="56">
        <v>192.5</v>
      </c>
      <c r="FY24" s="56">
        <v>192</v>
      </c>
      <c r="FZ24" s="56">
        <v>192</v>
      </c>
      <c r="GA24" s="56">
        <v>188</v>
      </c>
      <c r="GB24" s="23"/>
      <c r="GC24" s="23"/>
      <c r="GD24" s="56">
        <v>188</v>
      </c>
      <c r="GE24" s="56">
        <v>183.5</v>
      </c>
      <c r="GF24" s="56">
        <v>187.5</v>
      </c>
      <c r="GG24" s="56">
        <v>188</v>
      </c>
      <c r="GH24" s="56">
        <v>188.5</v>
      </c>
      <c r="GI24" s="23"/>
      <c r="GJ24" s="23"/>
      <c r="GK24" s="56">
        <v>193.5</v>
      </c>
      <c r="GL24" s="56">
        <v>189.5</v>
      </c>
      <c r="GM24" s="56">
        <v>189.5</v>
      </c>
      <c r="GN24" s="56">
        <v>189.5</v>
      </c>
      <c r="GO24" s="56">
        <v>188</v>
      </c>
      <c r="GP24" s="23"/>
      <c r="GQ24" s="23"/>
      <c r="GR24" s="56">
        <v>190</v>
      </c>
      <c r="GS24" s="56">
        <v>186.5</v>
      </c>
      <c r="GT24" s="56">
        <v>185</v>
      </c>
      <c r="GU24" s="56">
        <v>184</v>
      </c>
      <c r="GV24" s="56">
        <v>184.5</v>
      </c>
      <c r="GW24" s="23"/>
      <c r="GX24" s="23"/>
      <c r="GY24" s="56">
        <v>185</v>
      </c>
      <c r="GZ24" s="56">
        <v>189.5</v>
      </c>
      <c r="HA24" s="56">
        <v>189.5</v>
      </c>
      <c r="HB24" s="56">
        <v>189.5</v>
      </c>
      <c r="HC24" s="56">
        <v>190.5</v>
      </c>
      <c r="HD24" s="23"/>
      <c r="HE24" s="23"/>
      <c r="HF24" s="56">
        <v>186.5</v>
      </c>
      <c r="HG24" s="56">
        <v>185.5</v>
      </c>
      <c r="HH24" s="56">
        <v>184</v>
      </c>
      <c r="HI24" s="56">
        <v>187</v>
      </c>
      <c r="HJ24" s="56">
        <v>185</v>
      </c>
      <c r="HK24" s="23"/>
      <c r="HL24" s="23"/>
      <c r="HM24" s="56">
        <v>182.5</v>
      </c>
      <c r="HN24" s="56">
        <v>186.5</v>
      </c>
      <c r="HO24" s="56">
        <v>185.5</v>
      </c>
      <c r="HP24" s="56">
        <v>189.5</v>
      </c>
      <c r="HQ24" s="56">
        <v>186</v>
      </c>
      <c r="HR24" s="23"/>
      <c r="HS24" s="23"/>
      <c r="HT24" s="56">
        <v>169.5</v>
      </c>
      <c r="HU24" s="56">
        <v>181</v>
      </c>
      <c r="HV24" s="56">
        <v>184</v>
      </c>
      <c r="HW24" s="56">
        <v>184</v>
      </c>
      <c r="HX24" s="56">
        <v>184</v>
      </c>
      <c r="HY24" s="23"/>
      <c r="HZ24" s="23"/>
      <c r="IA24" s="56">
        <v>187.5</v>
      </c>
      <c r="IB24" s="56">
        <v>188.5</v>
      </c>
      <c r="IC24" s="56">
        <v>189</v>
      </c>
      <c r="ID24" s="56">
        <v>185</v>
      </c>
      <c r="IE24" s="56">
        <v>188.5</v>
      </c>
      <c r="IF24" s="23"/>
      <c r="IG24" s="23"/>
      <c r="IH24" s="56">
        <v>185.5</v>
      </c>
      <c r="II24" s="56">
        <v>184.5</v>
      </c>
      <c r="IJ24" s="56">
        <v>188</v>
      </c>
      <c r="IK24" s="56">
        <v>187</v>
      </c>
      <c r="IL24" s="56">
        <v>187</v>
      </c>
      <c r="IM24" s="23"/>
      <c r="IN24" s="23"/>
      <c r="IO24" s="56">
        <v>186.5</v>
      </c>
      <c r="IP24" s="56">
        <v>186.5</v>
      </c>
      <c r="IQ24" s="56">
        <v>186.5</v>
      </c>
      <c r="IR24" s="56">
        <v>182.5</v>
      </c>
      <c r="IS24" s="56">
        <v>182.5</v>
      </c>
      <c r="IT24" s="23"/>
      <c r="IU24" s="23"/>
      <c r="IV24" s="56">
        <v>185.5</v>
      </c>
      <c r="IW24" s="56">
        <v>185.5</v>
      </c>
      <c r="IX24" s="56">
        <v>185</v>
      </c>
      <c r="IY24" s="56">
        <v>184.5</v>
      </c>
      <c r="IZ24" s="56">
        <v>185.5</v>
      </c>
      <c r="JA24" s="23"/>
      <c r="JB24" s="23"/>
      <c r="JC24" s="56">
        <v>184</v>
      </c>
      <c r="JD24" s="56">
        <v>185.5</v>
      </c>
      <c r="JE24" s="56">
        <v>183</v>
      </c>
      <c r="JF24" s="56">
        <v>182</v>
      </c>
      <c r="JG24" s="56">
        <v>182</v>
      </c>
      <c r="JH24" s="23"/>
      <c r="JI24" s="23"/>
      <c r="JJ24" s="56">
        <v>185.5</v>
      </c>
      <c r="JK24" s="56">
        <v>184</v>
      </c>
      <c r="JL24" s="56">
        <v>183.5</v>
      </c>
      <c r="JM24" s="56">
        <v>185.5</v>
      </c>
      <c r="JN24" s="56">
        <v>180.5</v>
      </c>
      <c r="JO24" s="23"/>
      <c r="JP24" s="23"/>
      <c r="JQ24" s="56">
        <v>173</v>
      </c>
      <c r="JR24" s="56">
        <v>177</v>
      </c>
      <c r="JS24" s="56">
        <v>176.5</v>
      </c>
      <c r="JT24" s="56">
        <v>176.5</v>
      </c>
      <c r="JU24" s="56">
        <v>179</v>
      </c>
      <c r="JV24" s="23"/>
      <c r="JW24" s="23"/>
      <c r="JX24" s="56">
        <v>179.5</v>
      </c>
      <c r="JY24" s="56">
        <v>181.5</v>
      </c>
      <c r="JZ24" s="56">
        <v>181.5</v>
      </c>
      <c r="KA24" s="56">
        <v>185.5</v>
      </c>
      <c r="KB24" s="56">
        <v>184.5</v>
      </c>
      <c r="KC24" s="23"/>
      <c r="KD24" s="23"/>
      <c r="KE24" s="56">
        <v>184.5</v>
      </c>
      <c r="KF24" s="56">
        <v>182.5</v>
      </c>
      <c r="KG24" s="56">
        <v>182.5</v>
      </c>
      <c r="KH24" s="56">
        <v>183</v>
      </c>
      <c r="KI24" s="56">
        <v>181.5</v>
      </c>
      <c r="KJ24" s="23"/>
      <c r="KK24" s="23"/>
      <c r="KL24" s="56">
        <v>181.5</v>
      </c>
      <c r="KM24" s="56">
        <v>183.5</v>
      </c>
      <c r="KN24" s="56">
        <v>186.5</v>
      </c>
      <c r="KO24" s="56">
        <v>185.5</v>
      </c>
      <c r="KP24" s="56">
        <v>186</v>
      </c>
      <c r="KQ24" s="23"/>
      <c r="KR24" s="23"/>
      <c r="KS24" s="56">
        <v>183</v>
      </c>
      <c r="KT24" s="56">
        <v>184</v>
      </c>
      <c r="KU24" s="56">
        <v>184</v>
      </c>
      <c r="KV24" s="56">
        <v>182.5</v>
      </c>
      <c r="KW24" s="56">
        <v>182.5</v>
      </c>
      <c r="KX24" s="23"/>
      <c r="KY24" s="23"/>
      <c r="KZ24" s="56">
        <v>183.5</v>
      </c>
      <c r="LA24" s="56">
        <v>186</v>
      </c>
      <c r="LB24" s="56">
        <v>185.5</v>
      </c>
      <c r="LC24" s="56">
        <v>187.5</v>
      </c>
      <c r="LD24" s="56">
        <v>188.5</v>
      </c>
      <c r="LE24" s="23"/>
      <c r="LF24" s="23"/>
      <c r="LG24" s="56">
        <v>185.5</v>
      </c>
      <c r="LH24" s="56">
        <v>185.5</v>
      </c>
      <c r="LI24" s="56">
        <v>185</v>
      </c>
      <c r="LJ24" s="56">
        <v>186.5</v>
      </c>
      <c r="LK24" s="56">
        <v>182.5</v>
      </c>
      <c r="LL24" s="23"/>
      <c r="LM24" s="23"/>
      <c r="LN24" s="56">
        <v>182</v>
      </c>
      <c r="LO24" s="56">
        <v>181.5</v>
      </c>
      <c r="LP24" s="56">
        <v>182.5</v>
      </c>
      <c r="LQ24" s="56">
        <v>180.5</v>
      </c>
      <c r="LR24" s="56">
        <v>182.5</v>
      </c>
      <c r="LS24" s="23"/>
      <c r="LT24" s="23"/>
      <c r="LU24" s="56">
        <v>185.5</v>
      </c>
      <c r="LV24" s="56">
        <v>183</v>
      </c>
      <c r="LW24" s="56">
        <v>180.5</v>
      </c>
      <c r="LX24" s="56">
        <v>176</v>
      </c>
      <c r="LY24" s="56">
        <v>176.5</v>
      </c>
      <c r="LZ24" s="23"/>
      <c r="MA24" s="23"/>
      <c r="MB24" s="56">
        <v>179.5</v>
      </c>
      <c r="MC24" s="56">
        <v>182.5</v>
      </c>
      <c r="MD24" s="56">
        <v>179.5</v>
      </c>
      <c r="ME24" s="56">
        <v>181.5</v>
      </c>
      <c r="MF24" s="56">
        <v>184.5</v>
      </c>
      <c r="MG24" s="23"/>
      <c r="MH24" s="23"/>
      <c r="MI24" s="56">
        <v>182.5</v>
      </c>
      <c r="MJ24" s="56">
        <v>183.5</v>
      </c>
      <c r="MK24" s="56">
        <v>183.5</v>
      </c>
      <c r="ML24" s="56">
        <v>168</v>
      </c>
      <c r="MM24" s="56">
        <v>179.5</v>
      </c>
      <c r="MN24" s="23"/>
      <c r="MO24" s="23"/>
      <c r="MP24" s="56">
        <v>178.5</v>
      </c>
      <c r="MQ24" s="56">
        <v>179.5</v>
      </c>
      <c r="MR24" s="56">
        <v>178.5</v>
      </c>
      <c r="MS24" s="56">
        <v>176.5</v>
      </c>
      <c r="MT24" s="56">
        <v>174.5</v>
      </c>
      <c r="MU24" s="23"/>
      <c r="MV24" s="23"/>
      <c r="MW24" s="56">
        <v>175.5</v>
      </c>
      <c r="MX24" s="56">
        <v>179.5</v>
      </c>
      <c r="MY24" s="56">
        <v>179.5</v>
      </c>
      <c r="MZ24" s="56">
        <v>179.5</v>
      </c>
      <c r="NA24" s="56">
        <v>179.5</v>
      </c>
      <c r="NB24" s="23"/>
    </row>
    <row r="25" spans="1:367" x14ac:dyDescent="0.25">
      <c r="A25" s="40" t="s">
        <v>89</v>
      </c>
      <c r="B25" s="59"/>
      <c r="C25" s="59"/>
      <c r="D25" s="59">
        <v>164</v>
      </c>
      <c r="E25" s="59">
        <v>167</v>
      </c>
      <c r="F25" s="59">
        <v>170</v>
      </c>
      <c r="G25" s="59">
        <v>171</v>
      </c>
      <c r="H25" s="59">
        <v>171.5</v>
      </c>
      <c r="I25" s="59"/>
      <c r="J25" s="59"/>
      <c r="K25" s="59">
        <v>174.5</v>
      </c>
      <c r="L25" s="59">
        <v>174</v>
      </c>
      <c r="M25" s="59">
        <v>174</v>
      </c>
      <c r="N25" s="59">
        <v>170</v>
      </c>
      <c r="O25" s="59">
        <v>169</v>
      </c>
      <c r="P25" s="59"/>
      <c r="Q25" s="59"/>
      <c r="R25" s="59">
        <v>169</v>
      </c>
      <c r="S25" s="59">
        <v>164</v>
      </c>
      <c r="T25" s="59">
        <v>165</v>
      </c>
      <c r="U25" s="59">
        <v>164</v>
      </c>
      <c r="V25" s="59">
        <v>164</v>
      </c>
      <c r="W25" s="41"/>
      <c r="X25" s="41"/>
      <c r="Y25" s="59">
        <v>164</v>
      </c>
      <c r="Z25" s="59">
        <v>164</v>
      </c>
      <c r="AA25" s="59">
        <v>167</v>
      </c>
      <c r="AB25" s="59">
        <v>168</v>
      </c>
      <c r="AC25" s="59">
        <v>170</v>
      </c>
      <c r="AD25" s="41"/>
      <c r="AE25" s="41"/>
      <c r="AF25" s="59">
        <v>170</v>
      </c>
      <c r="AG25" s="59">
        <v>175</v>
      </c>
      <c r="AH25" s="59">
        <v>179</v>
      </c>
      <c r="AI25" s="59">
        <v>179</v>
      </c>
      <c r="AJ25" s="59">
        <v>181</v>
      </c>
      <c r="AK25" s="41"/>
      <c r="AL25" s="41"/>
      <c r="AM25" s="59">
        <v>185</v>
      </c>
      <c r="AN25" s="59">
        <v>183</v>
      </c>
      <c r="AO25" s="59">
        <v>183</v>
      </c>
      <c r="AP25" s="59">
        <v>182</v>
      </c>
      <c r="AQ25" s="59">
        <v>182</v>
      </c>
      <c r="AR25" s="41"/>
      <c r="AS25" s="41"/>
      <c r="AT25" s="59">
        <v>182</v>
      </c>
      <c r="AU25" s="59">
        <v>180</v>
      </c>
      <c r="AV25" s="59">
        <v>178</v>
      </c>
      <c r="AW25" s="59">
        <v>179</v>
      </c>
      <c r="AX25" s="59">
        <v>179</v>
      </c>
      <c r="AY25" s="41"/>
      <c r="AZ25" s="41"/>
      <c r="BA25" s="59">
        <v>179</v>
      </c>
      <c r="BB25" s="59">
        <v>179</v>
      </c>
      <c r="BC25" s="59">
        <v>185</v>
      </c>
      <c r="BD25" s="59">
        <v>186</v>
      </c>
      <c r="BE25" s="59">
        <v>182</v>
      </c>
      <c r="BF25" s="41"/>
      <c r="BG25" s="41"/>
      <c r="BH25" s="59">
        <v>182</v>
      </c>
      <c r="BI25" s="59">
        <v>182</v>
      </c>
      <c r="BJ25" s="59">
        <v>189</v>
      </c>
      <c r="BK25" s="59">
        <v>189</v>
      </c>
      <c r="BL25" s="59">
        <v>190</v>
      </c>
      <c r="BM25" s="59"/>
      <c r="BN25" s="41"/>
      <c r="BO25" s="59">
        <v>190</v>
      </c>
      <c r="BP25" s="59">
        <v>191</v>
      </c>
      <c r="BQ25" s="59">
        <v>189</v>
      </c>
      <c r="BR25" s="59">
        <v>190</v>
      </c>
      <c r="BS25" s="59">
        <v>188.5</v>
      </c>
      <c r="BT25" s="41"/>
      <c r="BU25" s="41"/>
      <c r="BV25" s="59">
        <v>188.5</v>
      </c>
      <c r="BW25" s="59">
        <v>190</v>
      </c>
      <c r="BX25" s="59">
        <v>190</v>
      </c>
      <c r="BY25" s="59">
        <v>190</v>
      </c>
      <c r="BZ25" s="59">
        <v>188</v>
      </c>
      <c r="CA25" s="41"/>
      <c r="CB25" s="41"/>
      <c r="CC25" s="59">
        <v>186</v>
      </c>
      <c r="CD25" s="59">
        <v>185</v>
      </c>
      <c r="CE25" s="59">
        <v>184</v>
      </c>
      <c r="CF25" s="59">
        <v>183</v>
      </c>
      <c r="CG25" s="59">
        <v>179</v>
      </c>
      <c r="CH25" s="41"/>
      <c r="CI25" s="41"/>
      <c r="CJ25" s="59">
        <v>178</v>
      </c>
      <c r="CK25" s="59">
        <v>167</v>
      </c>
      <c r="CL25" s="59">
        <v>170</v>
      </c>
      <c r="CM25" s="59">
        <v>168.5</v>
      </c>
      <c r="CN25" s="59">
        <v>163.5</v>
      </c>
      <c r="CO25" s="41"/>
      <c r="CP25" s="41"/>
      <c r="CQ25" s="59">
        <v>159.5</v>
      </c>
      <c r="CR25" s="59">
        <v>161.5</v>
      </c>
      <c r="CS25" s="59">
        <v>162</v>
      </c>
      <c r="CT25" s="59">
        <v>169</v>
      </c>
      <c r="CU25" s="59">
        <v>171</v>
      </c>
      <c r="CV25" s="41"/>
      <c r="CW25" s="41"/>
      <c r="CX25" s="59">
        <v>169</v>
      </c>
      <c r="CY25" s="59">
        <v>169</v>
      </c>
      <c r="CZ25" s="59">
        <v>169.5</v>
      </c>
      <c r="DA25" s="59">
        <v>171</v>
      </c>
      <c r="DB25" s="59">
        <v>171</v>
      </c>
      <c r="DC25" s="41"/>
      <c r="DD25" s="41"/>
      <c r="DE25" s="59">
        <v>172.5</v>
      </c>
      <c r="DF25" s="59">
        <v>172</v>
      </c>
      <c r="DG25" s="59">
        <v>173</v>
      </c>
      <c r="DH25" s="59">
        <v>173</v>
      </c>
      <c r="DI25" s="59">
        <v>174</v>
      </c>
      <c r="DJ25" s="41"/>
      <c r="DK25" s="41"/>
      <c r="DL25" s="59">
        <v>174</v>
      </c>
      <c r="DM25" s="59">
        <v>178</v>
      </c>
      <c r="DN25" s="59">
        <v>178</v>
      </c>
      <c r="DO25" s="59">
        <v>181</v>
      </c>
      <c r="DP25" s="59">
        <v>180</v>
      </c>
      <c r="DQ25" s="41"/>
      <c r="DR25" s="41"/>
      <c r="DS25" s="59">
        <v>181.5</v>
      </c>
      <c r="DT25" s="59">
        <v>174</v>
      </c>
      <c r="DU25" s="59">
        <v>178</v>
      </c>
      <c r="DV25" s="59">
        <v>180</v>
      </c>
      <c r="DW25" s="59">
        <v>179</v>
      </c>
      <c r="DX25" s="41"/>
      <c r="DY25" s="41"/>
      <c r="DZ25" s="59">
        <v>177.5</v>
      </c>
      <c r="EA25" s="59">
        <v>177.5</v>
      </c>
      <c r="EB25" s="59">
        <v>178.5</v>
      </c>
      <c r="EC25" s="59">
        <v>179.5</v>
      </c>
      <c r="ED25" s="59">
        <v>180</v>
      </c>
      <c r="EE25" s="41"/>
      <c r="EF25" s="41"/>
      <c r="EG25" s="59">
        <v>181.5</v>
      </c>
      <c r="EH25" s="59">
        <v>177</v>
      </c>
      <c r="EI25" s="59">
        <v>178</v>
      </c>
      <c r="EJ25" s="59">
        <v>177</v>
      </c>
      <c r="EK25" s="59">
        <v>178</v>
      </c>
      <c r="EL25" s="41"/>
      <c r="EM25" s="41"/>
      <c r="EN25" s="59">
        <v>176</v>
      </c>
      <c r="EO25" s="59">
        <v>175</v>
      </c>
      <c r="EP25" s="59">
        <v>174</v>
      </c>
      <c r="EQ25" s="59">
        <v>174</v>
      </c>
      <c r="ER25" s="59">
        <v>174</v>
      </c>
      <c r="ES25" s="41"/>
      <c r="ET25" s="41"/>
      <c r="EU25" s="59">
        <v>174</v>
      </c>
      <c r="EV25" s="59">
        <v>170</v>
      </c>
      <c r="EW25" s="59">
        <v>171</v>
      </c>
      <c r="EX25" s="82">
        <v>179</v>
      </c>
      <c r="EY25" s="59">
        <v>177</v>
      </c>
      <c r="EZ25" s="41"/>
      <c r="FA25" s="41"/>
      <c r="FB25" s="59">
        <v>172.5</v>
      </c>
      <c r="FC25" s="59">
        <v>176.5</v>
      </c>
      <c r="FD25" s="59">
        <v>180.5</v>
      </c>
      <c r="FE25" s="59">
        <v>180.5</v>
      </c>
      <c r="FF25" s="59">
        <v>180.5</v>
      </c>
      <c r="FG25" s="41"/>
      <c r="FH25" s="41"/>
      <c r="FI25" s="59">
        <v>180.5</v>
      </c>
      <c r="FJ25" s="59">
        <v>179.5</v>
      </c>
      <c r="FK25" s="59">
        <v>176.5</v>
      </c>
      <c r="FL25" s="59">
        <v>176.5</v>
      </c>
      <c r="FM25" s="59">
        <v>177.5</v>
      </c>
      <c r="FN25" s="41"/>
      <c r="FO25" s="41"/>
      <c r="FP25" s="59">
        <v>177.5</v>
      </c>
      <c r="FQ25" s="59">
        <v>176.5</v>
      </c>
      <c r="FR25" s="59">
        <v>173.5</v>
      </c>
      <c r="FS25" s="59">
        <v>173</v>
      </c>
      <c r="FT25" s="59">
        <v>173</v>
      </c>
      <c r="FU25" s="41"/>
      <c r="FV25" s="41"/>
      <c r="FW25" s="59">
        <v>172</v>
      </c>
      <c r="FX25" s="59">
        <v>177</v>
      </c>
      <c r="FY25" s="59">
        <v>177</v>
      </c>
      <c r="FZ25" s="59">
        <v>178</v>
      </c>
      <c r="GA25" s="59">
        <v>172</v>
      </c>
      <c r="GB25" s="41"/>
      <c r="GC25" s="41"/>
      <c r="GD25" s="59">
        <v>172</v>
      </c>
      <c r="GE25" s="59">
        <v>169</v>
      </c>
      <c r="GF25" s="59">
        <v>169.5</v>
      </c>
      <c r="GG25" s="59">
        <v>171</v>
      </c>
      <c r="GH25" s="59">
        <v>170</v>
      </c>
      <c r="GI25" s="41"/>
      <c r="GJ25" s="41"/>
      <c r="GK25" s="59">
        <v>174</v>
      </c>
      <c r="GL25" s="59">
        <v>170.5</v>
      </c>
      <c r="GM25" s="59">
        <v>172</v>
      </c>
      <c r="GN25" s="59">
        <v>172</v>
      </c>
      <c r="GO25" s="59">
        <v>170</v>
      </c>
      <c r="GP25" s="41"/>
      <c r="GQ25" s="41"/>
      <c r="GR25" s="59">
        <v>177</v>
      </c>
      <c r="GS25" s="59">
        <v>172</v>
      </c>
      <c r="GT25" s="59">
        <v>172</v>
      </c>
      <c r="GU25" s="59">
        <v>170</v>
      </c>
      <c r="GV25" s="59">
        <v>172</v>
      </c>
      <c r="GW25" s="41"/>
      <c r="GX25" s="41"/>
      <c r="GY25" s="59">
        <v>172</v>
      </c>
      <c r="GZ25" s="59">
        <v>176</v>
      </c>
      <c r="HA25" s="59">
        <v>173</v>
      </c>
      <c r="HB25" s="59">
        <v>172</v>
      </c>
      <c r="HC25" s="59">
        <v>174.5</v>
      </c>
      <c r="HD25" s="41"/>
      <c r="HE25" s="41"/>
      <c r="HF25" s="59">
        <v>167</v>
      </c>
      <c r="HG25" s="59">
        <v>167</v>
      </c>
      <c r="HH25" s="59">
        <v>170</v>
      </c>
      <c r="HI25" s="59">
        <v>172</v>
      </c>
      <c r="HJ25" s="59">
        <v>172</v>
      </c>
      <c r="HK25" s="41"/>
      <c r="HL25" s="41"/>
      <c r="HM25" s="59">
        <v>171</v>
      </c>
      <c r="HN25" s="59">
        <v>173</v>
      </c>
      <c r="HO25" s="59">
        <v>171</v>
      </c>
      <c r="HP25" s="59">
        <v>173</v>
      </c>
      <c r="HQ25" s="59">
        <v>172.5</v>
      </c>
      <c r="HR25" s="41"/>
      <c r="HS25" s="41"/>
      <c r="HT25" s="59">
        <v>164</v>
      </c>
      <c r="HU25" s="59">
        <v>167</v>
      </c>
      <c r="HV25" s="59">
        <v>171</v>
      </c>
      <c r="HW25" s="59">
        <v>171</v>
      </c>
      <c r="HX25" s="59">
        <v>171.5</v>
      </c>
      <c r="HY25" s="41"/>
      <c r="HZ25" s="41"/>
      <c r="IA25" s="59">
        <v>173</v>
      </c>
      <c r="IB25" s="59">
        <v>173</v>
      </c>
      <c r="IC25" s="59">
        <v>174</v>
      </c>
      <c r="ID25" s="59">
        <v>172</v>
      </c>
      <c r="IE25" s="59">
        <v>176</v>
      </c>
      <c r="IF25" s="41"/>
      <c r="IG25" s="41"/>
      <c r="IH25" s="59">
        <v>173</v>
      </c>
      <c r="II25" s="59">
        <v>164.5</v>
      </c>
      <c r="IJ25" s="59">
        <v>173</v>
      </c>
      <c r="IK25" s="59">
        <v>172</v>
      </c>
      <c r="IL25" s="59">
        <v>174</v>
      </c>
      <c r="IM25" s="41"/>
      <c r="IN25" s="41"/>
      <c r="IO25" s="59">
        <v>174</v>
      </c>
      <c r="IP25" s="59">
        <v>174</v>
      </c>
      <c r="IQ25" s="59">
        <v>174</v>
      </c>
      <c r="IR25" s="59">
        <v>171</v>
      </c>
      <c r="IS25" s="59">
        <v>167</v>
      </c>
      <c r="IT25" s="41"/>
      <c r="IU25" s="41"/>
      <c r="IV25" s="59">
        <v>169</v>
      </c>
      <c r="IW25" s="59">
        <v>170</v>
      </c>
      <c r="IX25" s="59">
        <v>169</v>
      </c>
      <c r="IY25" s="59">
        <v>173</v>
      </c>
      <c r="IZ25" s="59">
        <v>173</v>
      </c>
      <c r="JA25" s="41"/>
      <c r="JB25" s="41"/>
      <c r="JC25" s="59">
        <v>173</v>
      </c>
      <c r="JD25" s="59">
        <v>169</v>
      </c>
      <c r="JE25" s="59">
        <v>169</v>
      </c>
      <c r="JF25" s="59">
        <v>167</v>
      </c>
      <c r="JG25" s="59">
        <v>169</v>
      </c>
      <c r="JH25" s="41"/>
      <c r="JI25" s="41"/>
      <c r="JJ25" s="59">
        <v>166</v>
      </c>
      <c r="JK25" s="59">
        <v>166</v>
      </c>
      <c r="JL25" s="59">
        <v>166</v>
      </c>
      <c r="JM25" s="59">
        <v>170</v>
      </c>
      <c r="JN25" s="59">
        <v>169</v>
      </c>
      <c r="JO25" s="41"/>
      <c r="JP25" s="41"/>
      <c r="JQ25" s="59">
        <v>160</v>
      </c>
      <c r="JR25" s="59">
        <v>159</v>
      </c>
      <c r="JS25" s="59">
        <v>166</v>
      </c>
      <c r="JT25" s="59">
        <v>166</v>
      </c>
      <c r="JU25" s="59">
        <v>166</v>
      </c>
      <c r="JV25" s="41"/>
      <c r="JW25" s="41"/>
      <c r="JX25" s="59">
        <v>168</v>
      </c>
      <c r="JY25" s="59">
        <v>170</v>
      </c>
      <c r="JZ25" s="59">
        <v>170</v>
      </c>
      <c r="KA25" s="59">
        <v>168</v>
      </c>
      <c r="KB25" s="59">
        <v>168</v>
      </c>
      <c r="KC25" s="41"/>
      <c r="KD25" s="41"/>
      <c r="KE25" s="59">
        <v>168</v>
      </c>
      <c r="KF25" s="59">
        <v>168</v>
      </c>
      <c r="KG25" s="59">
        <v>168</v>
      </c>
      <c r="KH25" s="59">
        <v>168</v>
      </c>
      <c r="KI25" s="59">
        <v>168</v>
      </c>
      <c r="KJ25" s="41"/>
      <c r="KK25" s="41"/>
      <c r="KL25" s="59">
        <v>168</v>
      </c>
      <c r="KM25" s="59">
        <v>171</v>
      </c>
      <c r="KN25" s="59">
        <v>171</v>
      </c>
      <c r="KO25" s="59">
        <v>171</v>
      </c>
      <c r="KP25" s="59">
        <v>171</v>
      </c>
      <c r="KQ25" s="41"/>
      <c r="KR25" s="41"/>
      <c r="KS25" s="59">
        <v>170</v>
      </c>
      <c r="KT25" s="59">
        <v>171</v>
      </c>
      <c r="KU25" s="59">
        <v>171</v>
      </c>
      <c r="KV25" s="59">
        <v>171</v>
      </c>
      <c r="KW25" s="59">
        <v>171</v>
      </c>
      <c r="KX25" s="41"/>
      <c r="KY25" s="41"/>
      <c r="KZ25" s="59">
        <v>171</v>
      </c>
      <c r="LA25" s="59">
        <v>169</v>
      </c>
      <c r="LB25" s="59">
        <v>169</v>
      </c>
      <c r="LC25" s="59">
        <v>171</v>
      </c>
      <c r="LD25" s="59">
        <v>171</v>
      </c>
      <c r="LE25" s="41"/>
      <c r="LF25" s="41"/>
      <c r="LG25" s="59">
        <v>171</v>
      </c>
      <c r="LH25" s="59">
        <v>171</v>
      </c>
      <c r="LI25" s="59">
        <v>170</v>
      </c>
      <c r="LJ25" s="59">
        <v>170</v>
      </c>
      <c r="LK25" s="59">
        <v>170</v>
      </c>
      <c r="LL25" s="41"/>
      <c r="LM25" s="41"/>
      <c r="LN25" s="59">
        <v>167</v>
      </c>
      <c r="LO25" s="59">
        <v>167</v>
      </c>
      <c r="LP25" s="59">
        <v>167</v>
      </c>
      <c r="LQ25" s="59">
        <v>167</v>
      </c>
      <c r="LR25" s="59">
        <v>167</v>
      </c>
      <c r="LS25" s="41"/>
      <c r="LT25" s="41"/>
      <c r="LU25" s="59">
        <v>167</v>
      </c>
      <c r="LV25" s="59">
        <v>167</v>
      </c>
      <c r="LW25" s="59">
        <v>167</v>
      </c>
      <c r="LX25" s="59">
        <v>164</v>
      </c>
      <c r="LY25" s="59">
        <v>164</v>
      </c>
      <c r="LZ25" s="41"/>
      <c r="MA25" s="41"/>
      <c r="MB25" s="59">
        <v>164</v>
      </c>
      <c r="MC25" s="59">
        <v>164</v>
      </c>
      <c r="MD25" s="59">
        <v>164</v>
      </c>
      <c r="ME25" s="59">
        <v>164</v>
      </c>
      <c r="MF25" s="59">
        <v>167</v>
      </c>
      <c r="MG25" s="41"/>
      <c r="MH25" s="41"/>
      <c r="MI25" s="59">
        <v>163.5</v>
      </c>
      <c r="MJ25" s="59">
        <v>165</v>
      </c>
      <c r="MK25" s="59">
        <v>168</v>
      </c>
      <c r="ML25" s="59">
        <v>167</v>
      </c>
      <c r="MM25" s="59">
        <v>168</v>
      </c>
      <c r="MN25" s="41"/>
      <c r="MO25" s="41"/>
      <c r="MP25" s="59">
        <v>167</v>
      </c>
      <c r="MQ25" s="59">
        <v>168</v>
      </c>
      <c r="MR25" s="59">
        <v>167</v>
      </c>
      <c r="MS25" s="59">
        <v>166</v>
      </c>
      <c r="MT25" s="59">
        <v>166</v>
      </c>
      <c r="MU25" s="41"/>
      <c r="MV25" s="41"/>
      <c r="MW25" s="59">
        <v>166</v>
      </c>
      <c r="MX25" s="59">
        <v>168</v>
      </c>
      <c r="MY25" s="59">
        <v>168</v>
      </c>
      <c r="MZ25" s="59">
        <v>168</v>
      </c>
      <c r="NA25" s="59">
        <v>168</v>
      </c>
      <c r="NB25" s="41"/>
    </row>
    <row r="26" spans="1:367" x14ac:dyDescent="0.25">
      <c r="A26" s="33" t="s">
        <v>154</v>
      </c>
      <c r="B26" s="56"/>
      <c r="C26" s="56"/>
      <c r="D26" s="56">
        <v>164</v>
      </c>
      <c r="E26" s="56">
        <v>165</v>
      </c>
      <c r="F26" s="56">
        <v>166</v>
      </c>
      <c r="G26" s="56">
        <v>168</v>
      </c>
      <c r="H26" s="56">
        <v>167</v>
      </c>
      <c r="I26" s="56"/>
      <c r="J26" s="56"/>
      <c r="K26" s="56">
        <v>170</v>
      </c>
      <c r="L26" s="56">
        <v>169</v>
      </c>
      <c r="M26" s="56">
        <v>163</v>
      </c>
      <c r="N26" s="56">
        <v>161</v>
      </c>
      <c r="O26" s="56">
        <v>161.5</v>
      </c>
      <c r="P26" s="56"/>
      <c r="Q26" s="56"/>
      <c r="R26" s="56">
        <v>161.5</v>
      </c>
      <c r="S26" s="56">
        <v>160</v>
      </c>
      <c r="T26" s="56">
        <v>163</v>
      </c>
      <c r="U26" s="56">
        <v>164</v>
      </c>
      <c r="V26" s="56">
        <v>164</v>
      </c>
      <c r="W26" s="23"/>
      <c r="X26" s="23"/>
      <c r="Y26" s="56">
        <v>165</v>
      </c>
      <c r="Z26" s="56">
        <v>166</v>
      </c>
      <c r="AA26" s="56">
        <v>167</v>
      </c>
      <c r="AB26" s="56">
        <v>168</v>
      </c>
      <c r="AC26" s="56">
        <v>171</v>
      </c>
      <c r="AD26" s="23"/>
      <c r="AE26" s="23"/>
      <c r="AF26" s="56">
        <v>172</v>
      </c>
      <c r="AG26" s="56">
        <v>172</v>
      </c>
      <c r="AH26" s="56">
        <v>176</v>
      </c>
      <c r="AI26" s="56">
        <v>177.5</v>
      </c>
      <c r="AJ26" s="56">
        <v>180</v>
      </c>
      <c r="AK26" s="23"/>
      <c r="AL26" s="23"/>
      <c r="AM26" s="56">
        <v>183</v>
      </c>
      <c r="AN26" s="56">
        <v>183</v>
      </c>
      <c r="AO26" s="56">
        <v>181</v>
      </c>
      <c r="AP26" s="56">
        <v>180</v>
      </c>
      <c r="AQ26" s="56">
        <v>180</v>
      </c>
      <c r="AR26" s="23"/>
      <c r="AS26" s="23"/>
      <c r="AT26" s="56">
        <v>180</v>
      </c>
      <c r="AU26" s="56">
        <v>177</v>
      </c>
      <c r="AV26" s="56">
        <v>180</v>
      </c>
      <c r="AW26" s="56">
        <v>181</v>
      </c>
      <c r="AX26" s="56">
        <v>179</v>
      </c>
      <c r="AY26" s="23"/>
      <c r="AZ26" s="23"/>
      <c r="BA26" s="56">
        <v>179</v>
      </c>
      <c r="BB26" s="56">
        <v>181</v>
      </c>
      <c r="BC26" s="56">
        <v>181</v>
      </c>
      <c r="BD26" s="56">
        <v>181</v>
      </c>
      <c r="BE26" s="56">
        <v>179</v>
      </c>
      <c r="BF26" s="23"/>
      <c r="BG26" s="23"/>
      <c r="BH26" s="56">
        <v>179</v>
      </c>
      <c r="BI26" s="56">
        <v>179</v>
      </c>
      <c r="BJ26" s="56">
        <v>188</v>
      </c>
      <c r="BK26" s="56">
        <v>188</v>
      </c>
      <c r="BL26" s="56">
        <v>186</v>
      </c>
      <c r="BM26" s="23"/>
      <c r="BN26" s="23"/>
      <c r="BO26" s="56">
        <v>186</v>
      </c>
      <c r="BP26" s="56">
        <v>188</v>
      </c>
      <c r="BQ26" s="56">
        <v>186</v>
      </c>
      <c r="BR26" s="56">
        <v>186</v>
      </c>
      <c r="BS26" s="56">
        <v>186</v>
      </c>
      <c r="BT26" s="23"/>
      <c r="BU26" s="23"/>
      <c r="BV26" s="56">
        <v>186</v>
      </c>
      <c r="BW26" s="56">
        <v>184</v>
      </c>
      <c r="BX26" s="56">
        <v>185</v>
      </c>
      <c r="BY26" s="56">
        <v>185</v>
      </c>
      <c r="BZ26" s="56">
        <v>184</v>
      </c>
      <c r="CA26" s="23"/>
      <c r="CB26" s="23"/>
      <c r="CC26" s="56">
        <v>184</v>
      </c>
      <c r="CD26" s="56">
        <v>183</v>
      </c>
      <c r="CE26" s="56">
        <v>180</v>
      </c>
      <c r="CF26" s="56">
        <v>178</v>
      </c>
      <c r="CG26" s="56">
        <v>175</v>
      </c>
      <c r="CH26" s="23"/>
      <c r="CI26" s="23"/>
      <c r="CJ26" s="56">
        <v>175</v>
      </c>
      <c r="CK26" s="56">
        <v>170</v>
      </c>
      <c r="CL26" s="56">
        <v>171</v>
      </c>
      <c r="CM26" s="56">
        <v>166</v>
      </c>
      <c r="CN26" s="56">
        <v>158</v>
      </c>
      <c r="CO26" s="23"/>
      <c r="CP26" s="23"/>
      <c r="CQ26" s="56">
        <v>160</v>
      </c>
      <c r="CR26" s="56">
        <v>163</v>
      </c>
      <c r="CS26" s="56">
        <v>163</v>
      </c>
      <c r="CT26" s="56">
        <v>165</v>
      </c>
      <c r="CU26" s="56">
        <v>168</v>
      </c>
      <c r="CV26" s="23"/>
      <c r="CW26" s="23"/>
      <c r="CX26" s="56">
        <v>165</v>
      </c>
      <c r="CY26" s="56">
        <v>165</v>
      </c>
      <c r="CZ26" s="56">
        <v>163</v>
      </c>
      <c r="DA26" s="56">
        <v>164</v>
      </c>
      <c r="DB26" s="56">
        <v>164</v>
      </c>
      <c r="DC26" s="23"/>
      <c r="DD26" s="23"/>
      <c r="DE26" s="56">
        <v>166</v>
      </c>
      <c r="DF26" s="56">
        <v>165</v>
      </c>
      <c r="DG26" s="56">
        <v>167</v>
      </c>
      <c r="DH26" s="56">
        <v>167</v>
      </c>
      <c r="DI26" s="56">
        <v>170</v>
      </c>
      <c r="DJ26" s="23"/>
      <c r="DK26" s="23"/>
      <c r="DL26" s="56">
        <v>172</v>
      </c>
      <c r="DM26" s="56">
        <v>175</v>
      </c>
      <c r="DN26" s="56">
        <v>177</v>
      </c>
      <c r="DO26" s="56">
        <v>179</v>
      </c>
      <c r="DP26" s="56">
        <v>175</v>
      </c>
      <c r="DQ26" s="23"/>
      <c r="DR26" s="23"/>
      <c r="DS26" s="56">
        <v>174</v>
      </c>
      <c r="DT26" s="56">
        <v>172</v>
      </c>
      <c r="DU26" s="56">
        <v>172</v>
      </c>
      <c r="DV26" s="56">
        <v>175</v>
      </c>
      <c r="DW26" s="56">
        <v>176</v>
      </c>
      <c r="DX26" s="23"/>
      <c r="DY26" s="23"/>
      <c r="DZ26" s="56">
        <v>173.5</v>
      </c>
      <c r="EA26" s="56">
        <v>174.5</v>
      </c>
      <c r="EB26" s="56">
        <v>175</v>
      </c>
      <c r="EC26" s="56">
        <v>175</v>
      </c>
      <c r="ED26" s="56">
        <v>176</v>
      </c>
      <c r="EE26" s="23"/>
      <c r="EF26" s="23"/>
      <c r="EG26" s="56">
        <v>177</v>
      </c>
      <c r="EH26" s="56">
        <v>176</v>
      </c>
      <c r="EI26" s="56">
        <v>175</v>
      </c>
      <c r="EJ26" s="56">
        <v>175</v>
      </c>
      <c r="EK26" s="56">
        <v>174.5</v>
      </c>
      <c r="EL26" s="23"/>
      <c r="EM26" s="23"/>
      <c r="EN26" s="56">
        <v>172.5</v>
      </c>
      <c r="EO26" s="56">
        <v>172.5</v>
      </c>
      <c r="EP26" s="56">
        <v>172.5</v>
      </c>
      <c r="EQ26" s="56">
        <v>175</v>
      </c>
      <c r="ER26" s="56">
        <v>174</v>
      </c>
      <c r="ES26" s="23"/>
      <c r="ET26" s="23"/>
      <c r="EU26" s="56">
        <v>174</v>
      </c>
      <c r="EV26" s="56">
        <v>174</v>
      </c>
      <c r="EW26" s="56">
        <v>173</v>
      </c>
      <c r="EX26" s="83">
        <v>173</v>
      </c>
      <c r="EY26" s="56">
        <v>173</v>
      </c>
      <c r="EZ26" s="23"/>
      <c r="FA26" s="23"/>
      <c r="FB26" s="56">
        <v>172.5</v>
      </c>
      <c r="FC26" s="56">
        <v>177</v>
      </c>
      <c r="FD26" s="56">
        <v>178.5</v>
      </c>
      <c r="FE26" s="56">
        <v>179</v>
      </c>
      <c r="FF26" s="56">
        <v>179</v>
      </c>
      <c r="FG26" s="23"/>
      <c r="FH26" s="23"/>
      <c r="FI26" s="56">
        <v>178.5</v>
      </c>
      <c r="FJ26" s="56">
        <v>178.5</v>
      </c>
      <c r="FK26" s="56">
        <v>178.5</v>
      </c>
      <c r="FL26" s="56">
        <v>178.5</v>
      </c>
      <c r="FM26" s="56">
        <v>179</v>
      </c>
      <c r="FN26" s="23"/>
      <c r="FO26" s="23"/>
      <c r="FP26" s="56">
        <v>179</v>
      </c>
      <c r="FQ26" s="56">
        <v>177</v>
      </c>
      <c r="FR26" s="56">
        <v>174.5</v>
      </c>
      <c r="FS26" s="56">
        <v>169</v>
      </c>
      <c r="FT26" s="56">
        <v>170</v>
      </c>
      <c r="FU26" s="23"/>
      <c r="FV26" s="23"/>
      <c r="FW26" s="56">
        <v>171</v>
      </c>
      <c r="FX26" s="56">
        <v>174</v>
      </c>
      <c r="FY26" s="56">
        <v>175</v>
      </c>
      <c r="FZ26" s="56">
        <v>176</v>
      </c>
      <c r="GA26" s="56">
        <v>172.5</v>
      </c>
      <c r="GB26" s="23"/>
      <c r="GC26" s="23"/>
      <c r="GD26" s="56">
        <v>172.5</v>
      </c>
      <c r="GE26" s="56">
        <v>164</v>
      </c>
      <c r="GF26" s="56">
        <v>167</v>
      </c>
      <c r="GG26" s="56">
        <v>170</v>
      </c>
      <c r="GH26" s="56">
        <v>170</v>
      </c>
      <c r="GI26" s="23"/>
      <c r="GJ26" s="23"/>
      <c r="GK26" s="56">
        <v>173</v>
      </c>
      <c r="GL26" s="56">
        <v>171</v>
      </c>
      <c r="GM26" s="56">
        <v>170</v>
      </c>
      <c r="GN26" s="56">
        <v>172</v>
      </c>
      <c r="GO26" s="56">
        <v>169</v>
      </c>
      <c r="GP26" s="23"/>
      <c r="GQ26" s="23"/>
      <c r="GR26" s="56">
        <v>171</v>
      </c>
      <c r="GS26" s="56">
        <v>168</v>
      </c>
      <c r="GT26" s="56">
        <v>168</v>
      </c>
      <c r="GU26" s="56">
        <v>168</v>
      </c>
      <c r="GV26" s="56">
        <v>168</v>
      </c>
      <c r="GW26" s="23"/>
      <c r="GX26" s="23"/>
      <c r="GY26" s="56">
        <v>168.5</v>
      </c>
      <c r="GZ26" s="56">
        <v>171</v>
      </c>
      <c r="HA26" s="56">
        <v>172</v>
      </c>
      <c r="HB26" s="56">
        <v>170</v>
      </c>
      <c r="HC26" s="56">
        <v>175</v>
      </c>
      <c r="HD26" s="23"/>
      <c r="HE26" s="23"/>
      <c r="HF26" s="56">
        <v>165</v>
      </c>
      <c r="HG26" s="56">
        <v>165</v>
      </c>
      <c r="HH26" s="56">
        <v>164</v>
      </c>
      <c r="HI26" s="56">
        <v>167</v>
      </c>
      <c r="HJ26" s="56">
        <v>168</v>
      </c>
      <c r="HK26" s="23"/>
      <c r="HL26" s="23"/>
      <c r="HM26" s="56">
        <v>166</v>
      </c>
      <c r="HN26" s="56">
        <v>168</v>
      </c>
      <c r="HO26" s="56">
        <v>167</v>
      </c>
      <c r="HP26" s="56">
        <v>170</v>
      </c>
      <c r="HQ26" s="56">
        <v>168</v>
      </c>
      <c r="HR26" s="23"/>
      <c r="HS26" s="23"/>
      <c r="HT26" s="56">
        <v>165.5</v>
      </c>
      <c r="HU26" s="56">
        <v>165</v>
      </c>
      <c r="HV26" s="56">
        <v>166</v>
      </c>
      <c r="HW26" s="56">
        <v>168</v>
      </c>
      <c r="HX26" s="56">
        <v>168</v>
      </c>
      <c r="HY26" s="23"/>
      <c r="HZ26" s="23"/>
      <c r="IA26" s="56">
        <v>170</v>
      </c>
      <c r="IB26" s="56">
        <v>172</v>
      </c>
      <c r="IC26" s="56">
        <v>171</v>
      </c>
      <c r="ID26" s="56">
        <v>170</v>
      </c>
      <c r="IE26" s="56">
        <v>172</v>
      </c>
      <c r="IF26" s="23"/>
      <c r="IG26" s="23"/>
      <c r="IH26" s="56">
        <v>170</v>
      </c>
      <c r="II26" s="56">
        <v>167</v>
      </c>
      <c r="IJ26" s="56">
        <v>171.5</v>
      </c>
      <c r="IK26" s="56">
        <v>170</v>
      </c>
      <c r="IL26" s="56">
        <v>172</v>
      </c>
      <c r="IM26" s="23"/>
      <c r="IN26" s="23"/>
      <c r="IO26" s="56">
        <v>172</v>
      </c>
      <c r="IP26" s="56">
        <v>171</v>
      </c>
      <c r="IQ26" s="56">
        <v>171</v>
      </c>
      <c r="IR26" s="56">
        <v>167</v>
      </c>
      <c r="IS26" s="56">
        <v>168</v>
      </c>
      <c r="IT26" s="23"/>
      <c r="IU26" s="23"/>
      <c r="IV26" s="56">
        <v>171</v>
      </c>
      <c r="IW26" s="56">
        <v>170</v>
      </c>
      <c r="IX26" s="56">
        <v>170</v>
      </c>
      <c r="IY26" s="56">
        <v>170</v>
      </c>
      <c r="IZ26" s="56">
        <v>171</v>
      </c>
      <c r="JA26" s="23"/>
      <c r="JB26" s="23"/>
      <c r="JC26" s="56">
        <v>169</v>
      </c>
      <c r="JD26" s="56">
        <v>171</v>
      </c>
      <c r="JE26" s="56">
        <v>169</v>
      </c>
      <c r="JF26" s="56">
        <v>169</v>
      </c>
      <c r="JG26" s="56">
        <v>167</v>
      </c>
      <c r="JH26" s="23"/>
      <c r="JI26" s="23"/>
      <c r="JJ26" s="56">
        <v>170</v>
      </c>
      <c r="JK26" s="56">
        <v>170</v>
      </c>
      <c r="JL26" s="56">
        <v>169</v>
      </c>
      <c r="JM26" s="56">
        <v>171</v>
      </c>
      <c r="JN26" s="56">
        <v>169</v>
      </c>
      <c r="JO26" s="23"/>
      <c r="JP26" s="23"/>
      <c r="JQ26" s="56">
        <v>160.5</v>
      </c>
      <c r="JR26" s="56">
        <v>163</v>
      </c>
      <c r="JS26" s="56">
        <v>162.5</v>
      </c>
      <c r="JT26" s="56">
        <v>163</v>
      </c>
      <c r="JU26" s="56">
        <v>164.5</v>
      </c>
      <c r="JV26" s="23"/>
      <c r="JW26" s="23"/>
      <c r="JX26" s="56">
        <v>166</v>
      </c>
      <c r="JY26" s="56">
        <v>169</v>
      </c>
      <c r="JZ26" s="56">
        <v>169</v>
      </c>
      <c r="KA26" s="56">
        <v>172</v>
      </c>
      <c r="KB26" s="56">
        <v>172</v>
      </c>
      <c r="KC26" s="23"/>
      <c r="KD26" s="23"/>
      <c r="KE26" s="56">
        <v>172</v>
      </c>
      <c r="KF26" s="56">
        <v>170</v>
      </c>
      <c r="KG26" s="56">
        <v>167</v>
      </c>
      <c r="KH26" s="56">
        <v>168.5</v>
      </c>
      <c r="KI26" s="56">
        <v>168.5</v>
      </c>
      <c r="KJ26" s="23"/>
      <c r="KK26" s="23"/>
      <c r="KL26" s="56">
        <v>171</v>
      </c>
      <c r="KM26" s="56">
        <v>178</v>
      </c>
      <c r="KN26" s="56">
        <v>173</v>
      </c>
      <c r="KO26" s="56">
        <v>172.5</v>
      </c>
      <c r="KP26" s="56">
        <v>172.5</v>
      </c>
      <c r="KQ26" s="23"/>
      <c r="KR26" s="23"/>
      <c r="KS26" s="56">
        <v>171.5</v>
      </c>
      <c r="KT26" s="56">
        <v>173</v>
      </c>
      <c r="KU26" s="56">
        <v>173</v>
      </c>
      <c r="KV26" s="56">
        <v>172</v>
      </c>
      <c r="KW26" s="56">
        <v>170</v>
      </c>
      <c r="KX26" s="23"/>
      <c r="KY26" s="23"/>
      <c r="KZ26" s="56">
        <v>171</v>
      </c>
      <c r="LA26" s="56">
        <v>172.5</v>
      </c>
      <c r="LB26" s="56">
        <v>173</v>
      </c>
      <c r="LC26" s="56">
        <v>174</v>
      </c>
      <c r="LD26" s="56">
        <v>174</v>
      </c>
      <c r="LE26" s="23"/>
      <c r="LF26" s="23"/>
      <c r="LG26" s="56">
        <v>172</v>
      </c>
      <c r="LH26" s="56">
        <v>172</v>
      </c>
      <c r="LI26" s="56">
        <v>171</v>
      </c>
      <c r="LJ26" s="71">
        <v>172</v>
      </c>
      <c r="LK26" s="56">
        <v>170</v>
      </c>
      <c r="LL26" s="23"/>
      <c r="LM26" s="23"/>
      <c r="LN26" s="56">
        <v>167</v>
      </c>
      <c r="LO26" s="56">
        <v>167</v>
      </c>
      <c r="LP26" s="56">
        <v>170</v>
      </c>
      <c r="LQ26" s="56">
        <v>170</v>
      </c>
      <c r="LR26" s="56">
        <v>171</v>
      </c>
      <c r="LS26" s="23"/>
      <c r="LT26" s="23"/>
      <c r="LU26" s="56">
        <v>171</v>
      </c>
      <c r="LV26" s="56">
        <v>169</v>
      </c>
      <c r="LW26" s="56">
        <v>168.5</v>
      </c>
      <c r="LX26" s="56">
        <v>165</v>
      </c>
      <c r="LY26" s="56">
        <v>167</v>
      </c>
      <c r="LZ26" s="23"/>
      <c r="MA26" s="23"/>
      <c r="MB26" s="56">
        <v>165</v>
      </c>
      <c r="MC26" s="56">
        <v>167</v>
      </c>
      <c r="MD26" s="56">
        <v>167</v>
      </c>
      <c r="ME26" s="56">
        <v>167</v>
      </c>
      <c r="MF26" s="56">
        <v>168</v>
      </c>
      <c r="MG26" s="23"/>
      <c r="MH26" s="23"/>
      <c r="MI26" s="56">
        <v>168</v>
      </c>
      <c r="MJ26" s="56">
        <v>168</v>
      </c>
      <c r="MK26" s="56">
        <v>167</v>
      </c>
      <c r="ML26" s="56">
        <v>170</v>
      </c>
      <c r="MM26" s="56">
        <v>167</v>
      </c>
      <c r="MN26" s="23"/>
      <c r="MO26" s="23"/>
      <c r="MP26" s="56">
        <v>166</v>
      </c>
      <c r="MQ26" s="56">
        <v>164</v>
      </c>
      <c r="MR26" s="56">
        <v>164</v>
      </c>
      <c r="MS26" s="56">
        <v>163</v>
      </c>
      <c r="MT26" s="56">
        <v>160</v>
      </c>
      <c r="MU26" s="23"/>
      <c r="MV26" s="23"/>
      <c r="MW26" s="56">
        <v>161</v>
      </c>
      <c r="MX26" s="56">
        <v>166</v>
      </c>
      <c r="MY26" s="56">
        <v>166</v>
      </c>
      <c r="MZ26" s="56">
        <v>165</v>
      </c>
      <c r="NA26" s="56">
        <v>165</v>
      </c>
      <c r="NB26" s="23"/>
    </row>
    <row r="27" spans="1:367" s="5" customFormat="1" x14ac:dyDescent="0.25">
      <c r="A27" s="40" t="s">
        <v>90</v>
      </c>
      <c r="B27" s="59"/>
      <c r="C27" s="59"/>
      <c r="D27" s="82">
        <v>2420</v>
      </c>
      <c r="E27" s="82">
        <v>2420</v>
      </c>
      <c r="F27" s="82">
        <v>2420</v>
      </c>
      <c r="G27" s="82">
        <v>2420</v>
      </c>
      <c r="H27" s="82">
        <v>2530</v>
      </c>
      <c r="I27" s="59"/>
      <c r="J27" s="59"/>
      <c r="K27" s="82">
        <v>2580</v>
      </c>
      <c r="L27" s="82">
        <v>2580</v>
      </c>
      <c r="M27" s="82">
        <v>2580</v>
      </c>
      <c r="N27" s="82">
        <v>2580</v>
      </c>
      <c r="O27" s="72">
        <v>2550</v>
      </c>
      <c r="P27" s="59"/>
      <c r="Q27" s="59"/>
      <c r="R27" s="72">
        <v>2540</v>
      </c>
      <c r="S27" s="72">
        <v>2550</v>
      </c>
      <c r="T27" s="72">
        <v>2550</v>
      </c>
      <c r="U27" s="72">
        <v>2550</v>
      </c>
      <c r="V27" s="82">
        <v>2600</v>
      </c>
      <c r="W27" s="72"/>
      <c r="X27" s="41"/>
      <c r="Y27" s="82">
        <v>2600</v>
      </c>
      <c r="Z27" s="82">
        <v>2620</v>
      </c>
      <c r="AA27" s="72">
        <v>2600</v>
      </c>
      <c r="AB27" s="82">
        <v>2600</v>
      </c>
      <c r="AC27" s="82">
        <v>2600</v>
      </c>
      <c r="AD27" s="72"/>
      <c r="AE27" s="41"/>
      <c r="AF27" s="82">
        <v>2540</v>
      </c>
      <c r="AG27" s="82">
        <v>2670</v>
      </c>
      <c r="AH27" s="82">
        <v>2740</v>
      </c>
      <c r="AI27" s="82">
        <v>2740</v>
      </c>
      <c r="AJ27" s="82">
        <v>2800</v>
      </c>
      <c r="AK27" s="72"/>
      <c r="AL27" s="72"/>
      <c r="AM27" s="82">
        <v>2800</v>
      </c>
      <c r="AN27" s="82">
        <v>2800</v>
      </c>
      <c r="AO27" s="82">
        <v>2780</v>
      </c>
      <c r="AP27" s="82">
        <v>2870</v>
      </c>
      <c r="AQ27" s="82">
        <v>2870</v>
      </c>
      <c r="AR27" s="72"/>
      <c r="AS27" s="72"/>
      <c r="AT27" s="82">
        <v>2930</v>
      </c>
      <c r="AU27" s="82">
        <v>2930</v>
      </c>
      <c r="AV27" s="82">
        <v>2930</v>
      </c>
      <c r="AW27" s="82">
        <v>2880</v>
      </c>
      <c r="AX27" s="82">
        <v>2880</v>
      </c>
      <c r="AY27" s="72"/>
      <c r="AZ27" s="72"/>
      <c r="BA27" s="82">
        <v>2540</v>
      </c>
      <c r="BB27" s="82">
        <v>2540</v>
      </c>
      <c r="BC27" s="82">
        <v>2540</v>
      </c>
      <c r="BD27" s="82">
        <v>2970</v>
      </c>
      <c r="BE27" s="82">
        <v>2900</v>
      </c>
      <c r="BF27" s="72"/>
      <c r="BG27" s="72"/>
      <c r="BH27" s="82">
        <v>2900</v>
      </c>
      <c r="BI27" s="82">
        <v>2900</v>
      </c>
      <c r="BJ27" s="82">
        <v>2900</v>
      </c>
      <c r="BK27" s="82">
        <v>2880</v>
      </c>
      <c r="BL27" s="82">
        <v>2880</v>
      </c>
      <c r="BM27" s="72"/>
      <c r="BN27" s="72"/>
      <c r="BO27" s="82">
        <v>2880</v>
      </c>
      <c r="BP27" s="82">
        <v>2850</v>
      </c>
      <c r="BQ27" s="82">
        <v>2850</v>
      </c>
      <c r="BR27" s="82">
        <v>2850</v>
      </c>
      <c r="BS27" s="82">
        <v>2900</v>
      </c>
      <c r="BT27" s="72"/>
      <c r="BU27" s="72"/>
      <c r="BV27" s="82">
        <v>2900</v>
      </c>
      <c r="BW27" s="82">
        <v>2930</v>
      </c>
      <c r="BX27" s="82">
        <v>2950</v>
      </c>
      <c r="BY27" s="82">
        <v>2950</v>
      </c>
      <c r="BZ27" s="82">
        <v>2950</v>
      </c>
      <c r="CA27" s="72"/>
      <c r="CB27" s="80"/>
      <c r="CC27" s="82">
        <v>2860</v>
      </c>
      <c r="CD27" s="82">
        <v>2860</v>
      </c>
      <c r="CE27" s="82">
        <v>2830</v>
      </c>
      <c r="CF27" s="72">
        <v>2760</v>
      </c>
      <c r="CG27" s="82">
        <v>2760</v>
      </c>
      <c r="CH27" s="82"/>
      <c r="CI27" s="41"/>
      <c r="CJ27" s="82">
        <v>2720</v>
      </c>
      <c r="CK27" s="82">
        <v>2700</v>
      </c>
      <c r="CL27" s="82">
        <v>2700</v>
      </c>
      <c r="CM27" s="82">
        <v>2700</v>
      </c>
      <c r="CN27" s="72">
        <v>2600</v>
      </c>
      <c r="CO27" s="82"/>
      <c r="CP27" s="41"/>
      <c r="CQ27" s="82">
        <v>2550</v>
      </c>
      <c r="CR27" s="82">
        <v>2550</v>
      </c>
      <c r="CS27" s="82">
        <v>2500</v>
      </c>
      <c r="CT27" s="82">
        <v>2490</v>
      </c>
      <c r="CU27" s="82">
        <v>2490</v>
      </c>
      <c r="CV27" s="82"/>
      <c r="CW27" s="80"/>
      <c r="CX27" s="82">
        <v>2450</v>
      </c>
      <c r="CY27" s="82">
        <v>2450</v>
      </c>
      <c r="CZ27" s="72">
        <v>2450</v>
      </c>
      <c r="DA27" s="82">
        <v>2450</v>
      </c>
      <c r="DB27" s="82">
        <v>2450</v>
      </c>
      <c r="DC27" s="82"/>
      <c r="DD27" s="80"/>
      <c r="DE27" s="82">
        <v>2450</v>
      </c>
      <c r="DF27" s="82">
        <v>2450</v>
      </c>
      <c r="DG27" s="82">
        <v>2450</v>
      </c>
      <c r="DH27" s="82">
        <v>2450</v>
      </c>
      <c r="DI27" s="82">
        <v>2450</v>
      </c>
      <c r="DJ27" s="82"/>
      <c r="DK27" s="41"/>
      <c r="DL27" s="82">
        <v>2450</v>
      </c>
      <c r="DM27" s="82">
        <v>2450</v>
      </c>
      <c r="DN27" s="82">
        <v>2450</v>
      </c>
      <c r="DO27" s="82">
        <v>2500</v>
      </c>
      <c r="DP27" s="82">
        <v>2450</v>
      </c>
      <c r="DQ27" s="82"/>
      <c r="DR27" s="41"/>
      <c r="DS27" s="82">
        <v>2430</v>
      </c>
      <c r="DT27" s="82">
        <v>2430</v>
      </c>
      <c r="DU27" s="82">
        <v>2430</v>
      </c>
      <c r="DV27" s="82">
        <v>2430</v>
      </c>
      <c r="DW27" s="82">
        <v>2430</v>
      </c>
      <c r="DX27" s="82"/>
      <c r="DY27" s="41"/>
      <c r="DZ27" s="82">
        <v>2330</v>
      </c>
      <c r="EA27" s="82">
        <v>2330</v>
      </c>
      <c r="EB27" s="82">
        <v>2330</v>
      </c>
      <c r="EC27" s="82">
        <v>2300</v>
      </c>
      <c r="ED27" s="82">
        <v>2300</v>
      </c>
      <c r="EE27" s="82"/>
      <c r="EF27" s="41"/>
      <c r="EG27" s="82">
        <v>2300</v>
      </c>
      <c r="EH27" s="82">
        <v>2300</v>
      </c>
      <c r="EI27" s="82">
        <v>2300</v>
      </c>
      <c r="EJ27" s="82">
        <v>2300</v>
      </c>
      <c r="EK27" s="82">
        <v>2300</v>
      </c>
      <c r="EL27" s="82"/>
      <c r="EM27" s="41"/>
      <c r="EN27" s="82">
        <v>2300</v>
      </c>
      <c r="EO27" s="82">
        <v>2300</v>
      </c>
      <c r="EP27" s="82">
        <v>2270</v>
      </c>
      <c r="EQ27" s="82">
        <v>2270</v>
      </c>
      <c r="ER27" s="82">
        <v>2270</v>
      </c>
      <c r="ES27" s="82"/>
      <c r="ET27" s="41"/>
      <c r="EU27" s="82">
        <v>2300</v>
      </c>
      <c r="EV27" s="82">
        <v>2300</v>
      </c>
      <c r="EW27" s="82">
        <v>2280</v>
      </c>
      <c r="EX27" s="82">
        <v>2280</v>
      </c>
      <c r="EY27" s="82">
        <v>2280</v>
      </c>
      <c r="EZ27" s="82"/>
      <c r="FA27" s="41"/>
      <c r="FB27" s="82">
        <v>2280</v>
      </c>
      <c r="FC27" s="82">
        <v>2280</v>
      </c>
      <c r="FD27" s="82">
        <v>2280</v>
      </c>
      <c r="FE27" s="82">
        <v>2380</v>
      </c>
      <c r="FF27" s="82">
        <v>2400</v>
      </c>
      <c r="FG27" s="82"/>
      <c r="FH27" s="41"/>
      <c r="FI27" s="82">
        <v>2400</v>
      </c>
      <c r="FJ27" s="82">
        <v>2400</v>
      </c>
      <c r="FK27" s="82">
        <v>2400</v>
      </c>
      <c r="FL27" s="82">
        <v>2400</v>
      </c>
      <c r="FM27" s="82">
        <v>2400</v>
      </c>
      <c r="FN27" s="82"/>
      <c r="FO27" s="41"/>
      <c r="FP27" s="82">
        <v>2400</v>
      </c>
      <c r="FQ27" s="82">
        <v>2400</v>
      </c>
      <c r="FR27" s="82">
        <v>2400</v>
      </c>
      <c r="FS27" s="82">
        <v>2400</v>
      </c>
      <c r="FT27" s="82">
        <v>2400</v>
      </c>
      <c r="FU27" s="82"/>
      <c r="FV27" s="41"/>
      <c r="FW27" s="82">
        <v>2400</v>
      </c>
      <c r="FX27" s="82">
        <v>2400</v>
      </c>
      <c r="FY27" s="82">
        <v>2400</v>
      </c>
      <c r="FZ27" s="82">
        <v>2400</v>
      </c>
      <c r="GA27" s="82">
        <v>2400</v>
      </c>
      <c r="GB27" s="82"/>
      <c r="GC27" s="41"/>
      <c r="GD27" s="82">
        <v>2530</v>
      </c>
      <c r="GE27" s="82">
        <v>2530</v>
      </c>
      <c r="GF27" s="72">
        <v>2570</v>
      </c>
      <c r="GG27" s="72">
        <v>2570</v>
      </c>
      <c r="GH27" s="72">
        <v>2610</v>
      </c>
      <c r="GI27" s="82"/>
      <c r="GJ27" s="41"/>
      <c r="GK27" s="72">
        <v>2610</v>
      </c>
      <c r="GL27" s="72">
        <v>2620</v>
      </c>
      <c r="GM27" s="72">
        <v>2650</v>
      </c>
      <c r="GN27" s="72">
        <v>2670</v>
      </c>
      <c r="GO27" s="72">
        <v>2670</v>
      </c>
      <c r="GP27" s="82"/>
      <c r="GQ27" s="41"/>
      <c r="GR27" s="72">
        <v>2660</v>
      </c>
      <c r="GS27" s="72">
        <v>2660</v>
      </c>
      <c r="GT27" s="72">
        <v>2660</v>
      </c>
      <c r="GU27" s="72">
        <v>2590</v>
      </c>
      <c r="GV27" s="72">
        <v>2590</v>
      </c>
      <c r="GW27" s="82"/>
      <c r="GX27" s="41"/>
      <c r="GY27" s="72">
        <v>2600</v>
      </c>
      <c r="GZ27" s="72">
        <v>2640</v>
      </c>
      <c r="HA27" s="72">
        <v>2640</v>
      </c>
      <c r="HB27" s="72">
        <v>2680</v>
      </c>
      <c r="HC27" s="72">
        <v>2680</v>
      </c>
      <c r="HD27" s="82"/>
      <c r="HE27" s="41"/>
      <c r="HF27" s="72">
        <v>2660</v>
      </c>
      <c r="HG27" s="72">
        <v>2660</v>
      </c>
      <c r="HH27" s="72">
        <v>2620</v>
      </c>
      <c r="HI27" s="72">
        <v>2620</v>
      </c>
      <c r="HJ27" s="72">
        <v>2620</v>
      </c>
      <c r="HK27" s="82"/>
      <c r="HL27" s="41"/>
      <c r="HM27" s="72">
        <v>2630</v>
      </c>
      <c r="HN27" s="72">
        <v>2630</v>
      </c>
      <c r="HO27" s="72">
        <v>2650</v>
      </c>
      <c r="HP27" s="72">
        <v>2650</v>
      </c>
      <c r="HQ27" s="72">
        <v>2650</v>
      </c>
      <c r="HR27" s="82"/>
      <c r="HS27" s="41"/>
      <c r="HT27" s="72">
        <v>2630</v>
      </c>
      <c r="HU27" s="72">
        <v>2590</v>
      </c>
      <c r="HV27" s="72">
        <v>2590</v>
      </c>
      <c r="HW27" s="72">
        <v>2590</v>
      </c>
      <c r="HX27" s="72">
        <v>2620</v>
      </c>
      <c r="HY27" s="82"/>
      <c r="HZ27" s="41"/>
      <c r="IA27" s="72">
        <v>2620</v>
      </c>
      <c r="IB27" s="72">
        <v>2630</v>
      </c>
      <c r="IC27" s="72">
        <v>2670</v>
      </c>
      <c r="ID27" s="72">
        <v>2630</v>
      </c>
      <c r="IE27" s="72">
        <v>2580</v>
      </c>
      <c r="IF27" s="82"/>
      <c r="IG27" s="41"/>
      <c r="IH27" s="72">
        <v>2570</v>
      </c>
      <c r="II27" s="72">
        <v>2550</v>
      </c>
      <c r="IJ27" s="72">
        <v>2550</v>
      </c>
      <c r="IK27" s="72">
        <v>2550</v>
      </c>
      <c r="IL27" s="72">
        <v>2550</v>
      </c>
      <c r="IM27" s="82"/>
      <c r="IN27" s="72"/>
      <c r="IO27" s="72">
        <v>2550</v>
      </c>
      <c r="IP27" s="72">
        <v>2500</v>
      </c>
      <c r="IQ27" s="72">
        <v>2500</v>
      </c>
      <c r="IR27" s="72">
        <v>2500</v>
      </c>
      <c r="IS27" s="72">
        <v>2490</v>
      </c>
      <c r="IT27" s="82"/>
      <c r="IU27" s="41"/>
      <c r="IV27" s="72">
        <v>2600</v>
      </c>
      <c r="IW27" s="72">
        <v>2600</v>
      </c>
      <c r="IX27" s="72">
        <v>2600</v>
      </c>
      <c r="IY27" s="72">
        <v>2600</v>
      </c>
      <c r="IZ27" s="72">
        <v>2610</v>
      </c>
      <c r="JA27" s="82"/>
      <c r="JB27" s="41"/>
      <c r="JC27" s="72">
        <v>2620</v>
      </c>
      <c r="JD27" s="72">
        <v>2620</v>
      </c>
      <c r="JE27" s="72">
        <v>2640</v>
      </c>
      <c r="JF27" s="72">
        <v>2640</v>
      </c>
      <c r="JG27" s="72">
        <v>2640</v>
      </c>
      <c r="JH27" s="82"/>
      <c r="JI27" s="41"/>
      <c r="JJ27" s="72">
        <v>2670</v>
      </c>
      <c r="JK27" s="72">
        <v>2700</v>
      </c>
      <c r="JL27" s="72">
        <v>2720</v>
      </c>
      <c r="JM27" s="72">
        <v>2740</v>
      </c>
      <c r="JN27" s="72">
        <v>2740</v>
      </c>
      <c r="JO27" s="72"/>
      <c r="JP27" s="80"/>
      <c r="JQ27" s="72">
        <v>2700</v>
      </c>
      <c r="JR27" s="72">
        <v>2680</v>
      </c>
      <c r="JS27" s="72">
        <v>2650</v>
      </c>
      <c r="JT27" s="72">
        <v>2640</v>
      </c>
      <c r="JU27" s="72">
        <v>2660</v>
      </c>
      <c r="JV27" s="82"/>
      <c r="JW27" s="41"/>
      <c r="JX27" s="72">
        <v>2660</v>
      </c>
      <c r="JY27" s="72">
        <v>2650</v>
      </c>
      <c r="JZ27" s="72">
        <v>2650</v>
      </c>
      <c r="KA27" s="72">
        <v>2760</v>
      </c>
      <c r="KB27" s="72">
        <v>2760</v>
      </c>
      <c r="KC27" s="82"/>
      <c r="KD27" s="41"/>
      <c r="KE27" s="72">
        <v>2700</v>
      </c>
      <c r="KF27" s="72">
        <v>2700</v>
      </c>
      <c r="KG27" s="72">
        <v>2700</v>
      </c>
      <c r="KH27" s="72">
        <v>2700</v>
      </c>
      <c r="KI27" s="72">
        <v>2690</v>
      </c>
      <c r="KJ27" s="82"/>
      <c r="KK27" s="41"/>
      <c r="KL27" s="72">
        <v>2700</v>
      </c>
      <c r="KM27" s="72">
        <v>2700</v>
      </c>
      <c r="KN27" s="72">
        <v>2700</v>
      </c>
      <c r="KO27" s="72">
        <v>2700</v>
      </c>
      <c r="KP27" s="72">
        <v>2700</v>
      </c>
      <c r="KQ27" s="82"/>
      <c r="KR27" s="72"/>
      <c r="KS27" s="72">
        <v>2700</v>
      </c>
      <c r="KT27" s="72">
        <v>2700</v>
      </c>
      <c r="KU27" s="72">
        <v>2700</v>
      </c>
      <c r="KV27" s="72">
        <v>2700</v>
      </c>
      <c r="KW27" s="72">
        <v>2670</v>
      </c>
      <c r="KX27" s="72"/>
      <c r="KY27" s="72"/>
      <c r="KZ27" s="72">
        <v>2670</v>
      </c>
      <c r="LA27" s="72">
        <v>2670</v>
      </c>
      <c r="LB27" s="72">
        <v>2670</v>
      </c>
      <c r="LC27" s="72">
        <v>2700</v>
      </c>
      <c r="LD27" s="72">
        <v>2650</v>
      </c>
      <c r="LE27" s="72"/>
      <c r="LF27" s="72"/>
      <c r="LG27" s="72">
        <v>2650</v>
      </c>
      <c r="LH27" s="72">
        <v>2650</v>
      </c>
      <c r="LI27" s="72">
        <v>2650</v>
      </c>
      <c r="LJ27" s="72">
        <v>2600</v>
      </c>
      <c r="LK27" s="72">
        <v>2550</v>
      </c>
      <c r="LL27" s="82"/>
      <c r="LM27" s="41"/>
      <c r="LN27" s="72">
        <v>2550</v>
      </c>
      <c r="LO27" s="72">
        <v>2550</v>
      </c>
      <c r="LP27" s="72">
        <v>2560</v>
      </c>
      <c r="LQ27" s="72">
        <v>2560</v>
      </c>
      <c r="LR27" s="72">
        <v>2570</v>
      </c>
      <c r="LS27" s="82"/>
      <c r="LT27" s="72"/>
      <c r="LU27" s="72">
        <v>2560</v>
      </c>
      <c r="LV27" s="72">
        <v>2560</v>
      </c>
      <c r="LW27" s="72">
        <v>2560</v>
      </c>
      <c r="LX27" s="72">
        <v>2560</v>
      </c>
      <c r="LY27" s="72">
        <v>2560</v>
      </c>
      <c r="LZ27" s="82"/>
      <c r="MA27" s="41"/>
      <c r="MB27" s="72">
        <v>2550</v>
      </c>
      <c r="MC27" s="72">
        <v>2650</v>
      </c>
      <c r="MD27" s="72">
        <v>2750</v>
      </c>
      <c r="ME27" s="72">
        <v>2800</v>
      </c>
      <c r="MF27" s="72">
        <v>2780</v>
      </c>
      <c r="MG27" s="82"/>
      <c r="MH27" s="41"/>
      <c r="MI27" s="72">
        <v>2780</v>
      </c>
      <c r="MJ27" s="72">
        <v>2780</v>
      </c>
      <c r="MK27" s="72">
        <v>2780</v>
      </c>
      <c r="ML27" s="72">
        <v>2800</v>
      </c>
      <c r="MM27" s="72">
        <v>2800</v>
      </c>
      <c r="MN27" s="82"/>
      <c r="MO27" s="41"/>
      <c r="MP27" s="72">
        <v>2790</v>
      </c>
      <c r="MQ27" s="72">
        <v>2770</v>
      </c>
      <c r="MR27" s="72">
        <v>2750</v>
      </c>
      <c r="MS27" s="72">
        <v>2720</v>
      </c>
      <c r="MT27" s="72">
        <v>2720</v>
      </c>
      <c r="MU27" s="80"/>
      <c r="MV27" s="72"/>
      <c r="MW27" s="72">
        <v>2720</v>
      </c>
      <c r="MX27" s="72">
        <v>2770</v>
      </c>
      <c r="MY27" s="72">
        <v>2750</v>
      </c>
      <c r="MZ27" s="72">
        <v>2770</v>
      </c>
      <c r="NA27" s="72">
        <v>2770</v>
      </c>
      <c r="NB27" s="80">
        <f>'[1]preço mercado'!$B$26</f>
        <v>2770</v>
      </c>
      <c r="NC27" s="80"/>
    </row>
    <row r="28" spans="1:367" s="69" customFormat="1" x14ac:dyDescent="0.25">
      <c r="A28" s="25" t="s">
        <v>101</v>
      </c>
      <c r="B28" s="56"/>
      <c r="C28" s="56"/>
      <c r="D28" s="83">
        <v>7300</v>
      </c>
      <c r="E28" s="83">
        <v>7300</v>
      </c>
      <c r="F28" s="83">
        <v>7300</v>
      </c>
      <c r="G28" s="83">
        <v>7300</v>
      </c>
      <c r="H28" s="83">
        <v>7750</v>
      </c>
      <c r="I28" s="56"/>
      <c r="J28" s="56"/>
      <c r="K28" s="83">
        <v>7750</v>
      </c>
      <c r="L28" s="83">
        <v>7750</v>
      </c>
      <c r="M28" s="83">
        <v>7750</v>
      </c>
      <c r="N28" s="83">
        <v>7750</v>
      </c>
      <c r="O28" s="71">
        <v>7650</v>
      </c>
      <c r="P28" s="56"/>
      <c r="Q28" s="56"/>
      <c r="R28" s="71">
        <v>7650</v>
      </c>
      <c r="S28" s="71">
        <v>7650</v>
      </c>
      <c r="T28" s="71">
        <v>7650</v>
      </c>
      <c r="U28" s="71">
        <v>7650</v>
      </c>
      <c r="V28" s="83">
        <v>7650</v>
      </c>
      <c r="W28" s="71"/>
      <c r="X28" s="23"/>
      <c r="Y28" s="83">
        <v>7650</v>
      </c>
      <c r="Z28" s="83">
        <v>7650</v>
      </c>
      <c r="AA28" s="71">
        <v>7700</v>
      </c>
      <c r="AB28" s="83">
        <v>7700</v>
      </c>
      <c r="AC28" s="83">
        <v>7700</v>
      </c>
      <c r="AD28" s="71"/>
      <c r="AE28" s="23"/>
      <c r="AF28" s="83">
        <v>7650</v>
      </c>
      <c r="AG28" s="83">
        <v>7750</v>
      </c>
      <c r="AH28" s="83">
        <v>7800</v>
      </c>
      <c r="AI28" s="83">
        <v>7800</v>
      </c>
      <c r="AJ28" s="83">
        <v>7800</v>
      </c>
      <c r="AK28" s="71"/>
      <c r="AL28" s="71"/>
      <c r="AM28" s="83">
        <v>7800</v>
      </c>
      <c r="AN28" s="83">
        <v>7800</v>
      </c>
      <c r="AO28" s="83">
        <v>7700</v>
      </c>
      <c r="AP28" s="83">
        <v>7800</v>
      </c>
      <c r="AQ28" s="83">
        <v>7800</v>
      </c>
      <c r="AR28" s="71"/>
      <c r="AS28" s="71"/>
      <c r="AT28" s="83">
        <v>7800</v>
      </c>
      <c r="AU28" s="83">
        <v>7800</v>
      </c>
      <c r="AV28" s="83">
        <v>7800</v>
      </c>
      <c r="AW28" s="83">
        <v>8450</v>
      </c>
      <c r="AX28" s="83">
        <v>8450</v>
      </c>
      <c r="AY28" s="71"/>
      <c r="AZ28" s="71"/>
      <c r="BA28" s="83">
        <v>7650</v>
      </c>
      <c r="BB28" s="83">
        <v>7650</v>
      </c>
      <c r="BC28" s="83">
        <v>7650</v>
      </c>
      <c r="BD28" s="83">
        <v>8550</v>
      </c>
      <c r="BE28" s="83">
        <v>8550</v>
      </c>
      <c r="BF28" s="71"/>
      <c r="BG28" s="71"/>
      <c r="BH28" s="83">
        <v>8550</v>
      </c>
      <c r="BI28" s="83">
        <v>8550</v>
      </c>
      <c r="BJ28" s="83">
        <v>8550</v>
      </c>
      <c r="BK28" s="83">
        <v>8900</v>
      </c>
      <c r="BL28" s="83">
        <v>8900</v>
      </c>
      <c r="BM28" s="71"/>
      <c r="BN28" s="71"/>
      <c r="BO28" s="83">
        <v>8900</v>
      </c>
      <c r="BP28" s="83">
        <v>9000</v>
      </c>
      <c r="BQ28" s="83">
        <v>9000</v>
      </c>
      <c r="BR28" s="83">
        <v>9000</v>
      </c>
      <c r="BS28" s="83">
        <v>9000</v>
      </c>
      <c r="BT28" s="71"/>
      <c r="BU28" s="71"/>
      <c r="BV28" s="83">
        <v>8900</v>
      </c>
      <c r="BW28" s="83">
        <v>8900</v>
      </c>
      <c r="BX28" s="83">
        <v>8800</v>
      </c>
      <c r="BY28" s="83">
        <v>8800</v>
      </c>
      <c r="BZ28" s="83">
        <v>8800</v>
      </c>
      <c r="CA28" s="71"/>
      <c r="CB28" s="81"/>
      <c r="CC28" s="83">
        <v>8700</v>
      </c>
      <c r="CD28" s="83">
        <v>8700</v>
      </c>
      <c r="CE28" s="83">
        <v>8500</v>
      </c>
      <c r="CF28" s="71">
        <v>8200</v>
      </c>
      <c r="CG28" s="83">
        <v>8200</v>
      </c>
      <c r="CH28" s="83"/>
      <c r="CI28" s="23"/>
      <c r="CJ28" s="83">
        <v>7900</v>
      </c>
      <c r="CK28" s="83">
        <v>7900</v>
      </c>
      <c r="CL28" s="83">
        <v>7900</v>
      </c>
      <c r="CM28" s="83">
        <v>7900</v>
      </c>
      <c r="CN28" s="71">
        <v>7600</v>
      </c>
      <c r="CO28" s="83"/>
      <c r="CP28" s="23"/>
      <c r="CQ28" s="83">
        <v>7500</v>
      </c>
      <c r="CR28" s="83">
        <v>7500</v>
      </c>
      <c r="CS28" s="83">
        <v>7600</v>
      </c>
      <c r="CT28" s="83">
        <v>7600</v>
      </c>
      <c r="CU28" s="83">
        <v>7600</v>
      </c>
      <c r="CV28" s="83"/>
      <c r="CW28" s="81"/>
      <c r="CX28" s="83">
        <v>7700</v>
      </c>
      <c r="CY28" s="83">
        <v>7700</v>
      </c>
      <c r="CZ28" s="71">
        <v>7700</v>
      </c>
      <c r="DA28" s="83">
        <v>7700</v>
      </c>
      <c r="DB28" s="83">
        <v>7700</v>
      </c>
      <c r="DC28" s="83"/>
      <c r="DD28" s="81"/>
      <c r="DE28" s="83">
        <v>7700</v>
      </c>
      <c r="DF28" s="83">
        <v>8100</v>
      </c>
      <c r="DG28" s="83">
        <v>7700</v>
      </c>
      <c r="DH28" s="83">
        <v>7700</v>
      </c>
      <c r="DI28" s="83">
        <v>8450</v>
      </c>
      <c r="DJ28" s="83"/>
      <c r="DK28" s="23"/>
      <c r="DL28" s="83">
        <v>8450</v>
      </c>
      <c r="DM28" s="83">
        <v>9000</v>
      </c>
      <c r="DN28" s="83">
        <v>9000</v>
      </c>
      <c r="DO28" s="83">
        <v>9150</v>
      </c>
      <c r="DP28" s="83">
        <v>9000</v>
      </c>
      <c r="DQ28" s="83"/>
      <c r="DR28" s="23"/>
      <c r="DS28" s="83">
        <v>9000</v>
      </c>
      <c r="DT28" s="83">
        <v>9000</v>
      </c>
      <c r="DU28" s="83">
        <v>9000</v>
      </c>
      <c r="DV28" s="83">
        <v>9000</v>
      </c>
      <c r="DW28" s="83">
        <v>9000</v>
      </c>
      <c r="DX28" s="83"/>
      <c r="DY28" s="23"/>
      <c r="DZ28" s="83">
        <v>9000</v>
      </c>
      <c r="EA28" s="83">
        <v>9000</v>
      </c>
      <c r="EB28" s="83">
        <v>9000</v>
      </c>
      <c r="EC28" s="83">
        <v>9200</v>
      </c>
      <c r="ED28" s="83">
        <v>9200</v>
      </c>
      <c r="EE28" s="83"/>
      <c r="EF28" s="23"/>
      <c r="EG28" s="83">
        <v>9200</v>
      </c>
      <c r="EH28" s="83">
        <v>9200</v>
      </c>
      <c r="EI28" s="83">
        <v>9200</v>
      </c>
      <c r="EJ28" s="83">
        <v>9100</v>
      </c>
      <c r="EK28" s="83">
        <v>9100</v>
      </c>
      <c r="EL28" s="83"/>
      <c r="EM28" s="23"/>
      <c r="EN28" s="83">
        <v>9000</v>
      </c>
      <c r="EO28" s="83">
        <v>9000</v>
      </c>
      <c r="EP28" s="83">
        <v>8700</v>
      </c>
      <c r="EQ28" s="83">
        <v>8700</v>
      </c>
      <c r="ER28" s="83">
        <v>8700</v>
      </c>
      <c r="ES28" s="83"/>
      <c r="ET28" s="23"/>
      <c r="EU28" s="83">
        <v>8300</v>
      </c>
      <c r="EV28" s="83">
        <v>8350</v>
      </c>
      <c r="EW28" s="83">
        <v>8200</v>
      </c>
      <c r="EX28" s="83">
        <v>8200</v>
      </c>
      <c r="EY28" s="83">
        <v>8200</v>
      </c>
      <c r="EZ28" s="83"/>
      <c r="FA28" s="23"/>
      <c r="FB28" s="83">
        <v>8200</v>
      </c>
      <c r="FC28" s="83">
        <v>8300</v>
      </c>
      <c r="FD28" s="83">
        <v>8300</v>
      </c>
      <c r="FE28" s="83">
        <v>8300</v>
      </c>
      <c r="FF28" s="83">
        <v>8250</v>
      </c>
      <c r="FG28" s="83"/>
      <c r="FH28" s="23"/>
      <c r="FI28" s="83">
        <v>8250</v>
      </c>
      <c r="FJ28" s="83">
        <v>8250</v>
      </c>
      <c r="FK28" s="83">
        <v>8250</v>
      </c>
      <c r="FL28" s="83">
        <v>8250</v>
      </c>
      <c r="FM28" s="83">
        <v>8250</v>
      </c>
      <c r="FN28" s="83"/>
      <c r="FO28" s="23"/>
      <c r="FP28" s="83">
        <v>8250</v>
      </c>
      <c r="FQ28" s="83">
        <v>8250</v>
      </c>
      <c r="FR28" s="83">
        <v>8250</v>
      </c>
      <c r="FS28" s="83">
        <v>8250</v>
      </c>
      <c r="FT28" s="83">
        <v>8250</v>
      </c>
      <c r="FU28" s="83"/>
      <c r="FV28" s="23"/>
      <c r="FW28" s="83">
        <v>8250</v>
      </c>
      <c r="FX28" s="83">
        <v>8250</v>
      </c>
      <c r="FY28" s="83">
        <v>8250</v>
      </c>
      <c r="FZ28" s="83">
        <v>8250</v>
      </c>
      <c r="GA28" s="83">
        <v>8250</v>
      </c>
      <c r="GB28" s="83"/>
      <c r="GC28" s="23"/>
      <c r="GD28" s="83">
        <v>7500</v>
      </c>
      <c r="GE28" s="83">
        <v>7500</v>
      </c>
      <c r="GF28" s="71">
        <v>7100</v>
      </c>
      <c r="GG28" s="71">
        <v>7100</v>
      </c>
      <c r="GH28" s="71">
        <v>7200</v>
      </c>
      <c r="GI28" s="83"/>
      <c r="GJ28" s="23"/>
      <c r="GK28" s="71">
        <v>7200</v>
      </c>
      <c r="GL28" s="71">
        <v>7000</v>
      </c>
      <c r="GM28" s="71">
        <v>6800</v>
      </c>
      <c r="GN28" s="71">
        <v>6800</v>
      </c>
      <c r="GO28" s="71">
        <v>6800</v>
      </c>
      <c r="GP28" s="83"/>
      <c r="GQ28" s="23"/>
      <c r="GR28" s="71">
        <v>6900</v>
      </c>
      <c r="GS28" s="71">
        <v>7000</v>
      </c>
      <c r="GT28" s="71">
        <v>6900</v>
      </c>
      <c r="GU28" s="71">
        <v>6900</v>
      </c>
      <c r="GV28" s="71">
        <v>6900</v>
      </c>
      <c r="GW28" s="83"/>
      <c r="GX28" s="23"/>
      <c r="GY28" s="71">
        <v>6900</v>
      </c>
      <c r="GZ28" s="71">
        <v>7000</v>
      </c>
      <c r="HA28" s="71">
        <v>7000</v>
      </c>
      <c r="HB28" s="71">
        <v>7000</v>
      </c>
      <c r="HC28" s="71">
        <v>7000</v>
      </c>
      <c r="HD28" s="83"/>
      <c r="HE28" s="23"/>
      <c r="HF28" s="71">
        <v>6800</v>
      </c>
      <c r="HG28" s="71">
        <v>6800</v>
      </c>
      <c r="HH28" s="71">
        <v>6800</v>
      </c>
      <c r="HI28" s="71">
        <v>6800</v>
      </c>
      <c r="HJ28" s="71">
        <v>6800</v>
      </c>
      <c r="HK28" s="83"/>
      <c r="HL28" s="23"/>
      <c r="HM28" s="71">
        <v>6800</v>
      </c>
      <c r="HN28" s="71">
        <v>6800</v>
      </c>
      <c r="HO28" s="71">
        <v>6900</v>
      </c>
      <c r="HP28" s="71">
        <v>6900</v>
      </c>
      <c r="HQ28" s="71">
        <v>6900</v>
      </c>
      <c r="HR28" s="83"/>
      <c r="HS28" s="23"/>
      <c r="HT28" s="71">
        <v>6900</v>
      </c>
      <c r="HU28" s="71">
        <v>6900</v>
      </c>
      <c r="HV28" s="71">
        <v>6900</v>
      </c>
      <c r="HW28" s="71">
        <v>6900</v>
      </c>
      <c r="HX28" s="71">
        <v>6900</v>
      </c>
      <c r="HY28" s="83"/>
      <c r="HZ28" s="23"/>
      <c r="IA28" s="71">
        <v>6900</v>
      </c>
      <c r="IB28" s="71">
        <v>6800</v>
      </c>
      <c r="IC28" s="71">
        <v>6800</v>
      </c>
      <c r="ID28" s="71">
        <v>6800</v>
      </c>
      <c r="IE28" s="71">
        <v>6800</v>
      </c>
      <c r="IF28" s="83"/>
      <c r="IG28" s="23"/>
      <c r="IH28" s="71">
        <v>6800</v>
      </c>
      <c r="II28" s="71">
        <v>6700</v>
      </c>
      <c r="IJ28" s="71">
        <v>6800</v>
      </c>
      <c r="IK28" s="71">
        <v>6800</v>
      </c>
      <c r="IL28" s="71">
        <v>6800</v>
      </c>
      <c r="IM28" s="83"/>
      <c r="IN28" s="71"/>
      <c r="IO28" s="71">
        <v>6800</v>
      </c>
      <c r="IP28" s="71">
        <v>6600</v>
      </c>
      <c r="IQ28" s="71">
        <v>6600</v>
      </c>
      <c r="IR28" s="71">
        <v>6500</v>
      </c>
      <c r="IS28" s="71">
        <v>6400</v>
      </c>
      <c r="IT28" s="83"/>
      <c r="IU28" s="23"/>
      <c r="IV28" s="71">
        <v>6500</v>
      </c>
      <c r="IW28" s="71">
        <v>6500</v>
      </c>
      <c r="IX28" s="71">
        <v>6300</v>
      </c>
      <c r="IY28" s="71">
        <v>6300</v>
      </c>
      <c r="IZ28" s="71">
        <v>6300</v>
      </c>
      <c r="JA28" s="83"/>
      <c r="JB28" s="23"/>
      <c r="JC28" s="71">
        <v>6300</v>
      </c>
      <c r="JD28" s="71">
        <v>6300</v>
      </c>
      <c r="JE28" s="71">
        <v>6200</v>
      </c>
      <c r="JF28" s="71">
        <v>6200</v>
      </c>
      <c r="JG28" s="71">
        <v>6000</v>
      </c>
      <c r="JH28" s="83"/>
      <c r="JI28" s="23"/>
      <c r="JJ28" s="71">
        <v>5800</v>
      </c>
      <c r="JK28" s="71">
        <v>5700</v>
      </c>
      <c r="JL28" s="71">
        <v>5700</v>
      </c>
      <c r="JM28" s="71">
        <v>5700</v>
      </c>
      <c r="JN28" s="71">
        <v>5700</v>
      </c>
      <c r="JO28" s="71"/>
      <c r="JP28" s="81"/>
      <c r="JQ28" s="71">
        <v>5800</v>
      </c>
      <c r="JR28" s="71">
        <v>5800</v>
      </c>
      <c r="JS28" s="71">
        <v>5700</v>
      </c>
      <c r="JT28" s="71">
        <v>5800</v>
      </c>
      <c r="JU28" s="71">
        <v>6000</v>
      </c>
      <c r="JV28" s="83"/>
      <c r="JW28" s="23"/>
      <c r="JX28" s="71">
        <v>6000</v>
      </c>
      <c r="JY28" s="71">
        <v>6200</v>
      </c>
      <c r="JZ28" s="71">
        <v>6200</v>
      </c>
      <c r="KA28" s="71">
        <v>6100</v>
      </c>
      <c r="KB28" s="71">
        <v>6100</v>
      </c>
      <c r="KC28" s="83"/>
      <c r="KD28" s="23"/>
      <c r="KE28" s="71">
        <v>6400</v>
      </c>
      <c r="KF28" s="71">
        <v>6400</v>
      </c>
      <c r="KG28" s="71">
        <v>6400</v>
      </c>
      <c r="KH28" s="71">
        <v>6400</v>
      </c>
      <c r="KI28" s="71">
        <v>6300</v>
      </c>
      <c r="KJ28" s="83"/>
      <c r="KK28" s="23"/>
      <c r="KL28" s="71">
        <v>6350</v>
      </c>
      <c r="KM28" s="71">
        <v>6400</v>
      </c>
      <c r="KN28" s="71">
        <v>6600</v>
      </c>
      <c r="KO28" s="71">
        <v>6600</v>
      </c>
      <c r="KP28" s="71">
        <v>6600</v>
      </c>
      <c r="KQ28" s="83"/>
      <c r="KR28" s="71"/>
      <c r="KS28" s="71">
        <v>6700</v>
      </c>
      <c r="KT28" s="71">
        <v>6700</v>
      </c>
      <c r="KU28" s="71">
        <v>6700</v>
      </c>
      <c r="KV28" s="71">
        <v>6700</v>
      </c>
      <c r="KW28" s="71">
        <v>6800</v>
      </c>
      <c r="KX28" s="71"/>
      <c r="KY28" s="71"/>
      <c r="KZ28" s="71">
        <v>6800</v>
      </c>
      <c r="LA28" s="71">
        <v>6800</v>
      </c>
      <c r="LB28" s="71">
        <v>6800</v>
      </c>
      <c r="LC28" s="71">
        <v>6900</v>
      </c>
      <c r="LD28" s="71">
        <v>6800</v>
      </c>
      <c r="LE28" s="71"/>
      <c r="LF28" s="71"/>
      <c r="LG28" s="71">
        <v>6800</v>
      </c>
      <c r="LH28" s="71">
        <v>6800</v>
      </c>
      <c r="LI28" s="71">
        <v>6800</v>
      </c>
      <c r="LJ28" s="71">
        <v>6800</v>
      </c>
      <c r="LK28" s="71">
        <v>6600</v>
      </c>
      <c r="LL28" s="83"/>
      <c r="LM28" s="23"/>
      <c r="LN28" s="71">
        <v>6600</v>
      </c>
      <c r="LO28" s="71">
        <v>6700</v>
      </c>
      <c r="LP28" s="71">
        <v>6700</v>
      </c>
      <c r="LQ28" s="71">
        <v>6700</v>
      </c>
      <c r="LR28" s="71">
        <v>6700</v>
      </c>
      <c r="LS28" s="83"/>
      <c r="LT28" s="71"/>
      <c r="LU28" s="71">
        <v>6800</v>
      </c>
      <c r="LV28" s="71">
        <v>6800</v>
      </c>
      <c r="LW28" s="71">
        <v>6800</v>
      </c>
      <c r="LX28" s="71">
        <v>6800</v>
      </c>
      <c r="LY28" s="71">
        <v>6800</v>
      </c>
      <c r="LZ28" s="83"/>
      <c r="MA28" s="23"/>
      <c r="MB28" s="71">
        <v>6100</v>
      </c>
      <c r="MC28" s="71">
        <v>6000</v>
      </c>
      <c r="MD28" s="71">
        <v>6000</v>
      </c>
      <c r="ME28" s="71">
        <v>6000</v>
      </c>
      <c r="MF28" s="71">
        <v>6000</v>
      </c>
      <c r="MG28" s="83"/>
      <c r="MH28" s="23"/>
      <c r="MI28" s="71">
        <v>6000</v>
      </c>
      <c r="MJ28" s="71">
        <v>6000</v>
      </c>
      <c r="MK28" s="71">
        <v>6100</v>
      </c>
      <c r="ML28" s="71">
        <v>6100</v>
      </c>
      <c r="MM28" s="71">
        <v>6200</v>
      </c>
      <c r="MN28" s="83"/>
      <c r="MO28" s="23"/>
      <c r="MP28" s="71">
        <v>6100</v>
      </c>
      <c r="MQ28" s="71">
        <v>6100</v>
      </c>
      <c r="MR28" s="71">
        <v>6100</v>
      </c>
      <c r="MS28" s="71">
        <v>6150</v>
      </c>
      <c r="MT28" s="71">
        <v>6150</v>
      </c>
      <c r="MU28" s="81"/>
      <c r="MV28" s="71"/>
      <c r="MW28" s="71">
        <v>6150</v>
      </c>
      <c r="MX28" s="71">
        <v>6200</v>
      </c>
      <c r="MY28" s="71">
        <v>6200</v>
      </c>
      <c r="MZ28" s="71">
        <v>6200</v>
      </c>
      <c r="NA28" s="71">
        <v>6200</v>
      </c>
      <c r="NB28" s="81">
        <f>'[1]preço mercado'!$B$28</f>
        <v>6200</v>
      </c>
      <c r="NC28" s="81"/>
    </row>
    <row r="29" spans="1:367" x14ac:dyDescent="0.25">
      <c r="A29" s="42" t="s">
        <v>102</v>
      </c>
      <c r="B29" s="88"/>
      <c r="C29" s="88"/>
      <c r="D29" s="88">
        <f>D28/D20</f>
        <v>1296.3949564908542</v>
      </c>
      <c r="E29" s="88">
        <f>E28/E20</f>
        <v>1285.8904350889554</v>
      </c>
      <c r="F29" s="88">
        <f>F28/F20</f>
        <v>1289.2970681737902</v>
      </c>
      <c r="G29" s="88">
        <f>G28/G20</f>
        <v>1279.8036465638149</v>
      </c>
      <c r="H29" s="88">
        <f>H28/H20</f>
        <v>1365.6387665198238</v>
      </c>
      <c r="I29" s="88"/>
      <c r="J29" s="88"/>
      <c r="K29" s="88">
        <f>K28/K20</f>
        <v>1365.8794501233697</v>
      </c>
      <c r="L29" s="88">
        <f>L28/L20</f>
        <v>1375.3327417923692</v>
      </c>
      <c r="M29" s="88">
        <f>M28/M20</f>
        <v>1393.6342384463226</v>
      </c>
      <c r="N29" s="88">
        <f>N28/N20</f>
        <v>1402.9688631426502</v>
      </c>
      <c r="O29" s="88">
        <f>O28/O20</f>
        <v>1382.213710114552</v>
      </c>
      <c r="P29" s="88"/>
      <c r="Q29" s="88"/>
      <c r="R29" s="88">
        <f>R28/R20</f>
        <v>1389.5195713377532</v>
      </c>
      <c r="S29" s="88">
        <f>S28/S20</f>
        <v>1385.6185473646078</v>
      </c>
      <c r="T29" s="88">
        <f>T28/T20</f>
        <v>1391.5416098226467</v>
      </c>
      <c r="U29" s="88">
        <f>U28/U20</f>
        <v>1412.4033011465392</v>
      </c>
      <c r="V29" s="88">
        <f>V28/V20</f>
        <v>1406.5085493656923</v>
      </c>
      <c r="W29" s="43"/>
      <c r="X29" s="43"/>
      <c r="Y29" s="88">
        <f>Y28/Y20</f>
        <v>1393.3411044732625</v>
      </c>
      <c r="Z29" s="88">
        <f>Z28/Z20</f>
        <v>1391.7188182215107</v>
      </c>
      <c r="AA29" s="88">
        <f>AA28/AA20</f>
        <v>1417.5257731958761</v>
      </c>
      <c r="AB29" s="88">
        <f>AB28/AB20</f>
        <v>1430.9607879576286</v>
      </c>
      <c r="AC29" s="88">
        <f>AC28/AC20</f>
        <v>1427.2474513438369</v>
      </c>
      <c r="AD29" s="43"/>
      <c r="AE29" s="43"/>
      <c r="AF29" s="88">
        <f>AF28/AF20</f>
        <v>1428.0114240913927</v>
      </c>
      <c r="AG29" s="88">
        <f>AG28/AG20</f>
        <v>1467.5250899450862</v>
      </c>
      <c r="AH29" s="88">
        <f>AH28/AH20</f>
        <v>1473.0043623590732</v>
      </c>
      <c r="AI29" s="88">
        <f>AI28/AI20</f>
        <v>1471.0874731243634</v>
      </c>
      <c r="AJ29" s="88">
        <f>AJ28/AJ20</f>
        <v>1463.9639639639638</v>
      </c>
      <c r="AK29" s="43"/>
      <c r="AL29" s="43"/>
      <c r="AM29" s="88">
        <f>AM28/AM20</f>
        <v>1474.1736122923398</v>
      </c>
      <c r="AN29" s="88">
        <f>AN28/AN20</f>
        <v>1480.1882495825112</v>
      </c>
      <c r="AO29" s="88">
        <f>AO28/AO20</f>
        <v>1460.2139118561784</v>
      </c>
      <c r="AP29" s="88">
        <f>AP28/AP20</f>
        <v>1497.1496573830591</v>
      </c>
      <c r="AQ29" s="88">
        <f>AQ28/AQ20</f>
        <v>1500.4616805170822</v>
      </c>
      <c r="AR29" s="43"/>
      <c r="AS29" s="43"/>
      <c r="AT29" s="88">
        <f>AT28/AT20</f>
        <v>1497.0347196898451</v>
      </c>
      <c r="AU29" s="88">
        <f>AU28/AU20</f>
        <v>1503.5275068429778</v>
      </c>
      <c r="AV29" s="88">
        <f>AV28/AV20</f>
        <v>1510.8080886340747</v>
      </c>
      <c r="AW29" s="88">
        <f>AW28/AW20</f>
        <v>1638.8037702183778</v>
      </c>
      <c r="AX29" s="88">
        <f>AX28/AX20</f>
        <v>1646.0504529073733</v>
      </c>
      <c r="AY29" s="43"/>
      <c r="AZ29" s="43"/>
      <c r="BA29" s="88">
        <f>BA28/BA20</f>
        <v>1500.1764913519237</v>
      </c>
      <c r="BB29" s="88">
        <f>BB28/BB20</f>
        <v>1511.5291142241806</v>
      </c>
      <c r="BC29" s="88">
        <f>BC28/BC20</f>
        <v>1525.6975329570612</v>
      </c>
      <c r="BD29" s="88">
        <f>BD28/BD20</f>
        <v>1670.8356132259828</v>
      </c>
      <c r="BE29" s="88">
        <f>BE28/BE20</f>
        <v>1663.6830635118308</v>
      </c>
      <c r="BF29" s="43"/>
      <c r="BG29" s="43"/>
      <c r="BH29" s="88">
        <f>BH28/BH20</f>
        <v>1663.6830635118308</v>
      </c>
      <c r="BI29" s="88">
        <f>BI28/BI20</f>
        <v>1663.6830635118308</v>
      </c>
      <c r="BJ29" s="88">
        <f>BJ28/BJ20</f>
        <v>1665.2383920224368</v>
      </c>
      <c r="BK29" s="88">
        <f>BK28/BK20</f>
        <v>1763.2142008083049</v>
      </c>
      <c r="BL29" s="88">
        <f>BL28/BL20</f>
        <v>1753.5218205102947</v>
      </c>
      <c r="BM29" s="43"/>
      <c r="BN29" s="43"/>
      <c r="BO29" s="88">
        <f>BO28/BO20</f>
        <v>1759.6931411511162</v>
      </c>
      <c r="BP29" s="88">
        <f>BP28/BP20</f>
        <v>1767.7908507002417</v>
      </c>
      <c r="BQ29" s="88">
        <f>BQ28/BQ20</f>
        <v>1796.694082887487</v>
      </c>
      <c r="BR29" s="88">
        <f>BR28/BR20</f>
        <v>1781.7901051256163</v>
      </c>
      <c r="BS29" s="88">
        <f>BS28/BS20</f>
        <v>1790.973493592295</v>
      </c>
      <c r="BT29" s="43"/>
      <c r="BU29" s="43"/>
      <c r="BV29" s="88">
        <f>BV28/BV20</f>
        <v>1757.3651370349894</v>
      </c>
      <c r="BW29" s="88">
        <f>BW28/BW20</f>
        <v>1734.4870595572186</v>
      </c>
      <c r="BX29" s="88">
        <f>BX28/BX20</f>
        <v>1716.0686427457099</v>
      </c>
      <c r="BY29" s="88">
        <f>BY28/BY20</f>
        <v>1733.9901477832511</v>
      </c>
      <c r="BZ29" s="88">
        <f>BZ28/BZ20</f>
        <v>1745.7200103156183</v>
      </c>
      <c r="CA29" s="43"/>
      <c r="CB29" s="43"/>
      <c r="CC29" s="88">
        <f>CC28/CC20</f>
        <v>1751.807180395868</v>
      </c>
      <c r="CD29" s="88">
        <f>CD28/CD20</f>
        <v>1768.0770637727105</v>
      </c>
      <c r="CE29" s="88">
        <f>CE28/CE20</f>
        <v>1745.1648667515296</v>
      </c>
      <c r="CF29" s="88">
        <f>CF28/CF20</f>
        <v>1706.0585885486018</v>
      </c>
      <c r="CG29" s="88">
        <f>CG28/CG20</f>
        <v>1716.1992465466724</v>
      </c>
      <c r="CH29" s="43"/>
      <c r="CI29" s="43"/>
      <c r="CJ29" s="88">
        <f>CJ28/CJ20</f>
        <v>1649.1660230048221</v>
      </c>
      <c r="CK29" s="88">
        <f>CK28/CK20</f>
        <v>1663.7533433018132</v>
      </c>
      <c r="CL29" s="88">
        <f>CL28/CL20</f>
        <v>1663.3680043795007</v>
      </c>
      <c r="CM29" s="88">
        <f>CM28/CM20</f>
        <v>1667.5461741424804</v>
      </c>
      <c r="CN29" s="88">
        <f>CN28/CN20</f>
        <v>1617.6407986037207</v>
      </c>
      <c r="CO29" s="43"/>
      <c r="CP29" s="43"/>
      <c r="CQ29" s="88">
        <f>CQ28/CQ20</f>
        <v>1624.3610846400413</v>
      </c>
      <c r="CR29" s="88">
        <f>CR28/CR20</f>
        <v>1616.4141468566133</v>
      </c>
      <c r="CS29" s="88">
        <f>CS28/CS20</f>
        <v>1618.2607955029384</v>
      </c>
      <c r="CT29" s="88">
        <f>CT28/CT20</f>
        <v>1602.6992830029524</v>
      </c>
      <c r="CU29" s="88">
        <f>CU28/CU20</f>
        <v>1599.6632287939381</v>
      </c>
      <c r="CV29" s="43"/>
      <c r="CW29" s="43"/>
      <c r="CX29" s="88">
        <f>CX28/CX20</f>
        <v>1637.5313682956912</v>
      </c>
      <c r="CY29" s="88">
        <f>CY28/CY20</f>
        <v>1656.5908650846582</v>
      </c>
      <c r="CZ29" s="88">
        <f>CZ28/CZ20</f>
        <v>1644.9476607562488</v>
      </c>
      <c r="DA29" s="88">
        <f>DA28/DA20</f>
        <v>1632.9127345986642</v>
      </c>
      <c r="DB29" s="88">
        <f>DB28/DB20</f>
        <v>1632.9127345986642</v>
      </c>
      <c r="DC29" s="43"/>
      <c r="DD29" s="43"/>
      <c r="DE29" s="88">
        <f>DE28/DE20</f>
        <v>1647.1997604073076</v>
      </c>
      <c r="DF29" s="88">
        <f>DF28/DF20</f>
        <v>1734.2896906112837</v>
      </c>
      <c r="DG29" s="88">
        <v>1659.6973746605163</v>
      </c>
      <c r="DH29" s="88">
        <v>1659.6973746605163</v>
      </c>
      <c r="DI29" s="88">
        <f>DI28/DI20</f>
        <v>1785.6010819263358</v>
      </c>
      <c r="DJ29" s="43"/>
      <c r="DK29" s="43"/>
      <c r="DL29" s="88">
        <f>DL28/DL20</f>
        <v>1731.0252996005327</v>
      </c>
      <c r="DM29" s="88">
        <f>DM28/DM20</f>
        <v>1807.5918859208675</v>
      </c>
      <c r="DN29" s="88">
        <f>DN28/DN20</f>
        <v>1794.1153018100631</v>
      </c>
      <c r="DO29" s="88">
        <f>DO28/DO20</f>
        <v>1825.9828377569347</v>
      </c>
      <c r="DP29" s="88">
        <f>DP28/DP20</f>
        <v>1829.6401707664161</v>
      </c>
      <c r="DQ29" s="43"/>
      <c r="DR29" s="43"/>
      <c r="DS29" s="88">
        <f>DS28/DS20</f>
        <v>1790.5815410938465</v>
      </c>
      <c r="DT29" s="88">
        <f>DT28/DT20</f>
        <v>1794.1153018100631</v>
      </c>
      <c r="DU29" s="88">
        <f>DU28/DU20</f>
        <v>1796.7658215212616</v>
      </c>
      <c r="DV29" s="88">
        <f>DV28/DV20</f>
        <v>1799.6400719856028</v>
      </c>
      <c r="DW29" s="88">
        <f>DW28/DW20</f>
        <v>1773.399014778325</v>
      </c>
      <c r="DX29" s="43"/>
      <c r="DY29" s="43"/>
      <c r="DZ29" s="88">
        <f>DZ28/DZ20</f>
        <v>1753.2239841041026</v>
      </c>
      <c r="EA29" s="88">
        <f>EA28/EA20</f>
        <v>1751.3475646539143</v>
      </c>
      <c r="EB29" s="88">
        <f>EB28/EB20</f>
        <v>1756.440281030445</v>
      </c>
      <c r="EC29" s="88">
        <f>EC28/EC20</f>
        <v>1787.1017871017873</v>
      </c>
      <c r="ED29" s="88">
        <f>ED28/ED20</f>
        <v>1801.4489915801839</v>
      </c>
      <c r="EE29" s="43"/>
      <c r="EF29" s="43"/>
      <c r="EG29" s="88">
        <f>EG28/EG20</f>
        <v>1816.0284247927359</v>
      </c>
      <c r="EH29" s="88">
        <f>EH28/EH20</f>
        <v>1852.1128178285992</v>
      </c>
      <c r="EI29" s="88">
        <f>EI28/EI20</f>
        <v>1855.2127445049407</v>
      </c>
      <c r="EJ29" s="88">
        <f>EJ28/EJ20</f>
        <v>1849.7814818579122</v>
      </c>
      <c r="EK29" s="88">
        <f>EK28/EK20</f>
        <v>1865.7098923628907</v>
      </c>
      <c r="EL29" s="43"/>
      <c r="EM29" s="43"/>
      <c r="EN29" s="88">
        <f>EN28/EN20</f>
        <v>1876.172607879925</v>
      </c>
      <c r="EO29" s="88">
        <f>EO28/EO20</f>
        <v>1870.9851776396483</v>
      </c>
      <c r="EP29" s="88">
        <f>EP28/EP20</f>
        <v>1799.1562577549837</v>
      </c>
      <c r="EQ29" s="88">
        <f>EQ28/EQ20</f>
        <v>1813.8603952964722</v>
      </c>
      <c r="ER29" s="88">
        <f>ER28/ER20</f>
        <v>1834.2047562826783</v>
      </c>
      <c r="ES29" s="43"/>
      <c r="ET29" s="43"/>
      <c r="EU29" s="88">
        <f>EU28/EU20</f>
        <v>1757.9903840044055</v>
      </c>
      <c r="EV29" s="88">
        <f>EV28/EV20</f>
        <v>1765.8503573996531</v>
      </c>
      <c r="EW29" s="88">
        <f>EW28/EW20</f>
        <v>1716.8460282232736</v>
      </c>
      <c r="EX29" s="88">
        <f>EX28/EX20</f>
        <v>1712.7579580583172</v>
      </c>
      <c r="EY29" s="88">
        <f>EY28/EY20</f>
        <v>1710.0077158884742</v>
      </c>
      <c r="EZ29" s="43"/>
      <c r="FA29" s="43"/>
      <c r="FB29" s="88">
        <f>FB28/FB20</f>
        <v>1714.1901496780667</v>
      </c>
      <c r="FC29" s="88">
        <f>FC28/FC20</f>
        <v>1697.1332760806445</v>
      </c>
      <c r="FD29" s="88">
        <f>FD28/FD20</f>
        <v>1703.9622254157255</v>
      </c>
      <c r="FE29" s="88">
        <f>FE28/FE20</f>
        <v>1695.5038506322392</v>
      </c>
      <c r="FF29" s="88">
        <f>FF28/FF20</f>
        <v>1655.529468424538</v>
      </c>
      <c r="FG29" s="43"/>
      <c r="FH29" s="43"/>
      <c r="FI29" s="88">
        <f>FI28/FI20</f>
        <v>1616.6960611405057</v>
      </c>
      <c r="FJ29" s="88">
        <f>FJ28/FJ20</f>
        <v>1614.0707843405787</v>
      </c>
      <c r="FK29" s="88">
        <f>FK28/FK20</f>
        <v>1613.9760544643555</v>
      </c>
      <c r="FL29" s="88">
        <f>FL28/FL20</f>
        <v>1613.9760544643555</v>
      </c>
      <c r="FM29" s="88">
        <f>FM28/FM20</f>
        <v>1607.8737088286882</v>
      </c>
      <c r="FN29" s="43"/>
      <c r="FO29" s="43"/>
      <c r="FP29" s="88">
        <f>FP28/FP20</f>
        <v>1597.5987606506585</v>
      </c>
      <c r="FQ29" s="88">
        <f>FQ28/FQ20</f>
        <v>1601.8484360134362</v>
      </c>
      <c r="FR29" s="88">
        <f>FR28/FR20</f>
        <v>1601.7551353240399</v>
      </c>
      <c r="FS29" s="88">
        <f>FS28/FS20</f>
        <v>1591.7422342272816</v>
      </c>
      <c r="FT29" s="88">
        <f>FT28/FT20</f>
        <v>1576.5335371679726</v>
      </c>
      <c r="FU29" s="43"/>
      <c r="FV29" s="43"/>
      <c r="FW29" s="88">
        <f>FW28/FW20</f>
        <v>1580.4294936878603</v>
      </c>
      <c r="FX29" s="88">
        <f>FX28/FX20</f>
        <v>1581.1867525298987</v>
      </c>
      <c r="FY29" s="88">
        <f>FY28/FY20</f>
        <v>1578.4942121878887</v>
      </c>
      <c r="FZ29" s="88">
        <f>FZ28/FZ20</f>
        <v>1575.0887777311084</v>
      </c>
      <c r="GA29" s="88">
        <f>GA28/GA20</f>
        <v>1552.5028227324049</v>
      </c>
      <c r="GB29" s="43"/>
      <c r="GC29" s="43"/>
      <c r="GD29" s="88">
        <f>GD28/GD20</f>
        <v>1414.1604600735363</v>
      </c>
      <c r="GE29" s="88">
        <f>GE28/GE20</f>
        <v>1391.5689476027906</v>
      </c>
      <c r="GF29" s="88">
        <f>GF28/GF20</f>
        <v>1307.1173459994845</v>
      </c>
      <c r="GG29" s="88">
        <f>GG28/GG20</f>
        <v>1323.7131084885434</v>
      </c>
      <c r="GH29" s="88">
        <f>GH28/GH20</f>
        <v>1356.3664450012245</v>
      </c>
      <c r="GI29" s="43"/>
      <c r="GJ29" s="43"/>
      <c r="GK29" s="88">
        <f>GK28/GK20</f>
        <v>1346.4487414444402</v>
      </c>
      <c r="GL29" s="88">
        <f>GL28/GL20</f>
        <v>1293.4937265554263</v>
      </c>
      <c r="GM29" s="88">
        <f>GM28/GM20</f>
        <v>1259.4924986108538</v>
      </c>
      <c r="GN29" s="88">
        <f>GN28/GN20</f>
        <v>1246.2201044625676</v>
      </c>
      <c r="GO29" s="88">
        <f>GO28/GO20</f>
        <v>1259.0027957267964</v>
      </c>
      <c r="GP29" s="43"/>
      <c r="GQ29" s="43"/>
      <c r="GR29" s="88">
        <f>GR28/GR20</f>
        <v>1285.5865255626768</v>
      </c>
      <c r="GS29" s="88">
        <f>GS28/GS20</f>
        <v>1298.6772045045545</v>
      </c>
      <c r="GT29" s="88">
        <f>GT28/GT20</f>
        <v>1271.0693561757391</v>
      </c>
      <c r="GU29" s="88">
        <f>GU28/GU20</f>
        <v>1260.3430324949311</v>
      </c>
      <c r="GV29" s="88">
        <f>GV28/GV20</f>
        <v>1264.7786637338465</v>
      </c>
      <c r="GW29" s="43"/>
      <c r="GX29" s="43"/>
      <c r="GY29" s="88">
        <f>GY28/GY20</f>
        <v>1274.4500470992407</v>
      </c>
      <c r="GZ29" s="88">
        <f>GZ28/GZ20</f>
        <v>1318.9877710990936</v>
      </c>
      <c r="HA29" s="88">
        <f>HA28/HA20</f>
        <v>1318.9877710990936</v>
      </c>
      <c r="HB29" s="88">
        <f>HB28/HB20</f>
        <v>1349.2415335093772</v>
      </c>
      <c r="HC29" s="88">
        <f>HC28/HC20</f>
        <v>1349.2415335093772</v>
      </c>
      <c r="HD29" s="43"/>
      <c r="HE29" s="43"/>
      <c r="HF29" s="88">
        <f>HF28/HF20</f>
        <v>1299.5451591942822</v>
      </c>
      <c r="HG29" s="88">
        <f>HG28/HG20</f>
        <v>1299.5451591942822</v>
      </c>
      <c r="HH29" s="88">
        <f>HH28/HH20</f>
        <v>1286.8308006736938</v>
      </c>
      <c r="HI29" s="88">
        <f>HI28/HI20</f>
        <v>1297.5613479372591</v>
      </c>
      <c r="HJ29" s="88">
        <f>HJ28/HJ20</f>
        <v>1303.6309957440283</v>
      </c>
      <c r="HK29" s="43"/>
      <c r="HL29" s="43"/>
      <c r="HM29" s="88">
        <f>HM28/HM20</f>
        <v>1326.9846225899619</v>
      </c>
      <c r="HN29" s="88">
        <f>HN28/HN20</f>
        <v>1327.580484566877</v>
      </c>
      <c r="HO29" s="88">
        <f>HO28/HO20</f>
        <v>1366.4989899790073</v>
      </c>
      <c r="HP29" s="88">
        <f>HP28/HP20</f>
        <v>1349.6596510445193</v>
      </c>
      <c r="HQ29" s="88">
        <f>HQ28/HQ20</f>
        <v>1352.4108192865542</v>
      </c>
      <c r="HR29" s="43"/>
      <c r="HS29" s="43"/>
      <c r="HT29" s="88">
        <f>HT28/HT20</f>
        <v>1355.0933836092618</v>
      </c>
      <c r="HU29" s="88">
        <f>HU28/HU20</f>
        <v>1344.0598398815669</v>
      </c>
      <c r="HV29" s="88">
        <f>HV28/HV20</f>
        <v>1332.509366189023</v>
      </c>
      <c r="HW29" s="88">
        <f>HW28/HW20</f>
        <v>1332.8182344987445</v>
      </c>
      <c r="HX29" s="88">
        <f>HX28/HX20</f>
        <v>1327.9956888255899</v>
      </c>
      <c r="HY29" s="43"/>
      <c r="HZ29" s="43"/>
      <c r="IA29" s="88">
        <f>IA28/IA20</f>
        <v>1334.4679534290024</v>
      </c>
      <c r="IB29" s="88">
        <f>IB28/IB20</f>
        <v>1332.6278244850766</v>
      </c>
      <c r="IC29" s="88">
        <f>IC28/IC20</f>
        <v>1332.1057065057691</v>
      </c>
      <c r="ID29" s="88">
        <f>ID28/ID20</f>
        <v>1328.9036544850499</v>
      </c>
      <c r="IE29" s="88">
        <f>IE28/IE20</f>
        <v>1335.9528487229863</v>
      </c>
      <c r="IF29" s="43"/>
      <c r="IG29" s="43"/>
      <c r="IH29" s="88">
        <f>IH28/IH20</f>
        <v>1348.5106889303136</v>
      </c>
      <c r="II29" s="88">
        <f>II28/II20</f>
        <v>1323.7444185403249</v>
      </c>
      <c r="IJ29" s="88">
        <f>IJ28/IJ20</f>
        <v>1313.0708478961901</v>
      </c>
      <c r="IK29" s="88">
        <f>IK28/IK20</f>
        <v>1307.5917237135604</v>
      </c>
      <c r="IL29" s="88">
        <f>IL28/IL20</f>
        <v>1310.8433734939758</v>
      </c>
      <c r="IM29" s="43"/>
      <c r="IN29" s="43"/>
      <c r="IO29" s="88">
        <f>IO28/IO20</f>
        <v>1315.7130971499332</v>
      </c>
      <c r="IP29" s="88">
        <f>IP28/IP20</f>
        <v>1265.5315232397606</v>
      </c>
      <c r="IQ29" s="88">
        <v>1265.5315232397606</v>
      </c>
      <c r="IR29" s="88">
        <f>IR28/IR20</f>
        <v>1246.3568031906734</v>
      </c>
      <c r="IS29" s="88">
        <f>IS28/IS20</f>
        <v>1239.5893860158822</v>
      </c>
      <c r="IT29" s="43"/>
      <c r="IU29" s="43"/>
      <c r="IV29" s="88">
        <f>IV28/IV20</f>
        <v>1270.0273544353263</v>
      </c>
      <c r="IW29" s="88">
        <f>IW28/IW20</f>
        <v>1255.044312718426</v>
      </c>
      <c r="IX29" s="88">
        <f>IX28/IX20</f>
        <v>1216.8974908732687</v>
      </c>
      <c r="IY29" s="88">
        <f>IY28/IY20</f>
        <v>1206.711615078149</v>
      </c>
      <c r="IZ29" s="88">
        <f>IZ28/IZ20</f>
        <v>1191.3992322093839</v>
      </c>
      <c r="JA29" s="43"/>
      <c r="JB29" s="43"/>
      <c r="JC29" s="88">
        <f>JC28/JC20</f>
        <v>1203.1166450232986</v>
      </c>
      <c r="JD29" s="88">
        <f>JD28/JD20</f>
        <v>1218.5215272136475</v>
      </c>
      <c r="JE29" s="88">
        <f>JE28/JE20</f>
        <v>1199.4815144421443</v>
      </c>
      <c r="JF29" s="88">
        <f>JF28/JF20</f>
        <v>1199.8297015907419</v>
      </c>
      <c r="JG29" s="88">
        <f>JG28/JG20</f>
        <v>1148.2374555057986</v>
      </c>
      <c r="JH29" s="43"/>
      <c r="JI29" s="43"/>
      <c r="JJ29" s="88">
        <f>JJ28/JJ20</f>
        <v>1083.2010458492857</v>
      </c>
      <c r="JK29" s="88">
        <f>JK28/JK20</f>
        <v>1065.3209980375666</v>
      </c>
      <c r="JL29" s="88">
        <f>JL28/JL20</f>
        <v>1063.611427291896</v>
      </c>
      <c r="JM29" s="88">
        <f>JM28/JM20</f>
        <v>1057.258917144288</v>
      </c>
      <c r="JN29" s="88">
        <f>JN28/JN20</f>
        <v>1054.3255091282392</v>
      </c>
      <c r="JO29" s="43"/>
      <c r="JP29" s="43"/>
      <c r="JQ29" s="88">
        <f>JQ28/JQ20</f>
        <v>1115.4060655012595</v>
      </c>
      <c r="JR29" s="88">
        <f>JR28/JR20</f>
        <v>1128.22906940554</v>
      </c>
      <c r="JS29" s="88">
        <f>JS28/JS20</f>
        <v>1093.2315541149619</v>
      </c>
      <c r="JT29" s="88">
        <f>JT28/JT20</f>
        <v>1115.2773771752716</v>
      </c>
      <c r="JU29" s="88">
        <f>JU28/JU20</f>
        <v>1149.029070435482</v>
      </c>
      <c r="JV29" s="43"/>
      <c r="JW29" s="43"/>
      <c r="JX29" s="88">
        <f>JX28/JX20</f>
        <v>1155.2235357541683</v>
      </c>
      <c r="JY29" s="88">
        <f>JY28/JY20</f>
        <v>1190.8420405654579</v>
      </c>
      <c r="JZ29" s="88">
        <v>1190.8420405654579</v>
      </c>
      <c r="KA29" s="88">
        <f>KA28/KA20</f>
        <v>1150.6394537292035</v>
      </c>
      <c r="KB29" s="88">
        <f>KB28/KB20</f>
        <v>1154.8437174608584</v>
      </c>
      <c r="KC29" s="43"/>
      <c r="KD29" s="43"/>
      <c r="KE29" s="88">
        <f>KE28/KE20</f>
        <v>1214.5595323945799</v>
      </c>
      <c r="KF29" s="88">
        <f>KF28/KF20</f>
        <v>1214.5595323945799</v>
      </c>
      <c r="KG29" s="88">
        <f>KG28/KG20</f>
        <v>1212.006438784206</v>
      </c>
      <c r="KH29" s="88">
        <f>KH28/KH20</f>
        <v>1226.6881337090067</v>
      </c>
      <c r="KI29" s="88">
        <f>KI28/KI20</f>
        <v>1213.4987287156175</v>
      </c>
      <c r="KJ29" s="43"/>
      <c r="KK29" s="43"/>
      <c r="KL29" s="88">
        <f>KL28/KL20</f>
        <v>1203.9968904647239</v>
      </c>
      <c r="KM29" s="88">
        <f>KM28/KM20</f>
        <v>1205.5455093429778</v>
      </c>
      <c r="KN29" s="88">
        <f>KN28/KN20</f>
        <v>1239.5530096722698</v>
      </c>
      <c r="KO29" s="88">
        <f>KO28/KO20</f>
        <v>1245.2830188679245</v>
      </c>
      <c r="KP29" s="88">
        <f>KP28/KP20</f>
        <v>1234.7526752974632</v>
      </c>
      <c r="KQ29" s="43"/>
      <c r="KR29" s="43"/>
      <c r="KS29" s="88">
        <f>KS28/KS20</f>
        <v>1274.5638898928985</v>
      </c>
      <c r="KT29" s="88">
        <f>KT28/KT20</f>
        <v>1301.0466629124026</v>
      </c>
      <c r="KU29" s="88">
        <v>1301.0466629124026</v>
      </c>
      <c r="KV29" s="88">
        <f>KV28/KV20</f>
        <v>1304.8728235889846</v>
      </c>
      <c r="KW29" s="88">
        <f>KW28/KW20</f>
        <v>1350.358440733165</v>
      </c>
      <c r="KX29" s="43"/>
      <c r="KY29" s="43"/>
      <c r="KZ29" s="88">
        <f>KZ28/KZ20</f>
        <v>1336.3991902993141</v>
      </c>
      <c r="LA29" s="88">
        <f>LA28/LA20</f>
        <v>1314.2382250053149</v>
      </c>
      <c r="LB29" s="88">
        <f>LB28/LB20</f>
        <v>1317.1657691860689</v>
      </c>
      <c r="LC29" s="88">
        <f>LC28/LC20</f>
        <v>1300.3901170351105</v>
      </c>
      <c r="LD29" s="88">
        <f>LD28/LD20</f>
        <v>1281.8579399788871</v>
      </c>
      <c r="LE29" s="43"/>
      <c r="LF29" s="43"/>
      <c r="LG29" s="88">
        <f>LG28/LG20</f>
        <v>1282.7768345595171</v>
      </c>
      <c r="LH29" s="88">
        <f>LH28/LH20</f>
        <v>1282.7768345595171</v>
      </c>
      <c r="LI29" s="88">
        <f>LI28/LI20</f>
        <v>1278.1714629424259</v>
      </c>
      <c r="LJ29" s="88">
        <f>LJ28/LJ20</f>
        <v>1244.2362585083802</v>
      </c>
      <c r="LK29" s="88">
        <f>LK28/LK20</f>
        <v>1234.2446796574036</v>
      </c>
      <c r="LL29" s="43"/>
      <c r="LM29" s="43"/>
      <c r="LN29" s="88">
        <f>LN28/LN20</f>
        <v>1239.2969806219019</v>
      </c>
      <c r="LO29" s="88">
        <f>LO28/LO20</f>
        <v>1256.1871906404681</v>
      </c>
      <c r="LP29" s="88">
        <f>LP28/LP20</f>
        <v>1242.4203089361545</v>
      </c>
      <c r="LQ29" s="88">
        <f>LQ28/LQ20</f>
        <v>1260.6781319384336</v>
      </c>
      <c r="LR29" s="88">
        <f>LR28/LR20</f>
        <v>1252.2194187459115</v>
      </c>
      <c r="LS29" s="43"/>
      <c r="LT29" s="43"/>
      <c r="LU29" s="88">
        <f>LU28/LU20</f>
        <v>1264.0814960776295</v>
      </c>
      <c r="LV29" s="88">
        <f>LV28/LV20</f>
        <v>1281.2541216814577</v>
      </c>
      <c r="LW29" s="88">
        <f>LW28/LW20</f>
        <v>1284.5215157353884</v>
      </c>
      <c r="LX29" s="88">
        <f>LX28/LX20</f>
        <v>1309.0769082683607</v>
      </c>
      <c r="LY29" s="88">
        <f>LY28/LY20</f>
        <v>1308.4220045794771</v>
      </c>
      <c r="LZ29" s="43"/>
      <c r="MA29" s="43"/>
      <c r="MB29" s="88">
        <f>MB28/MB20</f>
        <v>1162.7906976744184</v>
      </c>
      <c r="MC29" s="88">
        <f>MC28/MC20</f>
        <v>1145.1911514897029</v>
      </c>
      <c r="MD29" s="88">
        <f>MD28/MD20</f>
        <v>1149.315199693516</v>
      </c>
      <c r="ME29" s="88">
        <f>ME28/ME20</f>
        <v>1151.8967900476116</v>
      </c>
      <c r="MF29" s="88">
        <f>MF28/MF20</f>
        <v>1145.1911514897029</v>
      </c>
      <c r="MG29" s="43"/>
      <c r="MH29" s="43"/>
      <c r="MI29" s="88">
        <f>MI28/MI20</f>
        <v>1139.2549272775605</v>
      </c>
      <c r="MJ29" s="88">
        <f>MJ28/MJ20</f>
        <v>1139.2549272775605</v>
      </c>
      <c r="MK29" s="88">
        <f>MK28/MK20</f>
        <v>1142.2579255847049</v>
      </c>
      <c r="ML29" s="88">
        <f>ML28/ML20</f>
        <v>1147.0477623166605</v>
      </c>
      <c r="MM29" s="88">
        <f>MM28/MM20</f>
        <v>1174.1534732217256</v>
      </c>
      <c r="MN29" s="43"/>
      <c r="MO29" s="43"/>
      <c r="MP29" s="88">
        <f>MP28/MP20</f>
        <v>1147.5440675734146</v>
      </c>
      <c r="MQ29" s="88">
        <f>MQ28/MQ20</f>
        <v>1163.5891957881886</v>
      </c>
      <c r="MR29" s="88">
        <f>MR28/MR20</f>
        <v>1172.4456062120396</v>
      </c>
      <c r="MS29" s="88">
        <f>MS28/MS20</f>
        <v>1185.7021670394079</v>
      </c>
      <c r="MT29" s="88">
        <f>MT28/MT20</f>
        <v>1195.5211694724155</v>
      </c>
      <c r="MU29" s="43"/>
      <c r="MV29" s="43"/>
      <c r="MW29" s="88">
        <f>MW28/MW20</f>
        <v>1185.6793074861671</v>
      </c>
      <c r="MX29" s="88">
        <f>MX28/MX20</f>
        <v>1173.5756199129282</v>
      </c>
      <c r="MY29" s="88">
        <f>MY28/MY20</f>
        <v>1175.8012516593969</v>
      </c>
      <c r="MZ29" s="88">
        <f>MZ28/MZ20</f>
        <v>1188.3313527810787</v>
      </c>
      <c r="NA29" s="88">
        <f>NA28/NA20</f>
        <v>1188.3313527810787</v>
      </c>
      <c r="NB29" s="43"/>
    </row>
    <row r="30" spans="1:367" x14ac:dyDescent="0.25">
      <c r="A30" s="19" t="s">
        <v>33</v>
      </c>
      <c r="B30" s="89"/>
      <c r="C30" s="89"/>
      <c r="D30" s="89">
        <f>D29/D2</f>
        <v>16.414218238678831</v>
      </c>
      <c r="E30" s="89">
        <f>E29/E2</f>
        <v>16.073630438611943</v>
      </c>
      <c r="F30" s="89">
        <f>F29/F2</f>
        <v>15.956646883338989</v>
      </c>
      <c r="G30" s="89">
        <f>G29/G2</f>
        <v>15.609265112377303</v>
      </c>
      <c r="H30" s="89">
        <f>H29/H2</f>
        <v>16.705061364156865</v>
      </c>
      <c r="I30" s="89"/>
      <c r="J30" s="89"/>
      <c r="K30" s="89">
        <f>K29/K2</f>
        <v>16.889816373480521</v>
      </c>
      <c r="L30" s="89">
        <f>L29/L2</f>
        <v>16.427768057720609</v>
      </c>
      <c r="M30" s="89">
        <f>M29/M2</f>
        <v>16.459598895078805</v>
      </c>
      <c r="N30" s="89">
        <f>N29/N2</f>
        <v>16.609078526608858</v>
      </c>
      <c r="O30" s="89">
        <f>O29/O2</f>
        <v>16.061047061521634</v>
      </c>
      <c r="P30" s="89"/>
      <c r="Q30" s="89"/>
      <c r="R30" s="89">
        <f>R29/R2</f>
        <v>16.1459397087817</v>
      </c>
      <c r="S30" s="89">
        <f>S29/S2</f>
        <v>15.833830960628587</v>
      </c>
      <c r="T30" s="89">
        <f>T29/T2</f>
        <v>15.728965862130064</v>
      </c>
      <c r="U30" s="89">
        <f>U29/U2</f>
        <v>15.981028526211126</v>
      </c>
      <c r="V30" s="89">
        <f>V29/V2</f>
        <v>16.00305551673333</v>
      </c>
      <c r="W30" s="26"/>
      <c r="X30" s="26"/>
      <c r="Y30" s="89">
        <f>Y29/Y2</f>
        <v>16.150934327961778</v>
      </c>
      <c r="Z30" s="89">
        <f>Z29/Z2</f>
        <v>15.779124923146378</v>
      </c>
      <c r="AA30" s="89">
        <f>AA29/AA2</f>
        <v>15.757289608669144</v>
      </c>
      <c r="AB30" s="89">
        <f>AB29/AB2</f>
        <v>16.017022475460358</v>
      </c>
      <c r="AC30" s="89">
        <f>AC29/AC2</f>
        <v>15.853020674706618</v>
      </c>
      <c r="AD30" s="89"/>
      <c r="AE30" s="26"/>
      <c r="AF30" s="89">
        <f>AF29/AF2</f>
        <v>15.861506432204738</v>
      </c>
      <c r="AG30" s="89">
        <f>AG29/AG2</f>
        <v>16.300400865767923</v>
      </c>
      <c r="AH30" s="89">
        <f>AH29/AH2</f>
        <v>16.46366784798338</v>
      </c>
      <c r="AI30" s="89">
        <f>AI29/AI2</f>
        <v>16.146278927937256</v>
      </c>
      <c r="AJ30" s="89">
        <f>AJ29/AJ2</f>
        <v>15.695979028240204</v>
      </c>
      <c r="AK30" s="26"/>
      <c r="AL30" s="26"/>
      <c r="AM30" s="89">
        <f>AM29/AM2</f>
        <v>15.904343643244577</v>
      </c>
      <c r="AN30" s="89">
        <f>AN29/AN2</f>
        <v>16.305224163720105</v>
      </c>
      <c r="AO30" s="89">
        <f>AO29/AO2</f>
        <v>15.949906191766011</v>
      </c>
      <c r="AP30" s="89">
        <f>AP29/AP2</f>
        <v>16.378401240379162</v>
      </c>
      <c r="AQ30" s="89">
        <f>AQ29/AQ2</f>
        <v>15.887988993192314</v>
      </c>
      <c r="AR30" s="26"/>
      <c r="AS30" s="26"/>
      <c r="AT30" s="89">
        <f>AT29/AT2</f>
        <v>15.516529018344166</v>
      </c>
      <c r="AU30" s="89">
        <f>AU29/AU2</f>
        <v>16.118433821215458</v>
      </c>
      <c r="AV30" s="89">
        <f>AV29/AV2</f>
        <v>15.935113264782984</v>
      </c>
      <c r="AW30" s="89">
        <f>AW29/AW2</f>
        <v>17.627232120236396</v>
      </c>
      <c r="AX30" s="89">
        <f>AX29/AX2</f>
        <v>17.597289425992869</v>
      </c>
      <c r="AY30" s="26"/>
      <c r="AZ30" s="26"/>
      <c r="BA30" s="89">
        <f>BA29/BA2</f>
        <v>16.03780726268894</v>
      </c>
      <c r="BB30" s="89">
        <f>BB29/BB2</f>
        <v>15.608520386453744</v>
      </c>
      <c r="BC30" s="89">
        <f>BC29/BC2</f>
        <v>15.754827890923803</v>
      </c>
      <c r="BD30" s="89">
        <f>BD29/BD2</f>
        <v>16.863500335345002</v>
      </c>
      <c r="BE30" s="89">
        <f>BE29/BE2</f>
        <v>16.988492428385896</v>
      </c>
      <c r="BF30" s="26"/>
      <c r="BG30" s="26"/>
      <c r="BH30" s="89">
        <f t="shared" ref="BH30:BL30" si="0">BH29/BH2</f>
        <v>17.098489861375445</v>
      </c>
      <c r="BI30" s="89">
        <f t="shared" si="0"/>
        <v>17.098489861375445</v>
      </c>
      <c r="BJ30" s="89">
        <f t="shared" si="0"/>
        <v>14.745757478282446</v>
      </c>
      <c r="BK30" s="89">
        <f t="shared" si="0"/>
        <v>15.962467868987009</v>
      </c>
      <c r="BL30" s="89">
        <f t="shared" si="0"/>
        <v>14.846514440016042</v>
      </c>
      <c r="BM30" s="26"/>
      <c r="BN30" s="26"/>
      <c r="BO30" s="89">
        <f>BO29/BO2</f>
        <v>14.282064289839431</v>
      </c>
      <c r="BP30" s="89">
        <f>BP29/BP2</f>
        <v>13.813024306143472</v>
      </c>
      <c r="BQ30" s="89">
        <f>BQ29/BQ2</f>
        <v>16.166043574657973</v>
      </c>
      <c r="BR30" s="89">
        <f>BR29/BR2</f>
        <v>16.297357588270522</v>
      </c>
      <c r="BS30" s="89">
        <f>BS29/BS2</f>
        <v>15.89574415187978</v>
      </c>
      <c r="BT30" s="26"/>
      <c r="BU30" s="26"/>
      <c r="BV30" s="89">
        <f>BV29/BV2</f>
        <v>16.439337109775391</v>
      </c>
      <c r="BW30" s="89">
        <f>BW29/BW2</f>
        <v>17.360495041109186</v>
      </c>
      <c r="BX30" s="89">
        <f>BX29/BX2</f>
        <v>17.507331592998469</v>
      </c>
      <c r="BY30" s="89">
        <f>BY29/BY2</f>
        <v>16.260222691140765</v>
      </c>
      <c r="BZ30" s="89">
        <f>BZ29/BZ2</f>
        <v>16.174557679195942</v>
      </c>
      <c r="CA30" s="26"/>
      <c r="CB30" s="26"/>
      <c r="CC30" s="89">
        <f>CC29/CC2</f>
        <v>15.151419999964261</v>
      </c>
      <c r="CD30" s="89">
        <f>CD29/CD2</f>
        <v>15.310677725776848</v>
      </c>
      <c r="CE30" s="89">
        <f>CE29/CE2</f>
        <v>14.351684759469817</v>
      </c>
      <c r="CF30" s="89">
        <f>CF29/CF2</f>
        <v>14.333013429795866</v>
      </c>
      <c r="CG30" s="89">
        <f>CG29/CG2</f>
        <v>14.224610414808723</v>
      </c>
      <c r="CH30" s="26"/>
      <c r="CI30" s="26"/>
      <c r="CJ30" s="89">
        <f>CJ29/CJ2</f>
        <v>14.661860090725659</v>
      </c>
      <c r="CK30" s="89">
        <f>CK29/CK2</f>
        <v>15.093471317262207</v>
      </c>
      <c r="CL30" s="89">
        <f>CL29/CL2</f>
        <v>14.66168359964302</v>
      </c>
      <c r="CM30" s="89">
        <f>CM29/CM2</f>
        <v>14.698511891956636</v>
      </c>
      <c r="CN30" s="89">
        <f>CN29/CN2</f>
        <v>14.258623169711068</v>
      </c>
      <c r="CO30" s="26"/>
      <c r="CP30" s="26"/>
      <c r="CQ30" s="89">
        <f>CQ29/CQ2</f>
        <v>15.106120009672104</v>
      </c>
      <c r="CR30" s="89">
        <f>CR29/CR2</f>
        <v>15.157672044791948</v>
      </c>
      <c r="CS30" s="89">
        <f>CS29/CS2</f>
        <v>16.011287182180059</v>
      </c>
      <c r="CT30" s="89">
        <f>CT29/CT2</f>
        <v>15.934572310627882</v>
      </c>
      <c r="CU30" s="89">
        <f>CU29/CU2</f>
        <v>15.56395435681979</v>
      </c>
      <c r="CV30" s="26"/>
      <c r="CW30" s="26"/>
      <c r="CX30" s="89">
        <f>CX29/CX2</f>
        <v>16.628060197965993</v>
      </c>
      <c r="CY30" s="89">
        <f>CY29/CY2</f>
        <v>15.831334719845739</v>
      </c>
      <c r="CZ30" s="89">
        <f>CZ29/CZ2</f>
        <v>15.121783974593203</v>
      </c>
      <c r="DA30" s="89">
        <f>DA29/DA2</f>
        <v>14.618735314222597</v>
      </c>
      <c r="DB30" s="89">
        <f>DB29/DB2</f>
        <v>14.618735314222597</v>
      </c>
      <c r="DC30" s="26"/>
      <c r="DD30" s="26"/>
      <c r="DE30" s="89">
        <f>DE29/DE2</f>
        <v>14.556378229120781</v>
      </c>
      <c r="DF30" s="89">
        <f>DF29/DF2</f>
        <v>16.170533245792857</v>
      </c>
      <c r="DG30" s="89">
        <v>15.320754866246805</v>
      </c>
      <c r="DH30" s="89">
        <v>15.320754866246805</v>
      </c>
      <c r="DI30" s="89">
        <f>DI29/DI2</f>
        <v>16.742626178399771</v>
      </c>
      <c r="DJ30" s="26"/>
      <c r="DK30" s="26"/>
      <c r="DL30" s="89">
        <f>DL29/DL2</f>
        <v>16.917760942147506</v>
      </c>
      <c r="DM30" s="89">
        <f>DM29/DM2</f>
        <v>17.216800513580985</v>
      </c>
      <c r="DN30" s="89">
        <f>DN29/DN2</f>
        <v>17.03489652307314</v>
      </c>
      <c r="DO30" s="89">
        <f>DO29/DO2</f>
        <v>16.971678016144015</v>
      </c>
      <c r="DP30" s="89">
        <f>DP29/DP2</f>
        <v>17.005671259098577</v>
      </c>
      <c r="DQ30" s="26"/>
      <c r="DR30" s="26"/>
      <c r="DS30" s="89">
        <f>DS29/DS2</f>
        <v>16.642639103019299</v>
      </c>
      <c r="DT30" s="89">
        <f>DT29/DT2</f>
        <v>16.675483797844251</v>
      </c>
      <c r="DU30" s="89">
        <f>DU29/DU2</f>
        <v>16.313472140196673</v>
      </c>
      <c r="DV30" s="89">
        <f>DV29/DV2</f>
        <v>16.227593074712377</v>
      </c>
      <c r="DW30" s="89">
        <f>DW29/DW2</f>
        <v>15.77897512926706</v>
      </c>
      <c r="DX30" s="26"/>
      <c r="DY30" s="26"/>
      <c r="DZ30" s="89">
        <f>DZ29/DZ2</f>
        <v>16.5492163876166</v>
      </c>
      <c r="EA30" s="89">
        <f>EA29/EA2</f>
        <v>17.092988138336079</v>
      </c>
      <c r="EB30" s="89">
        <f>EB29/EB2</f>
        <v>16.337459594739514</v>
      </c>
      <c r="EC30" s="89">
        <f>EC29/EC2</f>
        <v>16.631938456042693</v>
      </c>
      <c r="ED30" s="89">
        <f>ED29/ED2</f>
        <v>16.149251381265657</v>
      </c>
      <c r="EE30" s="26"/>
      <c r="EF30" s="26"/>
      <c r="EG30" s="89">
        <f>EG29/EG2</f>
        <v>15.896607359880392</v>
      </c>
      <c r="EH30" s="89">
        <f>EH29/EH2</f>
        <v>16.547063502444377</v>
      </c>
      <c r="EI30" s="89">
        <f>EI29/EI2</f>
        <v>17.003141274905516</v>
      </c>
      <c r="EJ30" s="89">
        <f>EJ29/EJ2</f>
        <v>16.510009655997074</v>
      </c>
      <c r="EK30" s="89">
        <f>EK29/EK2</f>
        <v>16.576720500780905</v>
      </c>
      <c r="EL30" s="26"/>
      <c r="EM30" s="26"/>
      <c r="EN30" s="89">
        <f>EN29/EN2</f>
        <v>16.541814564273718</v>
      </c>
      <c r="EO30" s="89">
        <f>EO29/EO2</f>
        <v>16.475741261356536</v>
      </c>
      <c r="EP30" s="89">
        <f>EP29/EP2</f>
        <v>15.777920352144029</v>
      </c>
      <c r="EQ30" s="89">
        <f>EQ29/EQ2</f>
        <v>15.45025890371782</v>
      </c>
      <c r="ER30" s="89">
        <f>ER29/ER2</f>
        <v>15.357990088609881</v>
      </c>
      <c r="ES30" s="26"/>
      <c r="ET30" s="26"/>
      <c r="EU30" s="89">
        <f>EU29/EU2</f>
        <v>14.719839102439968</v>
      </c>
      <c r="EV30" s="89">
        <f>EV29/EV2</f>
        <v>14.785651489572578</v>
      </c>
      <c r="EW30" s="89">
        <f>EW29/EW2</f>
        <v>14.375333067263448</v>
      </c>
      <c r="EX30" s="89">
        <f>EX29/EX2</f>
        <v>14.563029997945049</v>
      </c>
      <c r="EY30" s="89">
        <f>EY29/EY2</f>
        <v>14.283392214237171</v>
      </c>
      <c r="EZ30" s="26"/>
      <c r="FA30" s="26"/>
      <c r="FB30" s="89">
        <f>FB29/FB2</f>
        <v>14.343487153192759</v>
      </c>
      <c r="FC30" s="89">
        <f>FC29/FC2</f>
        <v>14.075916696364308</v>
      </c>
      <c r="FD30" s="89">
        <f>FD29/FD2</f>
        <v>13.788333269264651</v>
      </c>
      <c r="FE30" s="89">
        <f>FE29/FE2</f>
        <v>13.776743728221657</v>
      </c>
      <c r="FF30" s="89">
        <f>FF29/FF2</f>
        <v>13.568801478768444</v>
      </c>
      <c r="FG30" s="26"/>
      <c r="FH30" s="26"/>
      <c r="FI30" s="89">
        <f>FI29/FI2</f>
        <v>13.222344492847842</v>
      </c>
      <c r="FJ30" s="89">
        <f>FJ29/FJ2</f>
        <v>13.320712918548971</v>
      </c>
      <c r="FK30" s="89">
        <f>FK29/FK2</f>
        <v>13.618901818111175</v>
      </c>
      <c r="FL30" s="89">
        <f>FL29/FL2</f>
        <v>13.47112974262879</v>
      </c>
      <c r="FM30" s="89">
        <f>FM29/FM2</f>
        <v>14.21387649247426</v>
      </c>
      <c r="FN30" s="26"/>
      <c r="FO30" s="26"/>
      <c r="FP30" s="89">
        <f>FP29/FP2</f>
        <v>14.123044206600587</v>
      </c>
      <c r="FQ30" s="89">
        <f>FQ29/FQ2</f>
        <v>13.971639215119373</v>
      </c>
      <c r="FR30" s="89">
        <f>FR29/FR2</f>
        <v>14.334662030821908</v>
      </c>
      <c r="FS30" s="89">
        <f>FS29/FS2</f>
        <v>14.46380948866226</v>
      </c>
      <c r="FT30" s="89">
        <f>FT29/FT2</f>
        <v>13.936824055586744</v>
      </c>
      <c r="FU30" s="26"/>
      <c r="FV30" s="26"/>
      <c r="FW30" s="89">
        <f>FW29/FW2</f>
        <v>13.73211828732175</v>
      </c>
      <c r="FX30" s="89">
        <f>FX29/FX2</f>
        <v>13.402159285725535</v>
      </c>
      <c r="FY30" s="89">
        <f>FY29/FY2</f>
        <v>13.577276898227151</v>
      </c>
      <c r="FZ30" s="89">
        <f>FZ29/FZ2</f>
        <v>13.547985358086258</v>
      </c>
      <c r="GA30" s="89">
        <f>GA29/GA2</f>
        <v>13.353714284641363</v>
      </c>
      <c r="GB30" s="26"/>
      <c r="GC30" s="26"/>
      <c r="GD30" s="89">
        <f>GD29/GD2</f>
        <v>12.163774815702187</v>
      </c>
      <c r="GE30" s="89">
        <f>GE29/GE2</f>
        <v>13.540614455607576</v>
      </c>
      <c r="GF30" s="89">
        <f>GF29/GF2</f>
        <v>12.98160041711674</v>
      </c>
      <c r="GG30" s="89">
        <f>GG29/GG2</f>
        <v>12.648954691720434</v>
      </c>
      <c r="GH30" s="89">
        <f>GH29/GH2</f>
        <v>12.673952952730561</v>
      </c>
      <c r="GI30" s="26"/>
      <c r="GJ30" s="26"/>
      <c r="GK30" s="89">
        <f>GK29/GK2</f>
        <v>12.571883673617556</v>
      </c>
      <c r="GL30" s="89">
        <f>GL29/GL2</f>
        <v>13.001243607954834</v>
      </c>
      <c r="GM30" s="89">
        <f>GM29/GM2</f>
        <v>12.649317049421049</v>
      </c>
      <c r="GN30" s="89">
        <f>GN29/GN2</f>
        <v>12.57537945976355</v>
      </c>
      <c r="GO30" s="89">
        <f>GO29/GO2</f>
        <v>12.704367262631649</v>
      </c>
      <c r="GP30" s="26"/>
      <c r="GQ30" s="26"/>
      <c r="GR30" s="89">
        <f>GR29/GR2</f>
        <v>12.097360737392274</v>
      </c>
      <c r="GS30" s="89">
        <f>GS29/GS2</f>
        <v>12.097598551509591</v>
      </c>
      <c r="GT30" s="89">
        <f>GT29/GT2</f>
        <v>11.888041116495877</v>
      </c>
      <c r="GU30" s="89">
        <f>GU29/GU2</f>
        <v>12.135018606729551</v>
      </c>
      <c r="GV30" s="89">
        <f>GV29/GV2</f>
        <v>12.255607206723319</v>
      </c>
      <c r="GW30" s="26"/>
      <c r="GX30" s="26"/>
      <c r="GY30" s="89">
        <f>GY29/GY2</f>
        <v>12.120304775075992</v>
      </c>
      <c r="GZ30" s="89">
        <f>GZ29/GZ2</f>
        <v>12.633982481792083</v>
      </c>
      <c r="HA30" s="89">
        <f>HA29/HA2</f>
        <v>12.370922632705811</v>
      </c>
      <c r="HB30" s="89">
        <f>HB29/HB2</f>
        <v>13.24994140733946</v>
      </c>
      <c r="HC30" s="89">
        <f>HC29/HC2</f>
        <v>12.977219712507235</v>
      </c>
      <c r="HD30" s="26"/>
      <c r="HE30" s="26"/>
      <c r="HF30" s="89">
        <f>HF29/HF2</f>
        <v>12.991554125705109</v>
      </c>
      <c r="HG30" s="89">
        <f>HG29/HG2</f>
        <v>12.925653065389717</v>
      </c>
      <c r="HH30" s="89">
        <f>HH29/HH2</f>
        <v>13.296453819732319</v>
      </c>
      <c r="HI30" s="89">
        <f>HI29/HI2</f>
        <v>13.786244665716735</v>
      </c>
      <c r="HJ30" s="89">
        <f>HJ29/HJ2</f>
        <v>13.733997005310032</v>
      </c>
      <c r="HK30" s="26"/>
      <c r="HL30" s="26"/>
      <c r="HM30" s="89">
        <f>HM29/HM2</f>
        <v>13.729794336161012</v>
      </c>
      <c r="HN30" s="89">
        <f>HN29/HN2</f>
        <v>13.784451090923859</v>
      </c>
      <c r="HO30" s="89">
        <f>HO29/HO2</f>
        <v>14.029763757484673</v>
      </c>
      <c r="HP30" s="89">
        <f>HP29/HP2</f>
        <v>13.550799709282323</v>
      </c>
      <c r="HQ30" s="89">
        <f>HQ29/HQ2</f>
        <v>13.779020064050474</v>
      </c>
      <c r="HR30" s="26"/>
      <c r="HS30" s="26"/>
      <c r="HT30" s="89">
        <f>HT29/HT2</f>
        <v>14.249141783483299</v>
      </c>
      <c r="HU30" s="89">
        <f>HU29/HU2</f>
        <v>14.555553821546098</v>
      </c>
      <c r="HV30" s="89">
        <f>HV29/HV2</f>
        <v>14.228610423801634</v>
      </c>
      <c r="HW30" s="89">
        <f>HW29/HW2</f>
        <v>13.79871865098607</v>
      </c>
      <c r="HX30" s="89">
        <f>HX29/HX2</f>
        <v>13.730311092075992</v>
      </c>
      <c r="HY30" s="26"/>
      <c r="HZ30" s="26"/>
      <c r="IA30" s="89">
        <f>IA29/IA2</f>
        <v>13.831550097730123</v>
      </c>
      <c r="IB30" s="89">
        <f>IB29/IB2</f>
        <v>13.297024790312079</v>
      </c>
      <c r="IC30" s="89">
        <f>IC29/IC2</f>
        <v>13.160498977531804</v>
      </c>
      <c r="ID30" s="89">
        <f>ID29/ID2</f>
        <v>13.377326902406381</v>
      </c>
      <c r="IE30" s="89">
        <f>IE29/IE2</f>
        <v>13.228565686929265</v>
      </c>
      <c r="IF30" s="26"/>
      <c r="IG30" s="26"/>
      <c r="IH30" s="89">
        <f>IH29/IH2</f>
        <v>12.831960119234118</v>
      </c>
      <c r="II30" s="89">
        <f>II29/II2</f>
        <v>13.529685389823435</v>
      </c>
      <c r="IJ30" s="89">
        <f>IJ29/IJ2</f>
        <v>13.608361984622139</v>
      </c>
      <c r="IK30" s="89">
        <f>IK29/IK2</f>
        <v>14.157554392741018</v>
      </c>
      <c r="IL30" s="89">
        <f>IL29/IL2</f>
        <v>14.09205948714229</v>
      </c>
      <c r="IM30" s="26"/>
      <c r="IN30" s="26"/>
      <c r="IO30" s="89">
        <f>IO29/IO2</f>
        <v>14.144410848741488</v>
      </c>
      <c r="IP30" s="89">
        <f>IP29/IP2</f>
        <v>14.381040036815461</v>
      </c>
      <c r="IQ30" s="89">
        <v>14.381040036815461</v>
      </c>
      <c r="IR30" s="89">
        <f>IR29/IR2</f>
        <v>13.980446474376594</v>
      </c>
      <c r="IS30" s="89">
        <f>IS29/IS2</f>
        <v>13.351889121239575</v>
      </c>
      <c r="IT30" s="26"/>
      <c r="IU30" s="26"/>
      <c r="IV30" s="89">
        <f>IV29/IV2</f>
        <v>13.510929302503472</v>
      </c>
      <c r="IW30" s="89">
        <f>IW29/IW2</f>
        <v>13.470476684752882</v>
      </c>
      <c r="IX30" s="89">
        <f>IX29/IX2</f>
        <v>12.931960583137819</v>
      </c>
      <c r="IY30" s="89">
        <f>IY29/IY2</f>
        <v>13.283923547755933</v>
      </c>
      <c r="IZ30" s="89">
        <f>IZ29/IZ2</f>
        <v>13.042137188936879</v>
      </c>
      <c r="JA30" s="26"/>
      <c r="JB30" s="26"/>
      <c r="JC30" s="89">
        <f>JC29/JC2</f>
        <v>13.276502372801794</v>
      </c>
      <c r="JD30" s="89">
        <f>JD29/JD2</f>
        <v>13.446496658724866</v>
      </c>
      <c r="JE30" s="89">
        <f>JE29/JE2</f>
        <v>13.352794327531385</v>
      </c>
      <c r="JF30" s="89">
        <f>JF29/JF2</f>
        <v>13.263649144270861</v>
      </c>
      <c r="JG30" s="89">
        <f>JG29/JG2</f>
        <v>13.328351195656396</v>
      </c>
      <c r="JH30" s="26"/>
      <c r="JI30" s="26"/>
      <c r="JJ30" s="89">
        <f>JJ29/JJ2</f>
        <v>12.886046227091192</v>
      </c>
      <c r="JK30" s="89">
        <f>JK29/JK2</f>
        <v>12.348684340298675</v>
      </c>
      <c r="JL30" s="89">
        <f>JL29/JL2</f>
        <v>11.907875361530408</v>
      </c>
      <c r="JM30" s="89">
        <f>JM29/JM2</f>
        <v>12.417887210997041</v>
      </c>
      <c r="JN30" s="89">
        <f>JN29/JN2</f>
        <v>12.383433276112747</v>
      </c>
      <c r="JO30" s="26"/>
      <c r="JP30" s="26"/>
      <c r="JQ30" s="89">
        <f>JQ29/JQ2</f>
        <v>12.552397766163173</v>
      </c>
      <c r="JR30" s="89">
        <f>JR29/JR2</f>
        <v>12.290077008774947</v>
      </c>
      <c r="JS30" s="89">
        <f>JS29/JS2</f>
        <v>11.708595417317788</v>
      </c>
      <c r="JT30" s="89">
        <f>JT29/JT2</f>
        <v>11.811876479297517</v>
      </c>
      <c r="JU30" s="89">
        <f>JU29/JU2</f>
        <v>11.734365506898305</v>
      </c>
      <c r="JV30" s="26"/>
      <c r="JW30" s="26"/>
      <c r="JX30" s="89">
        <f>JX29/JX2</f>
        <v>12.009809083627907</v>
      </c>
      <c r="JY30" s="89">
        <f>JY29/JY2</f>
        <v>12.88093067134081</v>
      </c>
      <c r="JZ30" s="89">
        <v>12.88093067134081</v>
      </c>
      <c r="KA30" s="89">
        <f>KA29/KA2</f>
        <v>12.167066233786651</v>
      </c>
      <c r="KB30" s="89">
        <f>KB29/KB2</f>
        <v>12.60333643414666</v>
      </c>
      <c r="KC30" s="26"/>
      <c r="KD30" s="26"/>
      <c r="KE30" s="89">
        <f>KE29/KE2</f>
        <v>13.256489111488538</v>
      </c>
      <c r="KF30" s="89">
        <f>KF29/KF2</f>
        <v>13.490609045813395</v>
      </c>
      <c r="KG30" s="89">
        <f>KG29/KG2</f>
        <v>13.115533370676399</v>
      </c>
      <c r="KH30" s="89">
        <f>KH29/KH2</f>
        <v>13.274408978562999</v>
      </c>
      <c r="KI30" s="89">
        <f>KI29/KI2</f>
        <v>12.978596029044038</v>
      </c>
      <c r="KJ30" s="26"/>
      <c r="KK30" s="26"/>
      <c r="KL30" s="89">
        <f>KL29/KL2</f>
        <v>12.910110341676216</v>
      </c>
      <c r="KM30" s="89">
        <f>KM29/KM2</f>
        <v>12.890777473727308</v>
      </c>
      <c r="KN30" s="89">
        <f>KN29/KN2</f>
        <v>12.953840627780018</v>
      </c>
      <c r="KO30" s="89">
        <f>KO29/KO2</f>
        <v>12.843265458621335</v>
      </c>
      <c r="KP30" s="89">
        <f>KP29/KP2</f>
        <v>13.167886054148056</v>
      </c>
      <c r="KQ30" s="26"/>
      <c r="KR30" s="26"/>
      <c r="KS30" s="89">
        <f>KS29/KS2</f>
        <v>13.733044821602181</v>
      </c>
      <c r="KT30" s="89">
        <f>KT29/KT2</f>
        <v>13.530019373049113</v>
      </c>
      <c r="KU30" s="89">
        <v>13.530019373049113</v>
      </c>
      <c r="KV30" s="89">
        <f>KV29/KV2</f>
        <v>13.783382524442638</v>
      </c>
      <c r="KW30" s="89">
        <f>KW29/KW2</f>
        <v>13.688377503630663</v>
      </c>
      <c r="KX30" s="26"/>
      <c r="KY30" s="26"/>
      <c r="KZ30" s="89">
        <f>KZ29/KZ2</f>
        <v>13.64786754799136</v>
      </c>
      <c r="LA30" s="89">
        <f>LA29/LA2</f>
        <v>13.781860581012111</v>
      </c>
      <c r="LB30" s="89">
        <f>LB29/LB2</f>
        <v>14.2165760300709</v>
      </c>
      <c r="LC30" s="89">
        <f>LC29/LC2</f>
        <v>13.882674463917054</v>
      </c>
      <c r="LD30" s="89">
        <f>LD29/LD2</f>
        <v>13.354077924563883</v>
      </c>
      <c r="LE30" s="26"/>
      <c r="LF30" s="26"/>
      <c r="LG30" s="89">
        <f>LG29/LG2</f>
        <v>13.772566400681953</v>
      </c>
      <c r="LH30" s="89">
        <f>LH29/LH2</f>
        <v>13.666917052626435</v>
      </c>
      <c r="LI30" s="89">
        <f>LI29/LI2</f>
        <v>13.764499923997695</v>
      </c>
      <c r="LJ30" s="89">
        <f>LJ29/LJ2</f>
        <v>13.858724198132993</v>
      </c>
      <c r="LK30" s="89">
        <f>LK29/LK2</f>
        <v>14.086335079404286</v>
      </c>
      <c r="LL30" s="26"/>
      <c r="LM30" s="26"/>
      <c r="LN30" s="89">
        <f>LN29/LN2</f>
        <v>14.171492059713</v>
      </c>
      <c r="LO30" s="89">
        <f>LO29/LO2</f>
        <v>14.216695231331689</v>
      </c>
      <c r="LP30" s="89">
        <f>LP29/LP2</f>
        <v>14.54654383486892</v>
      </c>
      <c r="LQ30" s="89">
        <f>LQ29/LQ2</f>
        <v>14.772417763515744</v>
      </c>
      <c r="LR30" s="89">
        <f>LR29/LR2</f>
        <v>14.973327977351568</v>
      </c>
      <c r="LS30" s="26"/>
      <c r="LT30" s="26"/>
      <c r="LU30" s="89">
        <f>LU29/LU2</f>
        <v>15.195113548234518</v>
      </c>
      <c r="LV30" s="89">
        <f>LV29/LV2</f>
        <v>15.431219097693095</v>
      </c>
      <c r="LW30" s="89">
        <f>LW29/LW2</f>
        <v>15.035953596340727</v>
      </c>
      <c r="LX30" s="89">
        <f>LX29/LX2</f>
        <v>15.067643971781317</v>
      </c>
      <c r="LY30" s="89">
        <f>LY29/LY2</f>
        <v>15.290662668919916</v>
      </c>
      <c r="LZ30" s="26"/>
      <c r="MA30" s="26"/>
      <c r="MB30" s="89">
        <f>MB29/MB2</f>
        <v>14.063748157648988</v>
      </c>
      <c r="MC30" s="89">
        <f>MC29/MC2</f>
        <v>14.432150617387562</v>
      </c>
      <c r="MD30" s="89">
        <f>MD29/MD2</f>
        <v>14.893290134683374</v>
      </c>
      <c r="ME30" s="89">
        <f>ME29/ME2</f>
        <v>15.126681418878681</v>
      </c>
      <c r="MF30" s="89">
        <f>MF29/MF2</f>
        <v>15.048503961756937</v>
      </c>
      <c r="MG30" s="26"/>
      <c r="MH30" s="26"/>
      <c r="MI30" s="89">
        <f>MI29/MI2</f>
        <v>14.607705183710227</v>
      </c>
      <c r="MJ30" s="89">
        <f>MJ29/MJ2</f>
        <v>14.120660972701542</v>
      </c>
      <c r="MK30" s="89">
        <f>MK29/MK2</f>
        <v>13.812066814809008</v>
      </c>
      <c r="ML30" s="89">
        <f>ML29/ML2</f>
        <v>14.124464503345163</v>
      </c>
      <c r="MM30" s="89">
        <f>MM29/MM2</f>
        <v>14.855180582258672</v>
      </c>
      <c r="MN30" s="26"/>
      <c r="MO30" s="26"/>
      <c r="MP30" s="89">
        <f>MP29/MP2</f>
        <v>14.380251473351061</v>
      </c>
      <c r="MQ30" s="89">
        <f>MQ29/MQ2</f>
        <v>14.546683282762704</v>
      </c>
      <c r="MR30" s="89">
        <f>MR29/MR2</f>
        <v>14.263328542725542</v>
      </c>
      <c r="MS30" s="89">
        <f>MS29/MS2</f>
        <v>14.641913645831165</v>
      </c>
      <c r="MT30" s="89">
        <f>MT29/MT2</f>
        <v>14.245962457964913</v>
      </c>
      <c r="MU30" s="26"/>
      <c r="MV30" s="26"/>
      <c r="MW30" s="89">
        <f>MW29/MW2</f>
        <v>14.128685742208855</v>
      </c>
      <c r="MX30" s="89">
        <f>MX29/MX2</f>
        <v>13.916466499619688</v>
      </c>
      <c r="MY30" s="89">
        <f>MY29/MY2</f>
        <v>13.999300531722788</v>
      </c>
      <c r="MZ30" s="89">
        <f>MZ29/MZ2</f>
        <v>14.446041244603437</v>
      </c>
      <c r="NA30" s="89">
        <f>NA29/NA2</f>
        <v>13.832282071715502</v>
      </c>
      <c r="NB30" s="26"/>
    </row>
    <row r="31" spans="1:367" x14ac:dyDescent="0.25">
      <c r="A31" s="40" t="s">
        <v>103</v>
      </c>
      <c r="B31" s="90"/>
      <c r="C31" s="90"/>
      <c r="D31" s="90"/>
      <c r="E31" s="90">
        <f>(E29/D29)-1</f>
        <v>-8.1028712348071297E-3</v>
      </c>
      <c r="F31" s="90">
        <f>(F29/E29)-1</f>
        <v>2.649240551042098E-3</v>
      </c>
      <c r="G31" s="90">
        <f>(G29/F29)-1</f>
        <v>-7.3632538569424755E-3</v>
      </c>
      <c r="H31" s="90">
        <f>(H29/G29)-1</f>
        <v>6.7068975921791063E-2</v>
      </c>
      <c r="I31" s="90"/>
      <c r="J31" s="90"/>
      <c r="K31" s="90">
        <f>(K29/H29)-1</f>
        <v>1.7624250969339172E-4</v>
      </c>
      <c r="L31" s="90">
        <f>(L29/K29)-1</f>
        <v>6.9210292812778018E-3</v>
      </c>
      <c r="M31" s="90">
        <f>(M29/L29)-1</f>
        <v>1.3306959180003464E-2</v>
      </c>
      <c r="N31" s="90">
        <f>(N29/M29)-1</f>
        <v>6.6980448950035854E-3</v>
      </c>
      <c r="O31" s="90">
        <f>(O29/N29)-1</f>
        <v>-1.4793737461576084E-2</v>
      </c>
      <c r="P31" s="90"/>
      <c r="Q31" s="90"/>
      <c r="R31" s="90">
        <f>(R29/O29)-1</f>
        <v>5.285623467441658E-3</v>
      </c>
      <c r="S31" s="90">
        <f>(S29/R29)-1</f>
        <v>-2.8074624162289785E-3</v>
      </c>
      <c r="T31" s="90">
        <f>(T29/S29)-1</f>
        <v>4.2746703046840917E-3</v>
      </c>
      <c r="U31" s="90">
        <f>(U29/T29)-1</f>
        <v>1.499178405922863E-2</v>
      </c>
      <c r="V31" s="90">
        <f>(V29/U29)-1</f>
        <v>-4.1735613164184393E-3</v>
      </c>
      <c r="W31" s="44"/>
      <c r="X31" s="44"/>
      <c r="Y31" s="90">
        <f>(Y29/V29)-1</f>
        <v>-9.3617951333235805E-3</v>
      </c>
      <c r="Z31" s="90">
        <f>(Z29/Y29)-1</f>
        <v>-1.1643137825644301E-3</v>
      </c>
      <c r="AA31" s="90">
        <f>(AA29/Z29)-1</f>
        <v>1.8543224850077422E-2</v>
      </c>
      <c r="AB31" s="90">
        <f>(AB29/AA29)-1</f>
        <v>9.4777922319271291E-3</v>
      </c>
      <c r="AC31" s="90">
        <f>(AC29/AB29)-1</f>
        <v>-2.5949953660795444E-3</v>
      </c>
      <c r="AD31" s="44"/>
      <c r="AE31" s="44"/>
      <c r="AF31" s="90">
        <f>(AF29/AC29)-1</f>
        <v>5.3527700948863277E-4</v>
      </c>
      <c r="AG31" s="90">
        <f>(AG29/AF29)-1</f>
        <v>2.767041298625128E-2</v>
      </c>
      <c r="AH31" s="90">
        <f>(AH29/AG29)-1</f>
        <v>3.7336822733244901E-3</v>
      </c>
      <c r="AI31" s="90">
        <f>(AI29/AH29)-1</f>
        <v>-1.3013466108408034E-3</v>
      </c>
      <c r="AJ31" s="90">
        <f>(AJ29/AI29)-1</f>
        <v>-4.8423423423423761E-3</v>
      </c>
      <c r="AK31" s="44"/>
      <c r="AL31" s="44"/>
      <c r="AM31" s="90">
        <f>(AM29/AJ29)-1</f>
        <v>6.9739751658446369E-3</v>
      </c>
      <c r="AN31" s="90">
        <f>(AN29/AM29)-1</f>
        <v>4.0800060725674214E-3</v>
      </c>
      <c r="AO31" s="90">
        <f>(AO29/AN29)-1</f>
        <v>-1.3494457702908136E-2</v>
      </c>
      <c r="AP31" s="90">
        <f>(AP29/AO29)-1</f>
        <v>2.5294749780824244E-2</v>
      </c>
      <c r="AQ31" s="90">
        <f>(AQ29/AP29)-1</f>
        <v>2.2122191443521011E-3</v>
      </c>
      <c r="AR31" s="44"/>
      <c r="AS31" s="44"/>
      <c r="AT31" s="90">
        <f>(AT29/AQ29)-1</f>
        <v>-2.2839375851678723E-3</v>
      </c>
      <c r="AU31" s="90">
        <f>(AU29/AT29)-1</f>
        <v>4.3370985774315862E-3</v>
      </c>
      <c r="AV31" s="90">
        <f>(AV29/AU29)-1</f>
        <v>4.8423336174170384E-3</v>
      </c>
      <c r="AW31" s="90">
        <f>(AW29/AV29)-1</f>
        <v>8.4720013446594855E-2</v>
      </c>
      <c r="AX31" s="90">
        <f>(AX29/AW29)-1</f>
        <v>4.4219343527809318E-3</v>
      </c>
      <c r="AY31" s="44"/>
      <c r="AZ31" s="44"/>
      <c r="BA31" s="90">
        <f>(BA29/AX29)-1</f>
        <v>-8.8620589543775163E-2</v>
      </c>
      <c r="BB31" s="90">
        <f>(BB29/BA29)-1</f>
        <v>7.5675248463773492E-3</v>
      </c>
      <c r="BC31" s="90">
        <f>(BC29/BB29)-1</f>
        <v>9.3735665423506642E-3</v>
      </c>
      <c r="BD31" s="90">
        <f>(BD29/BC29)-1</f>
        <v>9.5128999774692691E-2</v>
      </c>
      <c r="BE31" s="90">
        <f>(BE29/BD29)-1</f>
        <v>-4.2808219178079865E-3</v>
      </c>
      <c r="BF31" s="44"/>
      <c r="BG31" s="44"/>
      <c r="BH31" s="90">
        <f>(BH29/BE29)-1</f>
        <v>0</v>
      </c>
      <c r="BI31" s="90">
        <f>(BI29/BH29)-1</f>
        <v>0</v>
      </c>
      <c r="BJ31" s="90">
        <f>(BJ29/BI29)-1</f>
        <v>9.3487067622288755E-4</v>
      </c>
      <c r="BK31" s="90">
        <f>(BK29/BJ29)-1</f>
        <v>5.8835905570779223E-2</v>
      </c>
      <c r="BL31" s="90">
        <f>(BL29/BK29)-1</f>
        <v>-5.4969953699142149E-3</v>
      </c>
      <c r="BM31" s="44"/>
      <c r="BN31" s="44"/>
      <c r="BO31" s="90">
        <f>(BO29/BL29)-1</f>
        <v>3.5193862823021949E-3</v>
      </c>
      <c r="BP31" s="90">
        <f>(BP29/BO29)-1</f>
        <v>4.6017736614170079E-3</v>
      </c>
      <c r="BQ31" s="90">
        <f>(BQ29/BP29)-1</f>
        <v>1.6349916154276167E-2</v>
      </c>
      <c r="BR31" s="90">
        <f>(BR29/BQ29)-1</f>
        <v>-8.2952228227514135E-3</v>
      </c>
      <c r="BS31" s="90">
        <f>(BS29/BR29)-1</f>
        <v>5.1540237204490413E-3</v>
      </c>
      <c r="BT31" s="44"/>
      <c r="BU31" s="44"/>
      <c r="BV31" s="90">
        <f>(BV29/BS29)-1</f>
        <v>-1.8765412596863595E-2</v>
      </c>
      <c r="BW31" s="90">
        <f>(BW29/BV29)-1</f>
        <v>-1.3018397256002512E-2</v>
      </c>
      <c r="BX31" s="90">
        <f>(BX29/BW29)-1</f>
        <v>-1.0618941611597044E-2</v>
      </c>
      <c r="BY31" s="90">
        <f>(BY29/BX29)-1</f>
        <v>1.0443349753694431E-2</v>
      </c>
      <c r="BZ31" s="90">
        <f>(BZ29/BY29)-1</f>
        <v>6.7646650399730834E-3</v>
      </c>
      <c r="CA31" s="44"/>
      <c r="CB31" s="44"/>
      <c r="CC31" s="90">
        <f>(CC29/BZ29)-1</f>
        <v>3.4869108701740537E-3</v>
      </c>
      <c r="CD31" s="90">
        <f>(CD29/CC29)-1</f>
        <v>9.28748526602452E-3</v>
      </c>
      <c r="CE31" s="90">
        <f>(CE29/CD29)-1</f>
        <v>-1.295882260487613E-2</v>
      </c>
      <c r="CF31" s="90">
        <f>(CF29/CE29)-1</f>
        <v>-2.240835748413883E-2</v>
      </c>
      <c r="CG31" s="90">
        <f>(CG29/CF29)-1</f>
        <v>5.9439095856008706E-3</v>
      </c>
      <c r="CH31" s="44"/>
      <c r="CI31" s="44"/>
      <c r="CJ31" s="90">
        <f>(CJ29/CG29)-1</f>
        <v>-3.9059114888165936E-2</v>
      </c>
      <c r="CK31" s="90">
        <f>(CK29/CJ29)-1</f>
        <v>8.8452709390729467E-3</v>
      </c>
      <c r="CL31" s="90">
        <f>(CL29/CK29)-1</f>
        <v>-2.3160820314127584E-4</v>
      </c>
      <c r="CM31" s="90">
        <f>(CM29/CL29)-1</f>
        <v>2.5118733509235103E-3</v>
      </c>
      <c r="CN31" s="90">
        <f>(CN29/CM29)-1</f>
        <v>-2.9927432482895422E-2</v>
      </c>
      <c r="CO31" s="44"/>
      <c r="CP31" s="44"/>
      <c r="CQ31" s="90">
        <f>(CQ29/CN29)-1</f>
        <v>4.1543747178738322E-3</v>
      </c>
      <c r="CR31" s="90">
        <f>(CR29/CQ29)-1</f>
        <v>-4.8923468178191376E-3</v>
      </c>
      <c r="CS31" s="90">
        <f>(CS29/CR29)-1</f>
        <v>1.1424353405444787E-3</v>
      </c>
      <c r="CT31" s="90">
        <f>(CT29/CS29)-1</f>
        <v>-9.6161956980177488E-3</v>
      </c>
      <c r="CU31" s="90">
        <f>(CU29/CT29)-1</f>
        <v>-1.8943380340981086E-3</v>
      </c>
      <c r="CV31" s="44"/>
      <c r="CW31" s="44"/>
      <c r="CX31" s="90">
        <f>(CX29/CU29)-1</f>
        <v>2.3672569838530055E-2</v>
      </c>
      <c r="CY31" s="90">
        <f>(CY29/CX29)-1</f>
        <v>1.1639164389750656E-2</v>
      </c>
      <c r="CZ31" s="90">
        <f>(CZ29/CY29)-1</f>
        <v>-7.0284127323220202E-3</v>
      </c>
      <c r="DA31" s="90">
        <f>(DA29/CZ29)-1</f>
        <v>-7.3162973173576118E-3</v>
      </c>
      <c r="DB31" s="90">
        <f>(DB29/DA29)-1</f>
        <v>0</v>
      </c>
      <c r="DC31" s="44"/>
      <c r="DD31" s="44"/>
      <c r="DE31" s="90">
        <f>(DE29/DB29)-1</f>
        <v>8.7494117143711581E-3</v>
      </c>
      <c r="DF31" s="90">
        <f>(DF29/DE29)-1</f>
        <v>5.2871504900195765E-2</v>
      </c>
      <c r="DG31" s="90">
        <f>(DG29/DF29)-1</f>
        <v>-4.3010297734328296E-2</v>
      </c>
      <c r="DH31" s="90">
        <f>(DH29/DG29)-1</f>
        <v>0</v>
      </c>
      <c r="DI31" s="90">
        <f>(DI29/DH29)-1</f>
        <v>7.5859436297278426E-2</v>
      </c>
      <c r="DJ31" s="44"/>
      <c r="DK31" s="44"/>
      <c r="DL31" s="90">
        <f>(DL29/DI29)-1</f>
        <v>-3.0564375704189128E-2</v>
      </c>
      <c r="DM31" s="90">
        <f>(DM29/DL29)-1</f>
        <v>4.4231927943516602E-2</v>
      </c>
      <c r="DN31" s="90">
        <f>(DN29/DM29)-1</f>
        <v>-7.4555458097439464E-3</v>
      </c>
      <c r="DO31" s="90">
        <f>(DO29/DN29)-1</f>
        <v>1.7762256369320717E-2</v>
      </c>
      <c r="DP31" s="90">
        <f>(DP29/DO29)-1</f>
        <v>2.0029394219138741E-3</v>
      </c>
      <c r="DQ31" s="44"/>
      <c r="DR31" s="44"/>
      <c r="DS31" s="90">
        <f>(DS29/DP29)-1</f>
        <v>-2.1347711039930051E-2</v>
      </c>
      <c r="DT31" s="90">
        <f>(DT29/DS29)-1</f>
        <v>1.9735268319911459E-3</v>
      </c>
      <c r="DU31" s="90">
        <f>(DU29/DT29)-1</f>
        <v>1.4773407865840138E-3</v>
      </c>
      <c r="DV31" s="90">
        <f>(DV29/DU29)-1</f>
        <v>1.5996800639872522E-3</v>
      </c>
      <c r="DW31" s="90">
        <f>(DW29/DV29)-1</f>
        <v>-1.4581280788177442E-2</v>
      </c>
      <c r="DX31" s="44"/>
      <c r="DY31" s="44"/>
      <c r="DZ31" s="90">
        <f>(DZ29/DW29)-1</f>
        <v>-1.1376475630186511E-2</v>
      </c>
      <c r="EA31" s="90">
        <f>(EA29/DZ29)-1</f>
        <v>-1.0702679561773731E-3</v>
      </c>
      <c r="EB31" s="90">
        <f>(EB29/EA29)-1</f>
        <v>2.9078844652614677E-3</v>
      </c>
      <c r="EC31" s="90">
        <f>(EC29/EB29)-1</f>
        <v>1.7456617456617529E-2</v>
      </c>
      <c r="ED31" s="90">
        <f>(ED29/EC29)-1</f>
        <v>8.0281965929114296E-3</v>
      </c>
      <c r="EE31" s="44"/>
      <c r="EF31" s="44"/>
      <c r="EG31" s="90">
        <f>(EG29/ED29)-1</f>
        <v>8.0931701539677103E-3</v>
      </c>
      <c r="EH31" s="90">
        <f>(EH29/EG29)-1</f>
        <v>1.9869949469530912E-2</v>
      </c>
      <c r="EI31" s="90">
        <f>(EI29/EH29)-1</f>
        <v>1.673724541238153E-3</v>
      </c>
      <c r="EJ31" s="90">
        <f>(EJ29/EI29)-1</f>
        <v>-2.927568637675404E-3</v>
      </c>
      <c r="EK31" s="90">
        <f>(EK29/EJ29)-1</f>
        <v>8.6109687339825935E-3</v>
      </c>
      <c r="EL31" s="44"/>
      <c r="EM31" s="44"/>
      <c r="EN31" s="90">
        <f>(EN29/EK29)-1</f>
        <v>5.6079005422344785E-3</v>
      </c>
      <c r="EO31" s="90">
        <f>(EO29/EN29)-1</f>
        <v>-2.7649003180674203E-3</v>
      </c>
      <c r="EP31" s="90">
        <f>(EP29/EO29)-1</f>
        <v>-3.8390961480133545E-2</v>
      </c>
      <c r="EQ31" s="90">
        <f>(EQ29/EP29)-1</f>
        <v>8.17279626386469E-3</v>
      </c>
      <c r="ER31" s="90">
        <f>(ER29/EQ29)-1</f>
        <v>1.1216056670602104E-2</v>
      </c>
      <c r="ES31" s="44"/>
      <c r="ET31" s="44"/>
      <c r="EU31" s="90">
        <f>(EU29/ER29)-1</f>
        <v>-4.1551725355207347E-2</v>
      </c>
      <c r="EV31" s="90">
        <f>(EV29/EU29)-1</f>
        <v>4.4709990832509927E-3</v>
      </c>
      <c r="EW31" s="90">
        <f>(EW29/EV29)-1</f>
        <v>-2.7751122268674044E-2</v>
      </c>
      <c r="EX31" s="90">
        <f>(EX29/EW29)-1</f>
        <v>-2.3811513075444601E-3</v>
      </c>
      <c r="EY31" s="90">
        <f>(EY29/EX29)-1</f>
        <v>-1.6057389527244226E-3</v>
      </c>
      <c r="EZ31" s="44"/>
      <c r="FA31" s="44"/>
      <c r="FB31" s="90">
        <f>(FB29/EY29)-1</f>
        <v>2.4458566769796075E-3</v>
      </c>
      <c r="FC31" s="90">
        <f>(FC29/FB29)-1</f>
        <v>-9.9503976269059713E-3</v>
      </c>
      <c r="FD31" s="90">
        <f>(FD29/FC29)-1</f>
        <v>4.0238144118249775E-3</v>
      </c>
      <c r="FE31" s="90">
        <f>(FE29/FD29)-1</f>
        <v>-4.9639450084772996E-3</v>
      </c>
      <c r="FF31" s="90">
        <f>(FF29/FE29)-1</f>
        <v>-2.3576697978477057E-2</v>
      </c>
      <c r="FG31" s="44"/>
      <c r="FH31" s="44"/>
      <c r="FI31" s="90">
        <f>(FI29/FF29)-1</f>
        <v>-2.3456790123456805E-2</v>
      </c>
      <c r="FJ31" s="90">
        <f>(FJ29/FI29)-1</f>
        <v>-1.6238530315184629E-3</v>
      </c>
      <c r="FK31" s="90">
        <f>(FK29/FJ29)-1</f>
        <v>-5.8690038344244577E-5</v>
      </c>
      <c r="FL31" s="90">
        <f>(FL29/FK29)-1</f>
        <v>0</v>
      </c>
      <c r="FM31" s="90">
        <f>(FM29/FL29)-1</f>
        <v>-3.7809393880334774E-3</v>
      </c>
      <c r="FN31" s="44"/>
      <c r="FO31" s="44"/>
      <c r="FP31" s="90">
        <f>(FP29/FM29)-1</f>
        <v>-6.3903950426025258E-3</v>
      </c>
      <c r="FQ31" s="90">
        <f>(FQ29/FP29)-1</f>
        <v>2.6600392210163193E-3</v>
      </c>
      <c r="FR31" s="90">
        <f>(FR29/FQ29)-1</f>
        <v>-5.8245641284537797E-5</v>
      </c>
      <c r="FS31" s="90">
        <f>(FS29/FR29)-1</f>
        <v>-6.2512058653289015E-3</v>
      </c>
      <c r="FT31" s="90">
        <f>(FT29/FS29)-1</f>
        <v>-9.5547487101089734E-3</v>
      </c>
      <c r="FU31" s="44"/>
      <c r="FV31" s="44"/>
      <c r="FW31" s="90">
        <f>(FW29/FT29)-1</f>
        <v>2.4712170264935551E-3</v>
      </c>
      <c r="FX31" s="90">
        <f>(FX29/FW29)-1</f>
        <v>4.7914750076660795E-4</v>
      </c>
      <c r="FY31" s="90">
        <f>(FY29/FX29)-1</f>
        <v>-1.702860422845065E-3</v>
      </c>
      <c r="FZ31" s="90">
        <f>(FZ29/FY29)-1</f>
        <v>-2.1573943258621497E-3</v>
      </c>
      <c r="GA31" s="90">
        <f>(GA29/FZ29)-1</f>
        <v>-1.4339480617237443E-2</v>
      </c>
      <c r="GB31" s="44"/>
      <c r="GC31" s="44"/>
      <c r="GD31" s="90">
        <f>(GD29/GA29)-1</f>
        <v>-8.9109250323542666E-2</v>
      </c>
      <c r="GE31" s="90">
        <f>(GE29/GD29)-1</f>
        <v>-1.5975211518480026E-2</v>
      </c>
      <c r="GF31" s="90">
        <f>(GF29/GE29)-1</f>
        <v>-6.0688046933490392E-2</v>
      </c>
      <c r="GG31" s="90">
        <f>(GG29/GF29)-1</f>
        <v>1.2696459533531046E-2</v>
      </c>
      <c r="GH31" s="90">
        <f>(GH29/GG29)-1</f>
        <v>2.4667986063812375E-2</v>
      </c>
      <c r="GI31" s="44"/>
      <c r="GJ31" s="44"/>
      <c r="GK31" s="90">
        <f>(GK29/GH29)-1</f>
        <v>-7.3119646931220084E-3</v>
      </c>
      <c r="GL31" s="90">
        <f>(GL29/GK29)-1</f>
        <v>-3.9329395363543518E-2</v>
      </c>
      <c r="GM31" s="90">
        <f>(GM29/GL29)-1</f>
        <v>-2.6286349323949021E-2</v>
      </c>
      <c r="GN31" s="90">
        <f>(GN29/GM29)-1</f>
        <v>-1.0537890589205401E-2</v>
      </c>
      <c r="GO31" s="90">
        <f>(GO29/GN29)-1</f>
        <v>1.0257169835774071E-2</v>
      </c>
      <c r="GP31" s="44"/>
      <c r="GQ31" s="44"/>
      <c r="GR31" s="90">
        <f>(GR29/GO29)-1</f>
        <v>2.1114909296555018E-2</v>
      </c>
      <c r="GS31" s="90">
        <f>(GS29/GR29)-1</f>
        <v>1.0182651016934274E-2</v>
      </c>
      <c r="GT31" s="90">
        <f>(GT29/GS29)-1</f>
        <v>-2.1258437611021086E-2</v>
      </c>
      <c r="GU31" s="90">
        <f>(GU29/GT29)-1</f>
        <v>-8.4388185654009629E-3</v>
      </c>
      <c r="GV31" s="90">
        <f>(GV29/GU29)-1</f>
        <v>3.5193841077811872E-3</v>
      </c>
      <c r="GW31" s="44"/>
      <c r="GX31" s="44"/>
      <c r="GY31" s="90">
        <f>(GY29/GV29)-1</f>
        <v>7.6467002825952868E-3</v>
      </c>
      <c r="GZ31" s="90">
        <f>(GZ29/GY29)-1</f>
        <v>3.4946621957623769E-2</v>
      </c>
      <c r="HA31" s="90">
        <f>(HA29/GZ29)-1</f>
        <v>0</v>
      </c>
      <c r="HB31" s="90">
        <f>(HB29/HA29)-1</f>
        <v>2.2937106069659485E-2</v>
      </c>
      <c r="HC31" s="90">
        <f>(HC29/HB29)-1</f>
        <v>0</v>
      </c>
      <c r="HD31" s="44"/>
      <c r="HE31" s="44"/>
      <c r="HF31" s="90">
        <f>(HF29/HC29)-1</f>
        <v>-3.6832822797734921E-2</v>
      </c>
      <c r="HG31" s="90">
        <f>(HG29/HF29)-1</f>
        <v>0</v>
      </c>
      <c r="HH31" s="90">
        <f>(HH29/HG29)-1</f>
        <v>-9.7836988815926951E-3</v>
      </c>
      <c r="HI31" s="90">
        <f>(HI29/HH29)-1</f>
        <v>8.3387398389498379E-3</v>
      </c>
      <c r="HJ31" s="90">
        <f>(HJ29/HI29)-1</f>
        <v>4.6777347494344479E-3</v>
      </c>
      <c r="HK31" s="44"/>
      <c r="HL31" s="44"/>
      <c r="HM31" s="90">
        <f>(HM29/HJ29)-1</f>
        <v>1.7914292404964449E-2</v>
      </c>
      <c r="HN31" s="90">
        <f>(HN29/HM29)-1</f>
        <v>4.4903457566225491E-4</v>
      </c>
      <c r="HO31" s="90">
        <f>(HO29/HN29)-1</f>
        <v>2.9315364201687233E-2</v>
      </c>
      <c r="HP31" s="90">
        <f>(HP29/HO29)-1</f>
        <v>-1.2322979422580316E-2</v>
      </c>
      <c r="HQ31" s="90">
        <f>(HQ29/HP29)-1</f>
        <v>2.0384163073303707E-3</v>
      </c>
      <c r="HR31" s="44"/>
      <c r="HS31" s="44"/>
      <c r="HT31" s="90">
        <f>(HT29/HQ29)-1</f>
        <v>1.9835424890513043E-3</v>
      </c>
      <c r="HU31" s="90">
        <f>(HU29/HT29)-1</f>
        <v>-8.1422755517462919E-3</v>
      </c>
      <c r="HV31" s="90">
        <f>(HV29/HU29)-1</f>
        <v>-8.5937198254221192E-3</v>
      </c>
      <c r="HW31" s="90">
        <f>(HW29/HV29)-1</f>
        <v>2.3179447556520572E-4</v>
      </c>
      <c r="HX31" s="90">
        <f>(HX29/HW29)-1</f>
        <v>-3.6183070941914197E-3</v>
      </c>
      <c r="HY31" s="44"/>
      <c r="HZ31" s="44"/>
      <c r="IA31" s="90">
        <f>(IA29/HX29)-1</f>
        <v>4.8737090473058853E-3</v>
      </c>
      <c r="IB31" s="90">
        <f>(IB29/IA29)-1</f>
        <v>-1.3789232923858696E-3</v>
      </c>
      <c r="IC31" s="90">
        <f>(IC29/IB29)-1</f>
        <v>-3.9179579603121351E-4</v>
      </c>
      <c r="ID31" s="90">
        <f>(ID29/IC29)-1</f>
        <v>-2.4037521985538213E-3</v>
      </c>
      <c r="IE31" s="90">
        <f>(IE29/ID29)-1</f>
        <v>5.3045186640472419E-3</v>
      </c>
      <c r="IF31" s="44"/>
      <c r="IG31" s="44"/>
      <c r="IH31" s="90">
        <f>(IH29/IE29)-1</f>
        <v>9.3999127434258867E-3</v>
      </c>
      <c r="II31" s="90">
        <f>(II29/IH29)-1</f>
        <v>-1.8365646333611263E-2</v>
      </c>
      <c r="IJ31" s="90">
        <f>(IJ29/II29)-1</f>
        <v>-8.0631657400334067E-3</v>
      </c>
      <c r="IK31" s="90">
        <f>(IK29/IJ29)-1</f>
        <v>-4.1727559418506255E-3</v>
      </c>
      <c r="IL31" s="90">
        <f>(IL29/IK29)-1</f>
        <v>2.4867469879517046E-3</v>
      </c>
      <c r="IM31" s="44"/>
      <c r="IN31" s="44"/>
      <c r="IO31" s="90">
        <f>(IO29/IL29)-1</f>
        <v>3.7149546272468026E-3</v>
      </c>
      <c r="IP31" s="90">
        <f>(IP29/IO29)-1</f>
        <v>-3.814021006469781E-2</v>
      </c>
      <c r="IQ31" s="90">
        <v>-3.814021006469781E-2</v>
      </c>
      <c r="IR31" s="90">
        <f>(IR29/IQ29)-1</f>
        <v>-1.5151515151515138E-2</v>
      </c>
      <c r="IS31" s="90">
        <f>(IS29/IR29)-1</f>
        <v>-5.4297590846109633E-3</v>
      </c>
      <c r="IT31" s="44"/>
      <c r="IU31" s="44"/>
      <c r="IV31" s="90">
        <f>(IV29/IS29)-1</f>
        <v>2.4554879835873455E-2</v>
      </c>
      <c r="IW31" s="90">
        <f>(IW29/IV29)-1</f>
        <v>-1.1797416539553129E-2</v>
      </c>
      <c r="IX31" s="90">
        <f>(IX29/IW29)-1</f>
        <v>-3.0394800772039154E-2</v>
      </c>
      <c r="IY31" s="90">
        <f>(IY29/IX29)-1</f>
        <v>-8.3703646950658017E-3</v>
      </c>
      <c r="IZ31" s="90">
        <f>(IZ29/IY29)-1</f>
        <v>-1.2689347377976001E-2</v>
      </c>
      <c r="JA31" s="44"/>
      <c r="JB31" s="44"/>
      <c r="JC31" s="90">
        <f>(JC29/IZ29)-1</f>
        <v>9.8350011458252506E-3</v>
      </c>
      <c r="JD31" s="90">
        <f>(JD29/JC29)-1</f>
        <v>1.2804146841514763E-2</v>
      </c>
      <c r="JE31" s="90">
        <f>(JE29/JD29)-1</f>
        <v>-1.5625503814480246E-2</v>
      </c>
      <c r="JF31" s="90">
        <f>(JF29/JE29)-1</f>
        <v>2.9028137941722321E-4</v>
      </c>
      <c r="JG31" s="90">
        <f>(JG29/JF29)-1</f>
        <v>-4.2999640712796161E-2</v>
      </c>
      <c r="JH31" s="44"/>
      <c r="JI31" s="44"/>
      <c r="JJ31" s="90">
        <f>(JJ29/JG29)-1</f>
        <v>-5.6640209169857125E-2</v>
      </c>
      <c r="JK31" s="90">
        <f>(JK29/JJ29)-1</f>
        <v>-1.6506675173767249E-2</v>
      </c>
      <c r="JL31" s="90">
        <f>(JL29/JK29)-1</f>
        <v>-1.6047470657386542E-3</v>
      </c>
      <c r="JM31" s="90">
        <f>(JM29/JL29)-1</f>
        <v>-5.9725854617623808E-3</v>
      </c>
      <c r="JN31" s="90">
        <f>(JN29/JM29)-1</f>
        <v>-2.7745408134954852E-3</v>
      </c>
      <c r="JO31" s="44"/>
      <c r="JP31" s="44"/>
      <c r="JQ31" s="90">
        <f>(JQ29/JN29)-1</f>
        <v>5.7933300336747262E-2</v>
      </c>
      <c r="JR31" s="90">
        <f>(JR29/JQ29)-1</f>
        <v>1.1496265172735942E-2</v>
      </c>
      <c r="JS31" s="90">
        <f>(JS29/JR29)-1</f>
        <v>-3.1019866656173067E-2</v>
      </c>
      <c r="JT31" s="90">
        <f>(JT29/JS29)-1</f>
        <v>2.0165739798973403E-2</v>
      </c>
      <c r="JU31" s="90">
        <f>(JU29/JT29)-1</f>
        <v>3.0263048413745608E-2</v>
      </c>
      <c r="JV31" s="44"/>
      <c r="JW31" s="44"/>
      <c r="JX31" s="90">
        <f>(JX29/JU29)-1</f>
        <v>5.3910431668526826E-3</v>
      </c>
      <c r="JY31" s="90">
        <f>(JY29/JX29)-1</f>
        <v>3.0832565048146021E-2</v>
      </c>
      <c r="JZ31" s="90">
        <v>3.0832565048146021E-2</v>
      </c>
      <c r="KA31" s="90">
        <f>(KA29/JZ29)-1</f>
        <v>-3.3759798081334669E-2</v>
      </c>
      <c r="KB31" s="90">
        <f>(KB29/KA29)-1</f>
        <v>3.6538497945894921E-3</v>
      </c>
      <c r="KC31" s="44"/>
      <c r="KD31" s="44"/>
      <c r="KE31" s="90">
        <f>(KE29/KB29)-1</f>
        <v>5.1709000993673815E-2</v>
      </c>
      <c r="KF31" s="90">
        <f>(KF29/KE29)-1</f>
        <v>0</v>
      </c>
      <c r="KG31" s="90">
        <f>(KG29/KF29)-1</f>
        <v>-2.1020736672663354E-3</v>
      </c>
      <c r="KH31" s="90">
        <f>(KH29/KG29)-1</f>
        <v>1.2113545320376673E-2</v>
      </c>
      <c r="KI31" s="90">
        <f>(KI29/KH29)-1</f>
        <v>-1.0752044167501418E-2</v>
      </c>
      <c r="KJ31" s="44"/>
      <c r="KK31" s="44"/>
      <c r="KL31" s="90">
        <f>(KL29/KI29)-1</f>
        <v>-7.8301180100538437E-3</v>
      </c>
      <c r="KM31" s="90">
        <f>(KM29/KL29)-1</f>
        <v>1.2862316261099682E-3</v>
      </c>
      <c r="KN31" s="90">
        <f>(KN29/KM29)-1</f>
        <v>2.8209221523147754E-2</v>
      </c>
      <c r="KO31" s="90">
        <f>(KO29/KN29)-1</f>
        <v>4.6226415094339224E-3</v>
      </c>
      <c r="KP31" s="90">
        <f>(KP29/KO29)-1</f>
        <v>-8.4561849884008389E-3</v>
      </c>
      <c r="KQ31" s="44"/>
      <c r="KR31" s="44"/>
      <c r="KS31" s="90">
        <f>(KS29/KP29)-1</f>
        <v>3.2242258220533504E-2</v>
      </c>
      <c r="KT31" s="90">
        <f>(KT29/KS29)-1</f>
        <v>2.0777909392780236E-2</v>
      </c>
      <c r="KU31" s="90">
        <v>2.0777909392780236E-2</v>
      </c>
      <c r="KV31" s="90">
        <f>(KV29/KU29)-1</f>
        <v>2.940832781521685E-3</v>
      </c>
      <c r="KW31" s="90">
        <f>(KW29/KV29)-1</f>
        <v>3.4858276087837092E-2</v>
      </c>
      <c r="KX31" s="44"/>
      <c r="KY31" s="44"/>
      <c r="KZ31" s="90">
        <f>(KZ29/KW29)-1</f>
        <v>-1.0337440795550434E-2</v>
      </c>
      <c r="LA31" s="90">
        <f>(LA29/KZ29)-1</f>
        <v>-1.6582594074331825E-2</v>
      </c>
      <c r="LB31" s="90">
        <f>(LB29/LA29)-1</f>
        <v>2.2275597567116279E-3</v>
      </c>
      <c r="LC31" s="90">
        <f>(LC29/LB29)-1</f>
        <v>-1.2736173793314376E-2</v>
      </c>
      <c r="LD31" s="90">
        <f>(LD29/LC29)-1</f>
        <v>-1.4251244156235798E-2</v>
      </c>
      <c r="LE31" s="44"/>
      <c r="LF31" s="44"/>
      <c r="LG31" s="90">
        <f>(LG29/LD29)-1</f>
        <v>7.1684587813614087E-4</v>
      </c>
      <c r="LH31" s="90">
        <f>(LH29/LG29)-1</f>
        <v>0</v>
      </c>
      <c r="LI31" s="90">
        <f>(LI29/LH29)-1</f>
        <v>-3.5901580797352839E-3</v>
      </c>
      <c r="LJ31" s="90">
        <f>(LJ29/LI29)-1</f>
        <v>-2.6549806045524593E-2</v>
      </c>
      <c r="LK31" s="90">
        <f>(LK29/LJ29)-1</f>
        <v>-8.0302906965230569E-3</v>
      </c>
      <c r="LL31" s="44"/>
      <c r="LM31" s="44"/>
      <c r="LN31" s="90">
        <f>(LN29/LK29)-1</f>
        <v>4.0934354814481377E-3</v>
      </c>
      <c r="LO31" s="90">
        <f>(LO29/LN29)-1</f>
        <v>1.3628864011344888E-2</v>
      </c>
      <c r="LP31" s="90">
        <f>(LP29/LO29)-1</f>
        <v>-1.095925974001899E-2</v>
      </c>
      <c r="LQ31" s="90">
        <f>(LQ29/LP29)-1</f>
        <v>1.4695367478267274E-2</v>
      </c>
      <c r="LR31" s="90">
        <f>(LR29/LQ29)-1</f>
        <v>-6.7096533034295414E-3</v>
      </c>
      <c r="LS31" s="44"/>
      <c r="LT31" s="44"/>
      <c r="LU31" s="90">
        <f>(LU29/LR29)-1</f>
        <v>9.4728425019936502E-3</v>
      </c>
      <c r="LV31" s="90">
        <f>(LV29/LU29)-1</f>
        <v>1.3585062084298993E-2</v>
      </c>
      <c r="LW31" s="90">
        <f>(LW29/LV29)-1</f>
        <v>2.5501530091802671E-3</v>
      </c>
      <c r="LX31" s="90">
        <f>(LX29/LW29)-1</f>
        <v>1.9116373086918825E-2</v>
      </c>
      <c r="LY31" s="90">
        <f>(LY29/LX29)-1</f>
        <v>-5.0027900175086959E-4</v>
      </c>
      <c r="LZ31" s="44"/>
      <c r="MA31" s="44"/>
      <c r="MB31" s="90">
        <f>(MB29/LY29)-1</f>
        <v>-0.11130300957592354</v>
      </c>
      <c r="MC31" s="90">
        <f>(MC29/MB29)-1</f>
        <v>-1.5135609718855414E-2</v>
      </c>
      <c r="MD31" s="90">
        <f>(MD29/MC29)-1</f>
        <v>3.6011876257062703E-3</v>
      </c>
      <c r="ME31" s="90">
        <f>(ME29/MD29)-1</f>
        <v>2.2461987405926198E-3</v>
      </c>
      <c r="MF31" s="90">
        <f>(MF29/ME29)-1</f>
        <v>-5.821388353405843E-3</v>
      </c>
      <c r="MG31" s="44"/>
      <c r="MH31" s="44"/>
      <c r="MI31" s="90">
        <f>(MI29/MF29)-1</f>
        <v>-5.1836099191129303E-3</v>
      </c>
      <c r="MJ31" s="90">
        <f>(MJ29/MI29)-1</f>
        <v>0</v>
      </c>
      <c r="MK31" s="90">
        <f>(MK29/MJ29)-1</f>
        <v>2.6359318140678489E-3</v>
      </c>
      <c r="ML31" s="90">
        <f>(ML29/MK29)-1</f>
        <v>4.1933057540430863E-3</v>
      </c>
      <c r="MM31" s="90">
        <f>(MM29/ML29)-1</f>
        <v>2.3630847638218988E-2</v>
      </c>
      <c r="MN31" s="44"/>
      <c r="MO31" s="44"/>
      <c r="MP31" s="90">
        <f>(MP29/MM29)-1</f>
        <v>-2.2662629933119516E-2</v>
      </c>
      <c r="MQ31" s="90">
        <f>(MQ29/MP29)-1</f>
        <v>1.3982145582176031E-2</v>
      </c>
      <c r="MR31" s="90">
        <f>(MR29/MQ29)-1</f>
        <v>7.6112862304911211E-3</v>
      </c>
      <c r="MS31" s="90">
        <f>(MS29/MR29)-1</f>
        <v>1.130675978239859E-2</v>
      </c>
      <c r="MT31" s="90">
        <f>(MT29/MS29)-1</f>
        <v>8.2811710275649819E-3</v>
      </c>
      <c r="MU31" s="44"/>
      <c r="MV31" s="44"/>
      <c r="MW31" s="90">
        <f>(MW29/MT29)-1</f>
        <v>-8.2322774682372923E-3</v>
      </c>
      <c r="MX31" s="90">
        <f>(MX29/MW29)-1</f>
        <v>-1.0208230418476849E-2</v>
      </c>
      <c r="MY31" s="90">
        <f>(MY29/MX29)-1</f>
        <v>1.896453631708761E-3</v>
      </c>
      <c r="MZ31" s="90">
        <f>(MZ29/MY29)-1</f>
        <v>1.0656648905585264E-2</v>
      </c>
      <c r="NA31" s="90">
        <f>(NA29/MZ29)-1</f>
        <v>0</v>
      </c>
      <c r="NB31" s="44"/>
    </row>
    <row r="32" spans="1:367" x14ac:dyDescent="0.25">
      <c r="A32" s="25" t="s">
        <v>91</v>
      </c>
      <c r="B32" s="56"/>
      <c r="C32" s="56"/>
      <c r="D32" s="56">
        <v>7300</v>
      </c>
      <c r="E32" s="56">
        <v>7300</v>
      </c>
      <c r="F32" s="56">
        <v>7300</v>
      </c>
      <c r="G32" s="56">
        <v>7300</v>
      </c>
      <c r="H32" s="56">
        <v>7300</v>
      </c>
      <c r="I32" s="56"/>
      <c r="J32" s="56"/>
      <c r="K32" s="56">
        <v>7300</v>
      </c>
      <c r="L32" s="56">
        <v>7300</v>
      </c>
      <c r="M32" s="56">
        <v>7300</v>
      </c>
      <c r="N32" s="56">
        <v>7200</v>
      </c>
      <c r="O32" s="56">
        <v>7200</v>
      </c>
      <c r="P32" s="56"/>
      <c r="Q32" s="56"/>
      <c r="R32" s="56">
        <v>7200</v>
      </c>
      <c r="S32" s="56">
        <v>7200</v>
      </c>
      <c r="T32" s="56">
        <v>7200</v>
      </c>
      <c r="U32" s="56">
        <v>7300</v>
      </c>
      <c r="V32" s="56">
        <v>7300</v>
      </c>
      <c r="W32" s="23"/>
      <c r="X32" s="23"/>
      <c r="Y32" s="23">
        <v>7300</v>
      </c>
      <c r="Z32" s="23">
        <v>7300</v>
      </c>
      <c r="AA32" s="23">
        <v>7300</v>
      </c>
      <c r="AB32" s="23">
        <v>7400</v>
      </c>
      <c r="AC32" s="23">
        <v>7500</v>
      </c>
      <c r="AD32" s="23"/>
      <c r="AE32" s="23"/>
      <c r="AF32" s="23">
        <v>7500</v>
      </c>
      <c r="AG32" s="23">
        <v>7600</v>
      </c>
      <c r="AH32" s="23">
        <v>7600</v>
      </c>
      <c r="AI32" s="23">
        <v>7600</v>
      </c>
      <c r="AJ32" s="23">
        <v>7600</v>
      </c>
      <c r="AK32" s="23"/>
      <c r="AL32" s="23"/>
      <c r="AM32" s="23">
        <v>7600</v>
      </c>
      <c r="AN32" s="23">
        <v>7600</v>
      </c>
      <c r="AO32" s="23">
        <v>7600</v>
      </c>
      <c r="AP32" s="23">
        <v>7600</v>
      </c>
      <c r="AQ32" s="23">
        <v>7600</v>
      </c>
      <c r="AR32" s="23"/>
      <c r="AS32" s="23"/>
      <c r="AT32" s="23">
        <v>7600</v>
      </c>
      <c r="AU32" s="56">
        <v>7600</v>
      </c>
      <c r="AV32" s="56">
        <v>7800</v>
      </c>
      <c r="AW32" s="56">
        <v>7800</v>
      </c>
      <c r="AX32" s="56">
        <v>7900</v>
      </c>
      <c r="AY32" s="56"/>
      <c r="AZ32" s="23"/>
      <c r="BA32" s="23">
        <v>7900</v>
      </c>
      <c r="BB32" s="23">
        <v>7900</v>
      </c>
      <c r="BC32" s="23">
        <v>8100</v>
      </c>
      <c r="BD32" s="23">
        <v>8100</v>
      </c>
      <c r="BE32" s="23">
        <v>8100</v>
      </c>
      <c r="BF32" s="23"/>
      <c r="BG32" s="23"/>
      <c r="BH32" s="23">
        <v>8100</v>
      </c>
      <c r="BI32" s="23">
        <v>8100</v>
      </c>
      <c r="BJ32" s="23">
        <v>8100</v>
      </c>
      <c r="BK32" s="23">
        <v>8500</v>
      </c>
      <c r="BL32" s="23">
        <v>8500</v>
      </c>
      <c r="BM32" s="23"/>
      <c r="BN32" s="23"/>
      <c r="BO32" s="23">
        <v>8500</v>
      </c>
      <c r="BP32" s="23">
        <v>8600</v>
      </c>
      <c r="BQ32" s="23">
        <v>8800</v>
      </c>
      <c r="BR32" s="23">
        <v>8700</v>
      </c>
      <c r="BS32" s="23">
        <v>8700</v>
      </c>
      <c r="BT32" s="23"/>
      <c r="BU32" s="23"/>
      <c r="BV32" s="23">
        <v>8700</v>
      </c>
      <c r="BW32" s="23">
        <v>8700</v>
      </c>
      <c r="BX32" s="23">
        <v>8700</v>
      </c>
      <c r="BY32" s="23">
        <v>8700</v>
      </c>
      <c r="BZ32" s="23">
        <v>8500</v>
      </c>
      <c r="CA32" s="23"/>
      <c r="CB32" s="23"/>
      <c r="CC32" s="23">
        <v>8500</v>
      </c>
      <c r="CD32" s="23">
        <v>8500</v>
      </c>
      <c r="CE32" s="23">
        <v>8000</v>
      </c>
      <c r="CF32" s="23">
        <v>8000</v>
      </c>
      <c r="CG32" s="23">
        <v>8000</v>
      </c>
      <c r="CH32" s="23"/>
      <c r="CI32" s="23"/>
      <c r="CJ32" s="23">
        <v>8100</v>
      </c>
      <c r="CK32" s="23">
        <v>8100</v>
      </c>
      <c r="CL32" s="23">
        <v>8100</v>
      </c>
      <c r="CM32" s="23">
        <v>8100</v>
      </c>
      <c r="CN32" s="23">
        <v>8100</v>
      </c>
      <c r="CO32" s="23"/>
      <c r="CP32" s="23"/>
      <c r="CQ32" s="23">
        <v>8100</v>
      </c>
      <c r="CR32" s="23">
        <v>7800</v>
      </c>
      <c r="CS32" s="23">
        <v>7800</v>
      </c>
      <c r="CT32" s="23">
        <v>7800</v>
      </c>
      <c r="CU32" s="23">
        <v>7900</v>
      </c>
      <c r="CV32" s="23"/>
      <c r="CW32" s="23"/>
      <c r="CX32" s="23">
        <v>7900</v>
      </c>
      <c r="CY32" s="23">
        <v>7900</v>
      </c>
      <c r="CZ32" s="23">
        <v>8100</v>
      </c>
      <c r="DA32" s="23">
        <v>8200</v>
      </c>
      <c r="DB32" s="23">
        <v>8200</v>
      </c>
      <c r="DC32" s="23"/>
      <c r="DD32" s="23"/>
      <c r="DE32" s="23">
        <v>8200</v>
      </c>
      <c r="DF32" s="23">
        <v>8200</v>
      </c>
      <c r="DG32" s="23">
        <v>8200</v>
      </c>
      <c r="DH32" s="23">
        <v>8200</v>
      </c>
      <c r="DI32" s="23">
        <v>8500</v>
      </c>
      <c r="DJ32" s="23"/>
      <c r="DK32" s="23"/>
      <c r="DL32" s="23">
        <v>8500</v>
      </c>
      <c r="DM32" s="23">
        <v>9000</v>
      </c>
      <c r="DN32" s="23">
        <v>9000</v>
      </c>
      <c r="DO32" s="23">
        <v>8800</v>
      </c>
      <c r="DP32" s="23">
        <v>8800</v>
      </c>
      <c r="DQ32" s="23"/>
      <c r="DR32" s="23"/>
      <c r="DS32" s="23">
        <v>8800</v>
      </c>
      <c r="DT32" s="23">
        <v>8800</v>
      </c>
      <c r="DU32" s="23">
        <v>8800</v>
      </c>
      <c r="DV32" s="23">
        <v>9500</v>
      </c>
      <c r="DW32" s="23">
        <v>9500</v>
      </c>
      <c r="DX32" s="23"/>
      <c r="DY32" s="23"/>
      <c r="DZ32" s="23">
        <v>9100</v>
      </c>
      <c r="EA32" s="23">
        <v>9100</v>
      </c>
      <c r="EB32" s="23">
        <v>9100</v>
      </c>
      <c r="EC32" s="23">
        <v>9100</v>
      </c>
      <c r="ED32" s="23">
        <v>9100</v>
      </c>
      <c r="EE32" s="23"/>
      <c r="EF32" s="23"/>
      <c r="EG32" s="23">
        <v>8900</v>
      </c>
      <c r="EH32" s="23">
        <v>8900</v>
      </c>
      <c r="EI32" s="23">
        <v>8500</v>
      </c>
      <c r="EJ32" s="23">
        <v>8500</v>
      </c>
      <c r="EK32" s="23">
        <v>8500</v>
      </c>
      <c r="EL32" s="23"/>
      <c r="EM32" s="23"/>
      <c r="EN32" s="23">
        <v>8000</v>
      </c>
      <c r="EO32" s="23">
        <v>8000</v>
      </c>
      <c r="EP32" s="23">
        <v>8000</v>
      </c>
      <c r="EQ32" s="23">
        <v>8000</v>
      </c>
      <c r="ER32" s="23">
        <v>8000</v>
      </c>
      <c r="ES32" s="23"/>
      <c r="ET32" s="23"/>
      <c r="EU32" s="23">
        <v>8000</v>
      </c>
      <c r="EV32" s="23">
        <v>8000</v>
      </c>
      <c r="EW32" s="23">
        <v>7200</v>
      </c>
      <c r="EX32" s="23">
        <v>7400</v>
      </c>
      <c r="EY32" s="23">
        <v>7400</v>
      </c>
      <c r="EZ32" s="23"/>
      <c r="FA32" s="23"/>
      <c r="FB32" s="23">
        <v>7400</v>
      </c>
      <c r="FC32" s="23">
        <v>7500</v>
      </c>
      <c r="FD32" s="23">
        <v>7500</v>
      </c>
      <c r="FE32" s="23">
        <v>7500</v>
      </c>
      <c r="FF32" s="23">
        <v>7500</v>
      </c>
      <c r="FG32" s="23"/>
      <c r="FH32" s="23"/>
      <c r="FI32" s="23">
        <v>7500</v>
      </c>
      <c r="FJ32" s="23">
        <v>7500</v>
      </c>
      <c r="FK32" s="23">
        <v>7500</v>
      </c>
      <c r="FL32" s="23">
        <v>7500</v>
      </c>
      <c r="FM32" s="23">
        <v>7500</v>
      </c>
      <c r="FN32" s="23"/>
      <c r="FO32" s="23"/>
      <c r="FP32" s="23">
        <v>7600</v>
      </c>
      <c r="FQ32" s="23">
        <v>7600</v>
      </c>
      <c r="FR32" s="23">
        <v>7300</v>
      </c>
      <c r="FS32" s="23">
        <v>7000</v>
      </c>
      <c r="FT32" s="23">
        <v>6800</v>
      </c>
      <c r="FU32" s="23"/>
      <c r="FV32" s="23"/>
      <c r="FW32" s="23">
        <v>6800</v>
      </c>
      <c r="FX32" s="23">
        <v>6800</v>
      </c>
      <c r="FY32" s="23">
        <v>7000</v>
      </c>
      <c r="FZ32" s="23">
        <v>7000</v>
      </c>
      <c r="GA32" s="23">
        <v>7000</v>
      </c>
      <c r="GB32" s="23"/>
      <c r="GC32" s="23"/>
      <c r="GD32" s="23">
        <v>7000</v>
      </c>
      <c r="GE32" s="23">
        <v>6700</v>
      </c>
      <c r="GF32" s="23">
        <v>6700</v>
      </c>
      <c r="GG32" s="23">
        <v>6700</v>
      </c>
      <c r="GH32" s="23">
        <v>6900</v>
      </c>
      <c r="GI32" s="23"/>
      <c r="GJ32" s="23"/>
      <c r="GK32" s="23">
        <v>7000</v>
      </c>
      <c r="GL32" s="23">
        <v>6900</v>
      </c>
      <c r="GM32" s="23">
        <v>6800</v>
      </c>
      <c r="GN32" s="23">
        <v>6800</v>
      </c>
      <c r="GO32" s="23">
        <v>6800</v>
      </c>
      <c r="GP32" s="23"/>
      <c r="GQ32" s="23"/>
      <c r="GR32" s="23">
        <v>6850</v>
      </c>
      <c r="GS32" s="23">
        <v>6850</v>
      </c>
      <c r="GT32" s="23">
        <v>6800</v>
      </c>
      <c r="GU32" s="23">
        <v>6800</v>
      </c>
      <c r="GV32" s="23">
        <v>6800</v>
      </c>
      <c r="GW32" s="23"/>
      <c r="GX32" s="23"/>
      <c r="GY32" s="23">
        <v>6600</v>
      </c>
      <c r="GZ32" s="23">
        <v>6600</v>
      </c>
      <c r="HA32" s="23">
        <v>6600</v>
      </c>
      <c r="HB32" s="23">
        <v>6600</v>
      </c>
      <c r="HC32" s="23">
        <v>6700</v>
      </c>
      <c r="HD32" s="23"/>
      <c r="HE32" s="23"/>
      <c r="HF32" s="23">
        <v>6700</v>
      </c>
      <c r="HG32" s="23">
        <v>6700</v>
      </c>
      <c r="HH32" s="23">
        <v>6600</v>
      </c>
      <c r="HI32" s="23">
        <v>6600</v>
      </c>
      <c r="HJ32" s="23">
        <v>6700</v>
      </c>
      <c r="HK32" s="23"/>
      <c r="HL32" s="23"/>
      <c r="HM32" s="23">
        <v>6800</v>
      </c>
      <c r="HN32" s="23">
        <v>6800</v>
      </c>
      <c r="HO32" s="23">
        <v>6700</v>
      </c>
      <c r="HP32" s="23">
        <v>6800</v>
      </c>
      <c r="HQ32" s="23">
        <v>6800</v>
      </c>
      <c r="HR32" s="23"/>
      <c r="HS32" s="23"/>
      <c r="HT32" s="23">
        <v>6700</v>
      </c>
      <c r="HU32" s="23">
        <v>6600</v>
      </c>
      <c r="HV32" s="23">
        <v>6600</v>
      </c>
      <c r="HW32" s="23">
        <v>6600</v>
      </c>
      <c r="HX32" s="23">
        <v>6600</v>
      </c>
      <c r="HY32" s="23"/>
      <c r="HZ32" s="23"/>
      <c r="IA32" s="23">
        <v>6500</v>
      </c>
      <c r="IB32" s="23">
        <v>6400</v>
      </c>
      <c r="IC32" s="23">
        <v>6400</v>
      </c>
      <c r="ID32" s="23">
        <v>6400</v>
      </c>
      <c r="IE32" s="23">
        <v>6500</v>
      </c>
      <c r="IF32" s="23"/>
      <c r="IG32" s="23"/>
      <c r="IH32" s="23">
        <v>6500</v>
      </c>
      <c r="II32" s="23">
        <v>6500</v>
      </c>
      <c r="IJ32" s="23">
        <v>6600</v>
      </c>
      <c r="IK32" s="23">
        <v>6500</v>
      </c>
      <c r="IL32" s="23">
        <v>6500</v>
      </c>
      <c r="IM32" s="23"/>
      <c r="IN32" s="23"/>
      <c r="IO32" s="23">
        <v>6500</v>
      </c>
      <c r="IP32" s="70">
        <v>6200</v>
      </c>
      <c r="IQ32" s="70">
        <v>6200</v>
      </c>
      <c r="IR32" s="23">
        <v>6100</v>
      </c>
      <c r="IS32" s="23">
        <v>6100</v>
      </c>
      <c r="IT32" s="23"/>
      <c r="IU32" s="23"/>
      <c r="IV32" s="23">
        <v>6100</v>
      </c>
      <c r="IW32" s="23">
        <v>5900</v>
      </c>
      <c r="IX32" s="23">
        <v>5900</v>
      </c>
      <c r="IY32" s="23">
        <v>5800</v>
      </c>
      <c r="IZ32" s="23">
        <v>5800</v>
      </c>
      <c r="JA32" s="23"/>
      <c r="JB32" s="23"/>
      <c r="JC32" s="23">
        <v>6000</v>
      </c>
      <c r="JD32" s="23">
        <v>6000</v>
      </c>
      <c r="JE32" s="23">
        <v>5900</v>
      </c>
      <c r="JF32" s="23">
        <v>5700</v>
      </c>
      <c r="JG32" s="23">
        <v>5700</v>
      </c>
      <c r="JH32" s="23"/>
      <c r="JI32" s="23"/>
      <c r="JJ32" s="23">
        <v>5700</v>
      </c>
      <c r="JK32" s="23">
        <v>5700</v>
      </c>
      <c r="JL32" s="23">
        <v>5900</v>
      </c>
      <c r="JM32" s="23">
        <v>6000</v>
      </c>
      <c r="JN32" s="23">
        <v>6000</v>
      </c>
      <c r="JO32" s="23"/>
      <c r="JP32" s="23"/>
      <c r="JQ32" s="23">
        <v>6000</v>
      </c>
      <c r="JR32" s="23">
        <v>6000</v>
      </c>
      <c r="JS32" s="23">
        <v>6100</v>
      </c>
      <c r="JT32" s="23">
        <v>6100</v>
      </c>
      <c r="JU32" s="23">
        <v>6200</v>
      </c>
      <c r="JV32" s="23"/>
      <c r="JW32" s="23"/>
      <c r="JX32" s="23">
        <v>6200</v>
      </c>
      <c r="JY32" s="23">
        <v>6500</v>
      </c>
      <c r="JZ32" s="23">
        <v>6500</v>
      </c>
      <c r="KA32" s="23">
        <v>6500</v>
      </c>
      <c r="KB32" s="23">
        <v>6500</v>
      </c>
      <c r="KC32" s="23"/>
      <c r="KD32" s="23"/>
      <c r="KE32" s="23">
        <v>6600</v>
      </c>
      <c r="KF32" s="23">
        <v>6600</v>
      </c>
      <c r="KG32" s="23">
        <v>6400</v>
      </c>
      <c r="KH32" s="23">
        <v>6700</v>
      </c>
      <c r="KI32" s="23">
        <v>6400</v>
      </c>
      <c r="KJ32" s="23"/>
      <c r="KK32" s="23"/>
      <c r="KL32" s="23">
        <v>6600</v>
      </c>
      <c r="KM32" s="23">
        <v>6800</v>
      </c>
      <c r="KN32" s="23">
        <v>6800</v>
      </c>
      <c r="KO32" s="23">
        <v>6800</v>
      </c>
      <c r="KP32" s="23">
        <v>6800</v>
      </c>
      <c r="KQ32" s="23"/>
      <c r="KR32" s="23"/>
      <c r="KS32" s="23">
        <v>6800</v>
      </c>
      <c r="KT32" s="23">
        <v>6800</v>
      </c>
      <c r="KU32" s="23">
        <v>6800</v>
      </c>
      <c r="KV32" s="23">
        <v>6900</v>
      </c>
      <c r="KW32" s="23">
        <v>7000</v>
      </c>
      <c r="KX32" s="23"/>
      <c r="KY32" s="23"/>
      <c r="KZ32" s="23">
        <v>7000</v>
      </c>
      <c r="LA32" s="23">
        <v>7000</v>
      </c>
      <c r="LB32" s="23">
        <v>7000</v>
      </c>
      <c r="LC32" s="23">
        <v>7000</v>
      </c>
      <c r="LD32" s="23">
        <v>7000</v>
      </c>
      <c r="LE32" s="23"/>
      <c r="LF32" s="23"/>
      <c r="LG32" s="23">
        <v>7000</v>
      </c>
      <c r="LH32" s="23">
        <v>7000</v>
      </c>
      <c r="LI32" s="23">
        <v>6900</v>
      </c>
      <c r="LJ32" s="23">
        <v>6900</v>
      </c>
      <c r="LK32" s="23">
        <v>6900</v>
      </c>
      <c r="LL32" s="23"/>
      <c r="LM32" s="23"/>
      <c r="LN32" s="23">
        <v>6900</v>
      </c>
      <c r="LO32" s="23">
        <v>6900</v>
      </c>
      <c r="LP32" s="23">
        <v>6900</v>
      </c>
      <c r="LQ32" s="23">
        <v>6900</v>
      </c>
      <c r="LR32" s="23">
        <v>6900</v>
      </c>
      <c r="LS32" s="23"/>
      <c r="LT32" s="23"/>
      <c r="LU32" s="23">
        <v>6900</v>
      </c>
      <c r="LV32" s="23">
        <v>6900</v>
      </c>
      <c r="LW32" s="23">
        <v>6900</v>
      </c>
      <c r="LX32" s="23">
        <v>6900</v>
      </c>
      <c r="LY32" s="23">
        <v>6900</v>
      </c>
      <c r="LZ32" s="23"/>
      <c r="MA32" s="23"/>
      <c r="MB32" s="23">
        <v>6700</v>
      </c>
      <c r="MC32" s="23">
        <v>6700</v>
      </c>
      <c r="MD32" s="23">
        <v>6000</v>
      </c>
      <c r="ME32" s="23">
        <v>6000</v>
      </c>
      <c r="MF32" s="23">
        <v>6000</v>
      </c>
      <c r="MG32" s="23"/>
      <c r="MH32" s="23"/>
      <c r="MI32" s="23">
        <v>5700</v>
      </c>
      <c r="MJ32" s="23">
        <v>5700</v>
      </c>
      <c r="MK32" s="23">
        <v>5800</v>
      </c>
      <c r="ML32" s="23">
        <v>5800</v>
      </c>
      <c r="MM32" s="23">
        <v>5800</v>
      </c>
      <c r="MN32" s="23"/>
      <c r="MO32" s="23"/>
      <c r="MP32" s="23">
        <v>5800</v>
      </c>
      <c r="MQ32" s="23">
        <v>5800</v>
      </c>
      <c r="MR32" s="23">
        <v>5800</v>
      </c>
      <c r="MS32" s="23">
        <v>5800</v>
      </c>
      <c r="MT32" s="23">
        <v>5800</v>
      </c>
      <c r="MU32" s="23"/>
      <c r="MV32" s="23"/>
      <c r="MW32" s="23">
        <v>5800</v>
      </c>
      <c r="MX32" s="23">
        <v>5800</v>
      </c>
      <c r="MY32" s="23">
        <v>5800</v>
      </c>
      <c r="MZ32" s="23">
        <v>5800</v>
      </c>
      <c r="NA32" s="23">
        <v>5800</v>
      </c>
      <c r="NB32" s="23"/>
    </row>
    <row r="33" spans="1:366" x14ac:dyDescent="0.25">
      <c r="A33" s="40" t="s">
        <v>132</v>
      </c>
      <c r="B33" s="59"/>
      <c r="C33" s="59"/>
      <c r="D33" s="59">
        <v>7500</v>
      </c>
      <c r="E33" s="59">
        <v>7500</v>
      </c>
      <c r="F33" s="59">
        <v>7500</v>
      </c>
      <c r="G33" s="59">
        <v>7500</v>
      </c>
      <c r="H33" s="59">
        <v>7500</v>
      </c>
      <c r="I33" s="59"/>
      <c r="J33" s="59"/>
      <c r="K33" s="59">
        <v>7500</v>
      </c>
      <c r="L33" s="59">
        <v>7500</v>
      </c>
      <c r="M33" s="59">
        <v>7500</v>
      </c>
      <c r="N33" s="59">
        <v>7400</v>
      </c>
      <c r="O33" s="59">
        <v>7300</v>
      </c>
      <c r="P33" s="59"/>
      <c r="Q33" s="59"/>
      <c r="R33" s="59">
        <v>7300</v>
      </c>
      <c r="S33" s="59">
        <v>7300</v>
      </c>
      <c r="T33" s="59">
        <v>7300</v>
      </c>
      <c r="U33" s="59">
        <v>7500</v>
      </c>
      <c r="V33" s="59">
        <v>7500</v>
      </c>
      <c r="W33" s="41"/>
      <c r="X33" s="41"/>
      <c r="Y33" s="41">
        <v>7500</v>
      </c>
      <c r="Z33" s="41">
        <v>7600</v>
      </c>
      <c r="AA33" s="41">
        <v>7600</v>
      </c>
      <c r="AB33" s="41">
        <v>7600</v>
      </c>
      <c r="AC33" s="41">
        <v>7600</v>
      </c>
      <c r="AD33" s="41"/>
      <c r="AE33" s="41"/>
      <c r="AF33" s="41">
        <v>7600</v>
      </c>
      <c r="AG33" s="41">
        <v>7600</v>
      </c>
      <c r="AH33" s="41">
        <v>7600</v>
      </c>
      <c r="AI33" s="41">
        <v>7600</v>
      </c>
      <c r="AJ33" s="41">
        <v>7600</v>
      </c>
      <c r="AK33" s="41"/>
      <c r="AL33" s="41"/>
      <c r="AM33" s="41">
        <v>7600</v>
      </c>
      <c r="AN33" s="41">
        <v>7500</v>
      </c>
      <c r="AO33" s="41">
        <v>7500</v>
      </c>
      <c r="AP33" s="41">
        <v>7500</v>
      </c>
      <c r="AQ33" s="41">
        <v>7500</v>
      </c>
      <c r="AR33" s="41"/>
      <c r="AS33" s="41"/>
      <c r="AT33" s="41">
        <v>7500</v>
      </c>
      <c r="AU33" s="59">
        <v>7500</v>
      </c>
      <c r="AV33" s="59">
        <v>7600</v>
      </c>
      <c r="AW33" s="59">
        <v>7600</v>
      </c>
      <c r="AX33" s="59">
        <v>7900</v>
      </c>
      <c r="AY33" s="59"/>
      <c r="AZ33" s="41"/>
      <c r="BA33" s="41">
        <v>7900</v>
      </c>
      <c r="BB33" s="41">
        <v>7900</v>
      </c>
      <c r="BC33" s="41">
        <v>8100</v>
      </c>
      <c r="BD33" s="41">
        <v>8100</v>
      </c>
      <c r="BE33" s="41">
        <v>8100</v>
      </c>
      <c r="BF33" s="41"/>
      <c r="BG33" s="41"/>
      <c r="BH33" s="41">
        <v>8100</v>
      </c>
      <c r="BI33" s="41">
        <v>8100</v>
      </c>
      <c r="BJ33" s="41">
        <v>8100</v>
      </c>
      <c r="BK33" s="41">
        <v>8400</v>
      </c>
      <c r="BL33" s="41">
        <v>8400</v>
      </c>
      <c r="BM33" s="41"/>
      <c r="BN33" s="41"/>
      <c r="BO33" s="41">
        <v>8400</v>
      </c>
      <c r="BP33" s="41">
        <v>8400</v>
      </c>
      <c r="BQ33" s="41">
        <v>8500</v>
      </c>
      <c r="BR33" s="41">
        <v>8700</v>
      </c>
      <c r="BS33" s="41">
        <v>8700</v>
      </c>
      <c r="BT33" s="41"/>
      <c r="BU33" s="41"/>
      <c r="BV33" s="41">
        <v>8700</v>
      </c>
      <c r="BW33" s="41">
        <v>8700</v>
      </c>
      <c r="BX33" s="41">
        <v>8700</v>
      </c>
      <c r="BY33" s="41">
        <v>8700</v>
      </c>
      <c r="BZ33" s="41">
        <v>8700</v>
      </c>
      <c r="CA33" s="41"/>
      <c r="CB33" s="41"/>
      <c r="CC33" s="41">
        <v>8700</v>
      </c>
      <c r="CD33" s="41">
        <v>8500</v>
      </c>
      <c r="CE33" s="41">
        <v>8500</v>
      </c>
      <c r="CF33" s="41">
        <v>8500</v>
      </c>
      <c r="CG33" s="41">
        <v>8500</v>
      </c>
      <c r="CH33" s="41"/>
      <c r="CI33" s="41"/>
      <c r="CJ33" s="41">
        <v>8200</v>
      </c>
      <c r="CK33" s="41">
        <v>8200</v>
      </c>
      <c r="CL33" s="41">
        <v>8200</v>
      </c>
      <c r="CM33" s="41">
        <v>8200</v>
      </c>
      <c r="CN33" s="41">
        <v>8000</v>
      </c>
      <c r="CO33" s="41"/>
      <c r="CP33" s="41"/>
      <c r="CQ33" s="41">
        <v>8000</v>
      </c>
      <c r="CR33" s="41">
        <v>8000</v>
      </c>
      <c r="CS33" s="41">
        <v>8000</v>
      </c>
      <c r="CT33" s="41">
        <v>8000</v>
      </c>
      <c r="CU33" s="41">
        <v>8000</v>
      </c>
      <c r="CV33" s="41"/>
      <c r="CW33" s="41"/>
      <c r="CX33" s="41">
        <v>8000</v>
      </c>
      <c r="CY33" s="41">
        <v>8100</v>
      </c>
      <c r="CZ33" s="41">
        <v>8200</v>
      </c>
      <c r="DA33" s="41">
        <v>8200</v>
      </c>
      <c r="DB33" s="41">
        <v>8200</v>
      </c>
      <c r="DC33" s="41"/>
      <c r="DD33" s="41"/>
      <c r="DE33" s="41">
        <v>8200</v>
      </c>
      <c r="DF33" s="41">
        <v>8200</v>
      </c>
      <c r="DG33" s="41">
        <v>8200</v>
      </c>
      <c r="DH33" s="41">
        <v>8200</v>
      </c>
      <c r="DI33" s="41">
        <v>8200</v>
      </c>
      <c r="DJ33" s="41"/>
      <c r="DK33" s="41"/>
      <c r="DL33" s="41">
        <v>8400</v>
      </c>
      <c r="DM33" s="41">
        <v>8900</v>
      </c>
      <c r="DN33" s="41">
        <v>8900</v>
      </c>
      <c r="DO33" s="41">
        <v>8700</v>
      </c>
      <c r="DP33" s="41">
        <v>8700</v>
      </c>
      <c r="DQ33" s="41"/>
      <c r="DR33" s="41"/>
      <c r="DS33" s="41">
        <v>8500</v>
      </c>
      <c r="DT33" s="41">
        <v>8500</v>
      </c>
      <c r="DU33" s="41">
        <v>8500</v>
      </c>
      <c r="DV33" s="41">
        <v>8600</v>
      </c>
      <c r="DW33" s="41">
        <v>8600</v>
      </c>
      <c r="DX33" s="41"/>
      <c r="DY33" s="41"/>
      <c r="DZ33" s="41">
        <v>8600</v>
      </c>
      <c r="EA33" s="41">
        <v>8600</v>
      </c>
      <c r="EB33" s="41">
        <v>8600</v>
      </c>
      <c r="EC33" s="41">
        <v>8600</v>
      </c>
      <c r="ED33" s="41">
        <v>8600</v>
      </c>
      <c r="EE33" s="41"/>
      <c r="EF33" s="41"/>
      <c r="EG33" s="41">
        <v>8600</v>
      </c>
      <c r="EH33" s="41">
        <v>8400</v>
      </c>
      <c r="EI33" s="41">
        <v>8600</v>
      </c>
      <c r="EJ33" s="41">
        <v>8400</v>
      </c>
      <c r="EK33" s="41">
        <v>8400</v>
      </c>
      <c r="EL33" s="41"/>
      <c r="EM33" s="41"/>
      <c r="EN33" s="41">
        <v>8000</v>
      </c>
      <c r="EO33" s="41">
        <v>8000</v>
      </c>
      <c r="EP33" s="41">
        <v>8000</v>
      </c>
      <c r="EQ33" s="41">
        <v>8000</v>
      </c>
      <c r="ER33" s="41">
        <v>8000</v>
      </c>
      <c r="ES33" s="41"/>
      <c r="ET33" s="41"/>
      <c r="EU33" s="41">
        <v>8000</v>
      </c>
      <c r="EV33" s="41">
        <v>8000</v>
      </c>
      <c r="EW33" s="41">
        <v>7500</v>
      </c>
      <c r="EX33" s="41">
        <v>7500</v>
      </c>
      <c r="EY33" s="41">
        <v>7500</v>
      </c>
      <c r="EZ33" s="41"/>
      <c r="FA33" s="41"/>
      <c r="FB33" s="41">
        <v>7500</v>
      </c>
      <c r="FC33" s="41">
        <v>7700</v>
      </c>
      <c r="FD33" s="41">
        <v>7900</v>
      </c>
      <c r="FE33" s="41">
        <v>7900</v>
      </c>
      <c r="FF33" s="41">
        <v>7900</v>
      </c>
      <c r="FG33" s="41"/>
      <c r="FH33" s="41"/>
      <c r="FI33" s="41">
        <v>7900</v>
      </c>
      <c r="FJ33" s="41">
        <v>8000</v>
      </c>
      <c r="FK33" s="41">
        <v>8000</v>
      </c>
      <c r="FL33" s="41">
        <v>8000</v>
      </c>
      <c r="FM33" s="41">
        <v>8000</v>
      </c>
      <c r="FN33" s="41"/>
      <c r="FO33" s="41"/>
      <c r="FP33" s="41">
        <v>7800</v>
      </c>
      <c r="FQ33" s="41">
        <v>7600</v>
      </c>
      <c r="FR33" s="41">
        <v>7600</v>
      </c>
      <c r="FS33" s="41">
        <v>7200</v>
      </c>
      <c r="FT33" s="41">
        <v>7200</v>
      </c>
      <c r="FU33" s="41"/>
      <c r="FV33" s="41"/>
      <c r="FW33" s="41">
        <v>7300</v>
      </c>
      <c r="FX33" s="41">
        <v>7300</v>
      </c>
      <c r="FY33" s="41">
        <v>7300</v>
      </c>
      <c r="FZ33" s="41">
        <v>7300</v>
      </c>
      <c r="GA33" s="41">
        <v>7300</v>
      </c>
      <c r="GB33" s="41"/>
      <c r="GC33" s="41"/>
      <c r="GD33" s="41">
        <v>7300</v>
      </c>
      <c r="GE33" s="41">
        <v>6800</v>
      </c>
      <c r="GF33" s="41">
        <v>7100</v>
      </c>
      <c r="GG33" s="41">
        <v>7200</v>
      </c>
      <c r="GH33" s="41">
        <v>7300</v>
      </c>
      <c r="GI33" s="41"/>
      <c r="GJ33" s="41"/>
      <c r="GK33" s="41">
        <v>7600</v>
      </c>
      <c r="GL33" s="41">
        <v>7600</v>
      </c>
      <c r="GM33" s="41">
        <v>7400</v>
      </c>
      <c r="GN33" s="41">
        <v>7400</v>
      </c>
      <c r="GO33" s="41">
        <v>7400</v>
      </c>
      <c r="GP33" s="41"/>
      <c r="GQ33" s="41"/>
      <c r="GR33" s="41">
        <v>7400</v>
      </c>
      <c r="GS33" s="41">
        <v>7400</v>
      </c>
      <c r="GT33" s="41">
        <v>7300</v>
      </c>
      <c r="GU33" s="41">
        <v>7300</v>
      </c>
      <c r="GV33" s="41">
        <v>7100</v>
      </c>
      <c r="GW33" s="41"/>
      <c r="GX33" s="41"/>
      <c r="GY33" s="41">
        <v>7000</v>
      </c>
      <c r="GZ33" s="41">
        <v>7000</v>
      </c>
      <c r="HA33" s="41">
        <v>6900</v>
      </c>
      <c r="HB33" s="41">
        <v>6900</v>
      </c>
      <c r="HC33" s="41">
        <v>7100</v>
      </c>
      <c r="HD33" s="41"/>
      <c r="HE33" s="41"/>
      <c r="HF33" s="41">
        <v>7100</v>
      </c>
      <c r="HG33" s="41">
        <v>6900</v>
      </c>
      <c r="HH33" s="41">
        <v>6900</v>
      </c>
      <c r="HI33" s="41">
        <v>6900</v>
      </c>
      <c r="HJ33" s="41">
        <v>7000</v>
      </c>
      <c r="HK33" s="41"/>
      <c r="HL33" s="41"/>
      <c r="HM33" s="41">
        <v>7100</v>
      </c>
      <c r="HN33" s="41">
        <v>7100</v>
      </c>
      <c r="HO33" s="41">
        <v>7100</v>
      </c>
      <c r="HP33" s="41">
        <v>7200</v>
      </c>
      <c r="HQ33" s="41">
        <v>7200</v>
      </c>
      <c r="HR33" s="41"/>
      <c r="HS33" s="41"/>
      <c r="HT33" s="41">
        <v>7200</v>
      </c>
      <c r="HU33" s="41">
        <v>7100</v>
      </c>
      <c r="HV33" s="41">
        <v>7100</v>
      </c>
      <c r="HW33" s="41">
        <v>7100</v>
      </c>
      <c r="HX33" s="41">
        <v>7100</v>
      </c>
      <c r="HY33" s="41"/>
      <c r="HZ33" s="41"/>
      <c r="IA33" s="41">
        <v>6900</v>
      </c>
      <c r="IB33" s="41">
        <v>6900</v>
      </c>
      <c r="IC33" s="41">
        <v>6900</v>
      </c>
      <c r="ID33" s="41">
        <v>6900</v>
      </c>
      <c r="IE33" s="41">
        <v>6900</v>
      </c>
      <c r="IF33" s="41"/>
      <c r="IG33" s="41"/>
      <c r="IH33" s="41">
        <v>6900</v>
      </c>
      <c r="II33" s="41">
        <v>6900</v>
      </c>
      <c r="IJ33" s="41">
        <v>6950</v>
      </c>
      <c r="IK33" s="41">
        <v>6850</v>
      </c>
      <c r="IL33" s="41">
        <v>6900</v>
      </c>
      <c r="IM33" s="41"/>
      <c r="IN33" s="41"/>
      <c r="IO33" s="41">
        <v>6900</v>
      </c>
      <c r="IP33" s="52">
        <v>6700</v>
      </c>
      <c r="IQ33" s="52">
        <v>6700</v>
      </c>
      <c r="IR33" s="41">
        <v>6700</v>
      </c>
      <c r="IS33" s="41">
        <v>7100</v>
      </c>
      <c r="IT33" s="41"/>
      <c r="IU33" s="41"/>
      <c r="IV33" s="41">
        <v>6800</v>
      </c>
      <c r="IW33" s="41">
        <v>6700</v>
      </c>
      <c r="IX33" s="41">
        <v>6700</v>
      </c>
      <c r="IY33" s="41">
        <v>6700</v>
      </c>
      <c r="IZ33" s="41">
        <v>6700</v>
      </c>
      <c r="JA33" s="41"/>
      <c r="JB33" s="41"/>
      <c r="JC33" s="41">
        <v>6700</v>
      </c>
      <c r="JD33" s="41">
        <v>6700</v>
      </c>
      <c r="JE33" s="41">
        <v>6600</v>
      </c>
      <c r="JF33" s="41">
        <v>6500</v>
      </c>
      <c r="JG33" s="41">
        <v>6400</v>
      </c>
      <c r="JH33" s="41"/>
      <c r="JI33" s="41"/>
      <c r="JJ33" s="41">
        <v>6400</v>
      </c>
      <c r="JK33" s="41">
        <v>6100</v>
      </c>
      <c r="JL33" s="41">
        <v>6300</v>
      </c>
      <c r="JM33" s="41">
        <v>6400</v>
      </c>
      <c r="JN33" s="41">
        <v>6400</v>
      </c>
      <c r="JO33" s="41"/>
      <c r="JP33" s="41"/>
      <c r="JQ33" s="41">
        <v>6400</v>
      </c>
      <c r="JR33" s="41">
        <v>6400</v>
      </c>
      <c r="JS33" s="41">
        <v>6400</v>
      </c>
      <c r="JT33" s="41">
        <v>6400</v>
      </c>
      <c r="JU33" s="41">
        <v>6400</v>
      </c>
      <c r="JV33" s="41"/>
      <c r="JW33" s="41"/>
      <c r="JX33" s="41">
        <v>6400</v>
      </c>
      <c r="JY33" s="41">
        <v>6400</v>
      </c>
      <c r="JZ33" s="41">
        <v>6400</v>
      </c>
      <c r="KA33" s="41">
        <v>6400</v>
      </c>
      <c r="KB33" s="41">
        <v>6400</v>
      </c>
      <c r="KC33" s="41"/>
      <c r="KD33" s="41"/>
      <c r="KE33" s="41">
        <v>6500</v>
      </c>
      <c r="KF33" s="41">
        <v>6500</v>
      </c>
      <c r="KG33" s="41">
        <v>6500</v>
      </c>
      <c r="KH33" s="41">
        <v>6700</v>
      </c>
      <c r="KI33" s="41">
        <v>6500</v>
      </c>
      <c r="KJ33" s="41"/>
      <c r="KK33" s="41"/>
      <c r="KL33" s="41">
        <v>6700</v>
      </c>
      <c r="KM33" s="41">
        <v>6700</v>
      </c>
      <c r="KN33" s="41">
        <v>7000</v>
      </c>
      <c r="KO33" s="41">
        <v>7100</v>
      </c>
      <c r="KP33" s="41">
        <v>7100</v>
      </c>
      <c r="KQ33" s="41"/>
      <c r="KR33" s="41"/>
      <c r="KS33" s="41">
        <v>7000</v>
      </c>
      <c r="KT33" s="41">
        <v>7000</v>
      </c>
      <c r="KU33" s="41">
        <v>7000</v>
      </c>
      <c r="KV33" s="41">
        <v>7000</v>
      </c>
      <c r="KW33" s="41">
        <v>7100</v>
      </c>
      <c r="KX33" s="41"/>
      <c r="KY33" s="41"/>
      <c r="KZ33" s="41">
        <v>7100</v>
      </c>
      <c r="LA33" s="41">
        <v>7100</v>
      </c>
      <c r="LB33" s="41">
        <v>7100</v>
      </c>
      <c r="LC33" s="41">
        <v>7100</v>
      </c>
      <c r="LD33" s="41">
        <v>7100</v>
      </c>
      <c r="LE33" s="41"/>
      <c r="LF33" s="41"/>
      <c r="LG33" s="41">
        <v>7100</v>
      </c>
      <c r="LH33" s="41">
        <v>7100</v>
      </c>
      <c r="LI33" s="41">
        <v>7000</v>
      </c>
      <c r="LJ33" s="41">
        <v>7000</v>
      </c>
      <c r="LK33" s="41">
        <v>7000</v>
      </c>
      <c r="LL33" s="41"/>
      <c r="LM33" s="41"/>
      <c r="LN33" s="41">
        <v>7000</v>
      </c>
      <c r="LO33" s="41">
        <v>7000</v>
      </c>
      <c r="LP33" s="41">
        <v>7000</v>
      </c>
      <c r="LQ33" s="41">
        <v>7000</v>
      </c>
      <c r="LR33" s="41">
        <v>7000</v>
      </c>
      <c r="LS33" s="41"/>
      <c r="LT33" s="41"/>
      <c r="LU33" s="41">
        <v>7000</v>
      </c>
      <c r="LV33" s="41">
        <v>7000</v>
      </c>
      <c r="LW33" s="41">
        <v>7000</v>
      </c>
      <c r="LX33" s="41">
        <v>7000</v>
      </c>
      <c r="LY33" s="41">
        <v>7000</v>
      </c>
      <c r="LZ33" s="41"/>
      <c r="MA33" s="41"/>
      <c r="MB33" s="41">
        <v>6900</v>
      </c>
      <c r="MC33" s="41">
        <v>6800</v>
      </c>
      <c r="MD33" s="41">
        <v>6700</v>
      </c>
      <c r="ME33" s="41">
        <v>6700</v>
      </c>
      <c r="MF33" s="41">
        <v>6700</v>
      </c>
      <c r="MG33" s="41"/>
      <c r="MH33" s="41"/>
      <c r="MI33" s="41">
        <v>6600</v>
      </c>
      <c r="MJ33" s="41">
        <v>6600</v>
      </c>
      <c r="MK33" s="41">
        <v>6600</v>
      </c>
      <c r="ML33" s="41">
        <v>6600</v>
      </c>
      <c r="MM33" s="41">
        <v>6600</v>
      </c>
      <c r="MN33" s="41"/>
      <c r="MO33" s="41"/>
      <c r="MP33" s="41">
        <v>6600</v>
      </c>
      <c r="MQ33" s="41">
        <v>6600</v>
      </c>
      <c r="MR33" s="41">
        <v>6600</v>
      </c>
      <c r="MS33" s="41">
        <v>6600</v>
      </c>
      <c r="MT33" s="41">
        <v>6600</v>
      </c>
      <c r="MU33" s="41"/>
      <c r="MV33" s="41"/>
      <c r="MW33" s="41">
        <v>6600</v>
      </c>
      <c r="MX33" s="41">
        <v>6600</v>
      </c>
      <c r="MY33" s="41">
        <v>6600</v>
      </c>
      <c r="MZ33" s="41">
        <v>6600</v>
      </c>
      <c r="NA33" s="41">
        <v>6600</v>
      </c>
      <c r="NB33" s="41"/>
    </row>
    <row r="34" spans="1:366" x14ac:dyDescent="0.25">
      <c r="A34" s="25" t="s">
        <v>131</v>
      </c>
      <c r="B34" s="56"/>
      <c r="C34" s="56"/>
      <c r="D34" s="56">
        <v>6900</v>
      </c>
      <c r="E34" s="56">
        <v>6900</v>
      </c>
      <c r="F34" s="56">
        <v>6900</v>
      </c>
      <c r="G34" s="56">
        <v>7000</v>
      </c>
      <c r="H34" s="56">
        <v>7100</v>
      </c>
      <c r="I34" s="56"/>
      <c r="J34" s="56"/>
      <c r="K34" s="56">
        <v>7100</v>
      </c>
      <c r="L34" s="56">
        <v>7100</v>
      </c>
      <c r="M34" s="56">
        <v>7100</v>
      </c>
      <c r="N34" s="56">
        <v>7000</v>
      </c>
      <c r="O34" s="56">
        <v>6940</v>
      </c>
      <c r="P34" s="56"/>
      <c r="Q34" s="56"/>
      <c r="R34" s="56">
        <v>6940</v>
      </c>
      <c r="S34" s="56">
        <v>6940</v>
      </c>
      <c r="T34" s="56">
        <v>6950</v>
      </c>
      <c r="U34" s="56">
        <v>7000</v>
      </c>
      <c r="V34" s="56">
        <v>7000</v>
      </c>
      <c r="W34" s="23"/>
      <c r="X34" s="23"/>
      <c r="Y34" s="23">
        <v>7000</v>
      </c>
      <c r="Z34" s="23">
        <v>7000</v>
      </c>
      <c r="AA34" s="23">
        <v>7000</v>
      </c>
      <c r="AB34" s="23">
        <v>7050</v>
      </c>
      <c r="AC34" s="23">
        <v>7050</v>
      </c>
      <c r="AD34" s="23"/>
      <c r="AE34" s="23"/>
      <c r="AF34" s="23">
        <v>7050</v>
      </c>
      <c r="AG34" s="23">
        <v>7050</v>
      </c>
      <c r="AH34" s="23">
        <v>7050</v>
      </c>
      <c r="AI34" s="23">
        <v>7000</v>
      </c>
      <c r="AJ34" s="23">
        <v>7000</v>
      </c>
      <c r="AK34" s="23"/>
      <c r="AL34" s="23"/>
      <c r="AM34" s="23">
        <v>7300</v>
      </c>
      <c r="AN34" s="23">
        <v>7300</v>
      </c>
      <c r="AO34" s="23">
        <v>7300</v>
      </c>
      <c r="AP34" s="23">
        <v>7300</v>
      </c>
      <c r="AQ34" s="23">
        <v>7300</v>
      </c>
      <c r="AR34" s="23"/>
      <c r="AS34" s="23"/>
      <c r="AT34" s="23">
        <v>7300</v>
      </c>
      <c r="AU34" s="56">
        <v>7400</v>
      </c>
      <c r="AV34" s="56">
        <v>7500</v>
      </c>
      <c r="AW34" s="56">
        <v>7500</v>
      </c>
      <c r="AX34" s="56">
        <v>7400</v>
      </c>
      <c r="AY34" s="56"/>
      <c r="AZ34" s="23"/>
      <c r="BA34" s="23">
        <v>7400</v>
      </c>
      <c r="BB34" s="23">
        <v>7400</v>
      </c>
      <c r="BC34" s="23">
        <v>7500</v>
      </c>
      <c r="BD34" s="23">
        <v>7500</v>
      </c>
      <c r="BE34" s="23">
        <v>7500</v>
      </c>
      <c r="BF34" s="23"/>
      <c r="BG34" s="23"/>
      <c r="BH34" s="23">
        <v>7500</v>
      </c>
      <c r="BI34" s="23">
        <v>7500</v>
      </c>
      <c r="BJ34" s="23">
        <v>7500</v>
      </c>
      <c r="BK34" s="23">
        <v>7800</v>
      </c>
      <c r="BL34" s="23">
        <v>7800</v>
      </c>
      <c r="BM34" s="23"/>
      <c r="BN34" s="23"/>
      <c r="BO34" s="23">
        <v>7830</v>
      </c>
      <c r="BP34" s="23">
        <v>8200</v>
      </c>
      <c r="BQ34" s="23">
        <v>8200</v>
      </c>
      <c r="BR34" s="23">
        <v>8400</v>
      </c>
      <c r="BS34" s="23">
        <v>8400</v>
      </c>
      <c r="BT34" s="23"/>
      <c r="BU34" s="23"/>
      <c r="BV34" s="23">
        <v>8400</v>
      </c>
      <c r="BW34" s="23">
        <v>8400</v>
      </c>
      <c r="BX34" s="23">
        <v>8400</v>
      </c>
      <c r="BY34" s="23">
        <v>8400</v>
      </c>
      <c r="BZ34" s="23">
        <v>8400</v>
      </c>
      <c r="CA34" s="23"/>
      <c r="CB34" s="23"/>
      <c r="CC34" s="23">
        <v>8400</v>
      </c>
      <c r="CD34" s="23">
        <v>8400</v>
      </c>
      <c r="CE34" s="23">
        <v>8400</v>
      </c>
      <c r="CF34" s="23">
        <v>8100</v>
      </c>
      <c r="CG34" s="23">
        <v>8100</v>
      </c>
      <c r="CH34" s="23"/>
      <c r="CI34" s="23"/>
      <c r="CJ34" s="23">
        <v>7900</v>
      </c>
      <c r="CK34" s="23">
        <v>7900</v>
      </c>
      <c r="CL34" s="23">
        <v>7900</v>
      </c>
      <c r="CM34" s="23">
        <v>7900</v>
      </c>
      <c r="CN34" s="23">
        <v>7700</v>
      </c>
      <c r="CO34" s="23"/>
      <c r="CP34" s="23"/>
      <c r="CQ34" s="23">
        <v>7400</v>
      </c>
      <c r="CR34" s="23">
        <v>7400</v>
      </c>
      <c r="CS34" s="23">
        <v>7400</v>
      </c>
      <c r="CT34" s="23">
        <v>7400</v>
      </c>
      <c r="CU34" s="23">
        <v>7500</v>
      </c>
      <c r="CV34" s="23"/>
      <c r="CW34" s="23"/>
      <c r="CX34" s="23">
        <v>7500</v>
      </c>
      <c r="CY34" s="23">
        <v>7750</v>
      </c>
      <c r="CZ34" s="23">
        <v>7800</v>
      </c>
      <c r="DA34" s="23">
        <v>7600</v>
      </c>
      <c r="DB34" s="23">
        <v>7600</v>
      </c>
      <c r="DC34" s="23"/>
      <c r="DD34" s="23"/>
      <c r="DE34" s="23">
        <v>7600</v>
      </c>
      <c r="DF34" s="23">
        <v>7800</v>
      </c>
      <c r="DG34" s="23">
        <v>7800</v>
      </c>
      <c r="DH34" s="23">
        <v>7800</v>
      </c>
      <c r="DI34" s="23">
        <v>7900</v>
      </c>
      <c r="DJ34" s="23"/>
      <c r="DK34" s="23"/>
      <c r="DL34" s="23">
        <v>8000</v>
      </c>
      <c r="DM34" s="23">
        <v>8400</v>
      </c>
      <c r="DN34" s="23">
        <v>8400</v>
      </c>
      <c r="DO34" s="23">
        <v>8000</v>
      </c>
      <c r="DP34" s="23">
        <v>8000</v>
      </c>
      <c r="DQ34" s="23"/>
      <c r="DR34" s="23"/>
      <c r="DS34" s="23">
        <v>7800</v>
      </c>
      <c r="DT34" s="23">
        <v>7900</v>
      </c>
      <c r="DU34" s="23">
        <v>7900</v>
      </c>
      <c r="DV34" s="23">
        <v>8400</v>
      </c>
      <c r="DW34" s="23">
        <v>8400</v>
      </c>
      <c r="DX34" s="23"/>
      <c r="DY34" s="23"/>
      <c r="DZ34" s="23">
        <v>8300</v>
      </c>
      <c r="EA34" s="23">
        <v>8300</v>
      </c>
      <c r="EB34" s="23">
        <v>8400</v>
      </c>
      <c r="EC34" s="23">
        <v>8400</v>
      </c>
      <c r="ED34" s="23">
        <v>8400</v>
      </c>
      <c r="EE34" s="23"/>
      <c r="EF34" s="23"/>
      <c r="EG34" s="23">
        <v>8400</v>
      </c>
      <c r="EH34" s="23">
        <v>8400</v>
      </c>
      <c r="EI34" s="23">
        <v>8400</v>
      </c>
      <c r="EJ34" s="23">
        <v>8400</v>
      </c>
      <c r="EK34" s="23">
        <v>8400</v>
      </c>
      <c r="EL34" s="23"/>
      <c r="EM34" s="23"/>
      <c r="EN34" s="23">
        <v>8100</v>
      </c>
      <c r="EO34" s="23">
        <v>8100</v>
      </c>
      <c r="EP34" s="23">
        <v>8100</v>
      </c>
      <c r="EQ34" s="23">
        <v>8100</v>
      </c>
      <c r="ER34" s="23">
        <v>8100</v>
      </c>
      <c r="ES34" s="23"/>
      <c r="ET34" s="23"/>
      <c r="EU34" s="23">
        <v>8100</v>
      </c>
      <c r="EV34" s="23">
        <v>8100</v>
      </c>
      <c r="EW34" s="23">
        <v>8100</v>
      </c>
      <c r="EX34" s="23">
        <v>8200</v>
      </c>
      <c r="EY34" s="23">
        <v>8200</v>
      </c>
      <c r="EZ34" s="23"/>
      <c r="FA34" s="23"/>
      <c r="FB34" s="23">
        <v>8100</v>
      </c>
      <c r="FC34" s="23">
        <v>8100</v>
      </c>
      <c r="FD34" s="23">
        <v>8200</v>
      </c>
      <c r="FE34" s="23">
        <v>8200</v>
      </c>
      <c r="FF34" s="23">
        <v>8100</v>
      </c>
      <c r="FG34" s="23"/>
      <c r="FH34" s="23"/>
      <c r="FI34" s="23">
        <v>8100</v>
      </c>
      <c r="FJ34" s="23">
        <v>8100</v>
      </c>
      <c r="FK34" s="23">
        <v>8100</v>
      </c>
      <c r="FL34" s="23">
        <v>8100</v>
      </c>
      <c r="FM34" s="23">
        <v>8100</v>
      </c>
      <c r="FN34" s="23"/>
      <c r="FO34" s="23"/>
      <c r="FP34" s="23">
        <v>8100</v>
      </c>
      <c r="FQ34" s="23">
        <v>8000</v>
      </c>
      <c r="FR34" s="23">
        <v>8000</v>
      </c>
      <c r="FS34" s="23">
        <v>7800</v>
      </c>
      <c r="FT34" s="23">
        <v>7500</v>
      </c>
      <c r="FU34" s="23"/>
      <c r="FV34" s="23"/>
      <c r="FW34" s="23">
        <v>7500</v>
      </c>
      <c r="FX34" s="23">
        <v>7500</v>
      </c>
      <c r="FY34" s="23">
        <v>7500</v>
      </c>
      <c r="FZ34" s="23">
        <v>7500</v>
      </c>
      <c r="GA34" s="23">
        <v>7500</v>
      </c>
      <c r="GB34" s="23"/>
      <c r="GC34" s="23"/>
      <c r="GD34" s="23">
        <v>7500</v>
      </c>
      <c r="GE34" s="23">
        <v>7400</v>
      </c>
      <c r="GF34" s="23">
        <v>7400</v>
      </c>
      <c r="GG34" s="23">
        <v>7400</v>
      </c>
      <c r="GH34" s="23">
        <v>7400</v>
      </c>
      <c r="GI34" s="23"/>
      <c r="GJ34" s="23"/>
      <c r="GK34" s="23">
        <v>7400</v>
      </c>
      <c r="GL34" s="23">
        <v>7400</v>
      </c>
      <c r="GM34" s="23">
        <v>7200</v>
      </c>
      <c r="GN34" s="23">
        <v>7200</v>
      </c>
      <c r="GO34" s="23">
        <v>7200</v>
      </c>
      <c r="GP34" s="23"/>
      <c r="GQ34" s="23"/>
      <c r="GR34" s="23">
        <v>7200</v>
      </c>
      <c r="GS34" s="23">
        <v>7200</v>
      </c>
      <c r="GT34" s="23">
        <v>7200</v>
      </c>
      <c r="GU34" s="23">
        <v>7100</v>
      </c>
      <c r="GV34" s="23">
        <v>7000</v>
      </c>
      <c r="GW34" s="23"/>
      <c r="GX34" s="23"/>
      <c r="GY34" s="23">
        <v>6900</v>
      </c>
      <c r="GZ34" s="23">
        <v>6900</v>
      </c>
      <c r="HA34" s="23">
        <v>6800</v>
      </c>
      <c r="HB34" s="23">
        <v>6800</v>
      </c>
      <c r="HC34" s="23">
        <v>6900</v>
      </c>
      <c r="HD34" s="23"/>
      <c r="HE34" s="23"/>
      <c r="HF34" s="23">
        <v>6900</v>
      </c>
      <c r="HG34" s="23">
        <v>6700</v>
      </c>
      <c r="HH34" s="23">
        <v>6700</v>
      </c>
      <c r="HI34" s="23">
        <v>6700</v>
      </c>
      <c r="HJ34" s="23">
        <v>6700</v>
      </c>
      <c r="HK34" s="23"/>
      <c r="HL34" s="23"/>
      <c r="HM34" s="23">
        <v>6700</v>
      </c>
      <c r="HN34" s="23">
        <v>6700</v>
      </c>
      <c r="HO34" s="23">
        <v>6700</v>
      </c>
      <c r="HP34" s="23">
        <v>6800</v>
      </c>
      <c r="HQ34" s="23">
        <v>6800</v>
      </c>
      <c r="HR34" s="23"/>
      <c r="HS34" s="23"/>
      <c r="HT34" s="23">
        <v>6800</v>
      </c>
      <c r="HU34" s="23">
        <v>6800</v>
      </c>
      <c r="HV34" s="23">
        <v>6800</v>
      </c>
      <c r="HW34" s="23">
        <v>6800</v>
      </c>
      <c r="HX34" s="23">
        <v>6800</v>
      </c>
      <c r="HY34" s="23"/>
      <c r="HZ34" s="23"/>
      <c r="IA34" s="23">
        <v>6900</v>
      </c>
      <c r="IB34" s="23">
        <v>6700</v>
      </c>
      <c r="IC34" s="23">
        <v>6700</v>
      </c>
      <c r="ID34" s="23">
        <v>6700</v>
      </c>
      <c r="IE34" s="23">
        <v>6700</v>
      </c>
      <c r="IF34" s="23"/>
      <c r="IG34" s="23"/>
      <c r="IH34" s="23">
        <v>6700</v>
      </c>
      <c r="II34" s="23">
        <v>6700</v>
      </c>
      <c r="IJ34" s="23">
        <v>6700</v>
      </c>
      <c r="IK34" s="23">
        <v>6700</v>
      </c>
      <c r="IL34" s="23">
        <v>6700</v>
      </c>
      <c r="IM34" s="23"/>
      <c r="IN34" s="23"/>
      <c r="IO34" s="23">
        <v>6700</v>
      </c>
      <c r="IP34" s="70">
        <v>6500</v>
      </c>
      <c r="IQ34" s="70">
        <v>6500</v>
      </c>
      <c r="IR34" s="23">
        <v>6500</v>
      </c>
      <c r="IS34" s="23">
        <v>6700</v>
      </c>
      <c r="IT34" s="23"/>
      <c r="IU34" s="23"/>
      <c r="IV34" s="23">
        <v>6500</v>
      </c>
      <c r="IW34" s="23">
        <v>6400</v>
      </c>
      <c r="IX34" s="23">
        <v>6400</v>
      </c>
      <c r="IY34" s="23">
        <v>6400</v>
      </c>
      <c r="IZ34" s="23">
        <v>6400</v>
      </c>
      <c r="JA34" s="23"/>
      <c r="JB34" s="23"/>
      <c r="JC34" s="23">
        <v>6400</v>
      </c>
      <c r="JD34" s="23">
        <v>6400</v>
      </c>
      <c r="JE34" s="23">
        <v>6300</v>
      </c>
      <c r="JF34" s="23">
        <v>6200</v>
      </c>
      <c r="JG34" s="23">
        <v>6200</v>
      </c>
      <c r="JH34" s="23"/>
      <c r="JI34" s="23"/>
      <c r="JJ34" s="23">
        <v>6200</v>
      </c>
      <c r="JK34" s="23">
        <v>6000</v>
      </c>
      <c r="JL34" s="23">
        <v>6200</v>
      </c>
      <c r="JM34" s="23">
        <v>6200</v>
      </c>
      <c r="JN34" s="23">
        <v>6200</v>
      </c>
      <c r="JO34" s="23"/>
      <c r="JP34" s="23"/>
      <c r="JQ34" s="23">
        <v>6200</v>
      </c>
      <c r="JR34" s="23">
        <v>6200</v>
      </c>
      <c r="JS34" s="23">
        <v>6300</v>
      </c>
      <c r="JT34" s="23">
        <v>6300</v>
      </c>
      <c r="JU34" s="23">
        <v>6300</v>
      </c>
      <c r="JV34" s="23"/>
      <c r="JW34" s="23"/>
      <c r="JX34" s="23">
        <v>6300</v>
      </c>
      <c r="JY34" s="23">
        <v>6300</v>
      </c>
      <c r="JZ34" s="23">
        <v>6300</v>
      </c>
      <c r="KA34" s="23">
        <v>6300</v>
      </c>
      <c r="KB34" s="23">
        <v>6300</v>
      </c>
      <c r="KC34" s="23"/>
      <c r="KD34" s="23"/>
      <c r="KE34" s="23">
        <v>6300</v>
      </c>
      <c r="KF34" s="23">
        <v>6300</v>
      </c>
      <c r="KG34" s="23">
        <v>6300</v>
      </c>
      <c r="KH34" s="23">
        <v>6400</v>
      </c>
      <c r="KI34" s="23">
        <v>6400</v>
      </c>
      <c r="KJ34" s="23"/>
      <c r="KK34" s="23"/>
      <c r="KL34" s="23">
        <v>6400</v>
      </c>
      <c r="KM34" s="23">
        <v>6400</v>
      </c>
      <c r="KN34" s="23">
        <v>6800</v>
      </c>
      <c r="KO34" s="23">
        <v>6800</v>
      </c>
      <c r="KP34" s="23">
        <v>6800</v>
      </c>
      <c r="KQ34" s="23"/>
      <c r="KR34" s="23"/>
      <c r="KS34" s="23">
        <v>6800</v>
      </c>
      <c r="KT34" s="23">
        <v>6800</v>
      </c>
      <c r="KU34" s="23">
        <v>6800</v>
      </c>
      <c r="KV34" s="23">
        <v>6800</v>
      </c>
      <c r="KW34" s="23">
        <v>6800</v>
      </c>
      <c r="KX34" s="23"/>
      <c r="KY34" s="23"/>
      <c r="KZ34" s="23">
        <v>6800</v>
      </c>
      <c r="LA34" s="23">
        <v>6800</v>
      </c>
      <c r="LB34" s="23">
        <v>6800</v>
      </c>
      <c r="LC34" s="23">
        <v>6800</v>
      </c>
      <c r="LD34" s="23">
        <v>6800</v>
      </c>
      <c r="LE34" s="23"/>
      <c r="LF34" s="23"/>
      <c r="LG34" s="23">
        <v>6800</v>
      </c>
      <c r="LH34" s="23">
        <v>6800</v>
      </c>
      <c r="LI34" s="23">
        <v>6900</v>
      </c>
      <c r="LJ34" s="23">
        <v>6900</v>
      </c>
      <c r="LK34" s="23">
        <v>6900</v>
      </c>
      <c r="LL34" s="23"/>
      <c r="LM34" s="23"/>
      <c r="LN34" s="23">
        <v>6900</v>
      </c>
      <c r="LO34" s="23">
        <v>6900</v>
      </c>
      <c r="LP34" s="23">
        <v>6900</v>
      </c>
      <c r="LQ34" s="23">
        <v>6900</v>
      </c>
      <c r="LR34" s="23">
        <v>6900</v>
      </c>
      <c r="LS34" s="23"/>
      <c r="LT34" s="23"/>
      <c r="LU34" s="23">
        <v>6900</v>
      </c>
      <c r="LV34" s="23">
        <v>6900</v>
      </c>
      <c r="LW34" s="23">
        <v>6900</v>
      </c>
      <c r="LX34" s="23">
        <v>6800</v>
      </c>
      <c r="LY34" s="23">
        <v>6800</v>
      </c>
      <c r="LZ34" s="23"/>
      <c r="MA34" s="23"/>
      <c r="MB34" s="23">
        <v>6700</v>
      </c>
      <c r="MC34" s="23">
        <v>6800</v>
      </c>
      <c r="MD34" s="23">
        <v>6500</v>
      </c>
      <c r="ME34" s="23">
        <v>6400</v>
      </c>
      <c r="MF34" s="23">
        <v>6400</v>
      </c>
      <c r="MG34" s="23"/>
      <c r="MH34" s="23"/>
      <c r="MI34" s="23">
        <v>6400</v>
      </c>
      <c r="MJ34" s="23">
        <v>6500</v>
      </c>
      <c r="MK34" s="23">
        <v>6500</v>
      </c>
      <c r="ML34" s="23">
        <v>6500</v>
      </c>
      <c r="MM34" s="23">
        <v>6500</v>
      </c>
      <c r="MN34" s="23"/>
      <c r="MO34" s="23"/>
      <c r="MP34" s="23">
        <v>6500</v>
      </c>
      <c r="MQ34" s="23">
        <v>6500</v>
      </c>
      <c r="MR34" s="23">
        <v>6500</v>
      </c>
      <c r="MS34" s="23">
        <v>6500</v>
      </c>
      <c r="MT34" s="23">
        <v>6500</v>
      </c>
      <c r="MU34" s="23"/>
      <c r="MV34" s="23"/>
      <c r="MW34" s="23">
        <v>6500</v>
      </c>
      <c r="MX34" s="23">
        <v>6500</v>
      </c>
      <c r="MY34" s="23">
        <v>6500</v>
      </c>
      <c r="MZ34" s="23">
        <v>6500</v>
      </c>
      <c r="NA34" s="23">
        <v>6500</v>
      </c>
      <c r="NB34" s="23"/>
    </row>
    <row r="35" spans="1:366" x14ac:dyDescent="0.25">
      <c r="A35" s="45" t="s">
        <v>180</v>
      </c>
      <c r="B35" s="59"/>
      <c r="C35" s="59"/>
      <c r="D35" s="59">
        <v>297</v>
      </c>
      <c r="E35" s="59">
        <v>297</v>
      </c>
      <c r="F35" s="59">
        <v>300</v>
      </c>
      <c r="G35" s="59">
        <v>300</v>
      </c>
      <c r="H35" s="59">
        <v>300</v>
      </c>
      <c r="I35" s="59"/>
      <c r="J35" s="59"/>
      <c r="K35" s="59">
        <v>300</v>
      </c>
      <c r="L35" s="59">
        <v>300</v>
      </c>
      <c r="M35" s="59">
        <v>300</v>
      </c>
      <c r="N35" s="59">
        <v>300</v>
      </c>
      <c r="O35" s="59">
        <v>295</v>
      </c>
      <c r="P35" s="59"/>
      <c r="Q35" s="59"/>
      <c r="R35" s="59">
        <v>295</v>
      </c>
      <c r="S35" s="59">
        <v>295</v>
      </c>
      <c r="T35" s="59">
        <v>295</v>
      </c>
      <c r="U35" s="59">
        <v>295</v>
      </c>
      <c r="V35" s="59">
        <v>297</v>
      </c>
      <c r="W35" s="41"/>
      <c r="X35" s="41"/>
      <c r="Y35" s="41">
        <v>297</v>
      </c>
      <c r="Z35" s="41">
        <v>293</v>
      </c>
      <c r="AA35" s="41">
        <v>290</v>
      </c>
      <c r="AB35" s="41">
        <v>293</v>
      </c>
      <c r="AC35" s="41">
        <v>290</v>
      </c>
      <c r="AD35" s="41"/>
      <c r="AE35" s="41"/>
      <c r="AF35" s="41">
        <v>290</v>
      </c>
      <c r="AG35" s="41">
        <v>290</v>
      </c>
      <c r="AH35" s="41">
        <v>297</v>
      </c>
      <c r="AI35" s="41">
        <v>287</v>
      </c>
      <c r="AJ35" s="41">
        <v>287</v>
      </c>
      <c r="AK35" s="41"/>
      <c r="AL35" s="41"/>
      <c r="AM35" s="41">
        <v>285</v>
      </c>
      <c r="AN35" s="41">
        <v>285</v>
      </c>
      <c r="AO35" s="41">
        <v>285</v>
      </c>
      <c r="AP35" s="41">
        <v>285</v>
      </c>
      <c r="AQ35" s="41">
        <v>285</v>
      </c>
      <c r="AR35" s="41"/>
      <c r="AS35" s="41"/>
      <c r="AT35" s="41">
        <v>285</v>
      </c>
      <c r="AU35" s="59">
        <v>285</v>
      </c>
      <c r="AV35" s="59">
        <v>285</v>
      </c>
      <c r="AW35" s="41">
        <v>285</v>
      </c>
      <c r="AX35" s="41">
        <v>285</v>
      </c>
      <c r="AY35" s="41"/>
      <c r="AZ35" s="41"/>
      <c r="BA35" s="41">
        <v>285</v>
      </c>
      <c r="BB35" s="41">
        <v>285</v>
      </c>
      <c r="BC35" s="41">
        <v>285</v>
      </c>
      <c r="BD35" s="41">
        <v>285</v>
      </c>
      <c r="BE35" s="41">
        <v>285</v>
      </c>
      <c r="BF35" s="41"/>
      <c r="BG35" s="41"/>
      <c r="BH35" s="41">
        <v>285</v>
      </c>
      <c r="BI35" s="41">
        <v>285</v>
      </c>
      <c r="BJ35" s="41">
        <v>287</v>
      </c>
      <c r="BK35" s="41">
        <v>287</v>
      </c>
      <c r="BL35" s="41">
        <v>287</v>
      </c>
      <c r="BM35" s="41"/>
      <c r="BN35" s="41"/>
      <c r="BO35" s="41">
        <v>287</v>
      </c>
      <c r="BP35" s="41">
        <v>287</v>
      </c>
      <c r="BQ35" s="41">
        <v>287</v>
      </c>
      <c r="BR35" s="41">
        <v>290</v>
      </c>
      <c r="BS35" s="41">
        <v>290</v>
      </c>
      <c r="BT35" s="41"/>
      <c r="BU35" s="41"/>
      <c r="BV35" s="41">
        <v>290</v>
      </c>
      <c r="BW35" s="41">
        <v>290</v>
      </c>
      <c r="BX35" s="41">
        <v>290</v>
      </c>
      <c r="BY35" s="41">
        <v>290</v>
      </c>
      <c r="BZ35" s="41">
        <v>290</v>
      </c>
      <c r="CA35" s="41"/>
      <c r="CB35" s="41"/>
      <c r="CC35" s="41">
        <v>290</v>
      </c>
      <c r="CD35" s="41">
        <v>290</v>
      </c>
      <c r="CE35" s="41">
        <v>288</v>
      </c>
      <c r="CF35" s="41">
        <v>288</v>
      </c>
      <c r="CG35" s="41">
        <v>292</v>
      </c>
      <c r="CH35" s="41"/>
      <c r="CI35" s="41"/>
      <c r="CJ35" s="41">
        <v>290</v>
      </c>
      <c r="CK35" s="41">
        <v>290</v>
      </c>
      <c r="CL35" s="41">
        <v>290</v>
      </c>
      <c r="CM35" s="41">
        <v>290</v>
      </c>
      <c r="CN35" s="41">
        <v>288</v>
      </c>
      <c r="CO35" s="41"/>
      <c r="CP35" s="41"/>
      <c r="CQ35" s="41">
        <v>285</v>
      </c>
      <c r="CR35" s="41">
        <v>285</v>
      </c>
      <c r="CS35" s="41">
        <v>285</v>
      </c>
      <c r="CT35" s="41">
        <v>285</v>
      </c>
      <c r="CU35" s="41">
        <v>285</v>
      </c>
      <c r="CV35" s="41"/>
      <c r="CW35" s="41"/>
      <c r="CX35" s="41">
        <v>283</v>
      </c>
      <c r="CY35" s="41">
        <v>283</v>
      </c>
      <c r="CZ35" s="41">
        <v>283</v>
      </c>
      <c r="DA35" s="41">
        <v>283</v>
      </c>
      <c r="DB35" s="41">
        <v>283</v>
      </c>
      <c r="DC35" s="41"/>
      <c r="DD35" s="41"/>
      <c r="DE35" s="41">
        <v>283</v>
      </c>
      <c r="DF35" s="41">
        <v>283</v>
      </c>
      <c r="DG35" s="41">
        <v>283</v>
      </c>
      <c r="DH35" s="41">
        <v>283</v>
      </c>
      <c r="DI35" s="41">
        <v>283</v>
      </c>
      <c r="DJ35" s="41"/>
      <c r="DK35" s="41"/>
      <c r="DL35" s="41">
        <v>282</v>
      </c>
      <c r="DM35" s="41">
        <v>282</v>
      </c>
      <c r="DN35" s="41">
        <v>282</v>
      </c>
      <c r="DO35" s="41">
        <v>282</v>
      </c>
      <c r="DP35" s="41">
        <v>282</v>
      </c>
      <c r="DQ35" s="41"/>
      <c r="DR35" s="41"/>
      <c r="DS35" s="41">
        <v>282</v>
      </c>
      <c r="DT35" s="41">
        <v>282</v>
      </c>
      <c r="DU35" s="41">
        <v>282</v>
      </c>
      <c r="DV35" s="41">
        <v>282</v>
      </c>
      <c r="DW35" s="41">
        <v>282</v>
      </c>
      <c r="DX35" s="41"/>
      <c r="DY35" s="41"/>
      <c r="DZ35" s="41">
        <v>282</v>
      </c>
      <c r="EA35" s="41">
        <v>282</v>
      </c>
      <c r="EB35" s="41">
        <v>282</v>
      </c>
      <c r="EC35" s="41">
        <v>282</v>
      </c>
      <c r="ED35" s="41">
        <v>278</v>
      </c>
      <c r="EE35" s="41"/>
      <c r="EF35" s="41"/>
      <c r="EG35" s="41">
        <v>278</v>
      </c>
      <c r="EH35" s="41">
        <v>278</v>
      </c>
      <c r="EI35" s="41">
        <v>278</v>
      </c>
      <c r="EJ35" s="41">
        <v>278</v>
      </c>
      <c r="EK35" s="41">
        <v>278</v>
      </c>
      <c r="EL35" s="41"/>
      <c r="EM35" s="41"/>
      <c r="EN35" s="41">
        <v>278</v>
      </c>
      <c r="EO35" s="41">
        <v>278</v>
      </c>
      <c r="EP35" s="41">
        <v>277</v>
      </c>
      <c r="EQ35" s="41">
        <v>275</v>
      </c>
      <c r="ER35" s="41">
        <v>290</v>
      </c>
      <c r="ES35" s="41"/>
      <c r="ET35" s="41"/>
      <c r="EU35" s="41">
        <v>273</v>
      </c>
      <c r="EV35" s="41">
        <v>273</v>
      </c>
      <c r="EW35" s="41">
        <v>272</v>
      </c>
      <c r="EX35" s="41">
        <v>272</v>
      </c>
      <c r="EY35" s="41">
        <v>267</v>
      </c>
      <c r="EZ35" s="41"/>
      <c r="FA35" s="41"/>
      <c r="FB35" s="41">
        <v>267</v>
      </c>
      <c r="FC35" s="41">
        <v>267</v>
      </c>
      <c r="FD35" s="41">
        <v>280</v>
      </c>
      <c r="FE35" s="41">
        <v>270</v>
      </c>
      <c r="FF35" s="41">
        <v>272</v>
      </c>
      <c r="FG35" s="41"/>
      <c r="FH35" s="41"/>
      <c r="FI35" s="41">
        <v>272</v>
      </c>
      <c r="FJ35" s="41">
        <v>275</v>
      </c>
      <c r="FK35" s="41">
        <v>275</v>
      </c>
      <c r="FL35" s="41">
        <v>275</v>
      </c>
      <c r="FM35" s="41">
        <v>275</v>
      </c>
      <c r="FN35" s="41"/>
      <c r="FO35" s="41"/>
      <c r="FP35" s="41">
        <v>275</v>
      </c>
      <c r="FQ35" s="41">
        <v>283</v>
      </c>
      <c r="FR35" s="41">
        <v>283</v>
      </c>
      <c r="FS35" s="41">
        <v>285</v>
      </c>
      <c r="FT35" s="41">
        <v>285</v>
      </c>
      <c r="FU35" s="41"/>
      <c r="FV35" s="41"/>
      <c r="FW35" s="41">
        <v>285</v>
      </c>
      <c r="FX35" s="41">
        <v>285</v>
      </c>
      <c r="FY35" s="41">
        <v>290</v>
      </c>
      <c r="FZ35" s="41">
        <v>290</v>
      </c>
      <c r="GA35" s="41">
        <v>290</v>
      </c>
      <c r="GB35" s="41"/>
      <c r="GC35" s="41"/>
      <c r="GD35" s="41">
        <v>290</v>
      </c>
      <c r="GE35" s="41">
        <v>290</v>
      </c>
      <c r="GF35" s="41">
        <v>288</v>
      </c>
      <c r="GG35" s="41">
        <v>288</v>
      </c>
      <c r="GH35" s="41">
        <v>288</v>
      </c>
      <c r="GI35" s="41"/>
      <c r="GJ35" s="41"/>
      <c r="GK35" s="41">
        <v>280</v>
      </c>
      <c r="GL35" s="41">
        <v>280</v>
      </c>
      <c r="GM35" s="41">
        <v>280</v>
      </c>
      <c r="GN35" s="41">
        <v>280</v>
      </c>
      <c r="GO35" s="41">
        <v>280</v>
      </c>
      <c r="GP35" s="41"/>
      <c r="GQ35" s="41"/>
      <c r="GR35" s="41">
        <v>280</v>
      </c>
      <c r="GS35" s="41">
        <v>280</v>
      </c>
      <c r="GT35" s="41">
        <v>279</v>
      </c>
      <c r="GU35" s="41">
        <v>279</v>
      </c>
      <c r="GV35" s="41">
        <v>279</v>
      </c>
      <c r="GW35" s="41"/>
      <c r="GX35" s="41"/>
      <c r="GY35" s="41">
        <v>279</v>
      </c>
      <c r="GZ35" s="41">
        <v>279</v>
      </c>
      <c r="HA35" s="41">
        <v>279</v>
      </c>
      <c r="HB35" s="41">
        <v>279</v>
      </c>
      <c r="HC35" s="41">
        <v>279</v>
      </c>
      <c r="HD35" s="41"/>
      <c r="HE35" s="41"/>
      <c r="HF35" s="41">
        <v>279</v>
      </c>
      <c r="HG35" s="41">
        <v>278</v>
      </c>
      <c r="HH35" s="41">
        <v>278</v>
      </c>
      <c r="HI35" s="41">
        <v>277</v>
      </c>
      <c r="HJ35" s="41">
        <v>277</v>
      </c>
      <c r="HK35" s="41"/>
      <c r="HL35" s="41"/>
      <c r="HM35" s="41">
        <v>275</v>
      </c>
      <c r="HN35" s="41">
        <v>275</v>
      </c>
      <c r="HO35" s="41">
        <v>275</v>
      </c>
      <c r="HP35" s="41">
        <v>270</v>
      </c>
      <c r="HQ35" s="41">
        <v>270</v>
      </c>
      <c r="HR35" s="41"/>
      <c r="HS35" s="41"/>
      <c r="HT35" s="41">
        <v>269</v>
      </c>
      <c r="HU35" s="41">
        <v>267</v>
      </c>
      <c r="HV35" s="41">
        <v>267</v>
      </c>
      <c r="HW35" s="41">
        <v>267</v>
      </c>
      <c r="HX35" s="41">
        <v>267</v>
      </c>
      <c r="HY35" s="41"/>
      <c r="HZ35" s="41"/>
      <c r="IA35" s="41">
        <v>267</v>
      </c>
      <c r="IB35" s="41">
        <v>267</v>
      </c>
      <c r="IC35" s="41">
        <v>265</v>
      </c>
      <c r="ID35" s="41">
        <v>265</v>
      </c>
      <c r="IE35" s="41">
        <v>265</v>
      </c>
      <c r="IF35" s="41"/>
      <c r="IG35" s="41"/>
      <c r="IH35" s="41">
        <v>265</v>
      </c>
      <c r="II35" s="41">
        <v>264</v>
      </c>
      <c r="IJ35" s="41">
        <v>264</v>
      </c>
      <c r="IK35" s="41">
        <v>262</v>
      </c>
      <c r="IL35" s="41">
        <v>262</v>
      </c>
      <c r="IM35" s="41"/>
      <c r="IN35" s="41"/>
      <c r="IO35" s="41">
        <v>262</v>
      </c>
      <c r="IP35" s="52">
        <v>262</v>
      </c>
      <c r="IQ35" s="52">
        <v>262</v>
      </c>
      <c r="IR35" s="41">
        <v>262</v>
      </c>
      <c r="IS35" s="41">
        <v>262</v>
      </c>
      <c r="IT35" s="41"/>
      <c r="IU35" s="41"/>
      <c r="IV35" s="41">
        <v>260</v>
      </c>
      <c r="IW35" s="41">
        <v>259</v>
      </c>
      <c r="IX35" s="41">
        <v>259</v>
      </c>
      <c r="IY35" s="41">
        <v>257</v>
      </c>
      <c r="IZ35" s="41">
        <v>257</v>
      </c>
      <c r="JA35" s="41"/>
      <c r="JB35" s="41"/>
      <c r="JC35" s="41">
        <v>257</v>
      </c>
      <c r="JD35" s="41">
        <v>257</v>
      </c>
      <c r="JE35" s="41">
        <v>257</v>
      </c>
      <c r="JF35" s="41">
        <v>255</v>
      </c>
      <c r="JG35" s="41">
        <v>255</v>
      </c>
      <c r="JH35" s="41"/>
      <c r="JI35" s="41"/>
      <c r="JJ35" s="41">
        <v>255</v>
      </c>
      <c r="JK35" s="41">
        <v>255</v>
      </c>
      <c r="JL35" s="41">
        <v>255</v>
      </c>
      <c r="JM35" s="41">
        <v>255</v>
      </c>
      <c r="JN35" s="41">
        <v>255</v>
      </c>
      <c r="JO35" s="41"/>
      <c r="JP35" s="41"/>
      <c r="JQ35" s="41">
        <v>255</v>
      </c>
      <c r="JR35" s="41">
        <v>255</v>
      </c>
      <c r="JS35" s="41">
        <v>255</v>
      </c>
      <c r="JT35" s="41">
        <v>255</v>
      </c>
      <c r="JU35" s="41">
        <v>255</v>
      </c>
      <c r="JV35" s="41"/>
      <c r="JW35" s="41"/>
      <c r="JX35" s="41">
        <v>255</v>
      </c>
      <c r="JY35" s="41">
        <v>255</v>
      </c>
      <c r="JZ35" s="41">
        <v>255</v>
      </c>
      <c r="KA35" s="41">
        <v>255</v>
      </c>
      <c r="KB35" s="41">
        <v>255</v>
      </c>
      <c r="KC35" s="82"/>
      <c r="KD35" s="41"/>
      <c r="KE35" s="41">
        <v>255</v>
      </c>
      <c r="KF35" s="82">
        <v>253</v>
      </c>
      <c r="KG35" s="82">
        <v>253</v>
      </c>
      <c r="KH35" s="41">
        <v>253</v>
      </c>
      <c r="KI35" s="41">
        <v>253</v>
      </c>
      <c r="KJ35" s="41"/>
      <c r="KK35" s="41"/>
      <c r="KL35" s="41">
        <v>253</v>
      </c>
      <c r="KM35" s="41">
        <v>252</v>
      </c>
      <c r="KN35" s="41">
        <v>250</v>
      </c>
      <c r="KO35" s="41">
        <v>250</v>
      </c>
      <c r="KP35" s="41">
        <v>250</v>
      </c>
      <c r="KQ35" s="41"/>
      <c r="KR35" s="41"/>
      <c r="KS35" s="41">
        <v>249</v>
      </c>
      <c r="KT35" s="41">
        <v>249</v>
      </c>
      <c r="KU35" s="41">
        <v>249</v>
      </c>
      <c r="KV35" s="41">
        <v>249</v>
      </c>
      <c r="KW35" s="41">
        <v>249</v>
      </c>
      <c r="KX35" s="41"/>
      <c r="KY35" s="41"/>
      <c r="KZ35" s="41">
        <v>249</v>
      </c>
      <c r="LA35" s="41">
        <v>249</v>
      </c>
      <c r="LB35" s="41">
        <v>249</v>
      </c>
      <c r="LC35" s="41">
        <v>249</v>
      </c>
      <c r="LD35" s="41">
        <v>245</v>
      </c>
      <c r="LE35" s="41"/>
      <c r="LF35" s="41"/>
      <c r="LG35" s="41">
        <v>245</v>
      </c>
      <c r="LH35" s="41">
        <v>245</v>
      </c>
      <c r="LI35" s="41">
        <v>245</v>
      </c>
      <c r="LJ35" s="41">
        <v>245</v>
      </c>
      <c r="LK35" s="41">
        <v>245</v>
      </c>
      <c r="LL35" s="41"/>
      <c r="LM35" s="41"/>
      <c r="LN35" s="41">
        <v>250</v>
      </c>
      <c r="LO35" s="41">
        <v>250</v>
      </c>
      <c r="LP35" s="41">
        <v>250</v>
      </c>
      <c r="LQ35" s="41">
        <v>252</v>
      </c>
      <c r="LR35" s="41">
        <v>252</v>
      </c>
      <c r="LS35" s="41"/>
      <c r="LT35" s="41"/>
      <c r="LU35" s="41">
        <v>252</v>
      </c>
      <c r="LV35" s="41">
        <v>252</v>
      </c>
      <c r="LW35" s="41">
        <v>252</v>
      </c>
      <c r="LX35" s="41">
        <v>252</v>
      </c>
      <c r="LY35" s="41">
        <v>252</v>
      </c>
      <c r="LZ35" s="41"/>
      <c r="MA35" s="41"/>
      <c r="MB35" s="41">
        <v>252</v>
      </c>
      <c r="MC35" s="41">
        <v>252</v>
      </c>
      <c r="MD35" s="41">
        <v>252</v>
      </c>
      <c r="ME35" s="41">
        <v>255</v>
      </c>
      <c r="MF35" s="41">
        <v>255</v>
      </c>
      <c r="MG35" s="41"/>
      <c r="MH35" s="41"/>
      <c r="MI35" s="41">
        <v>257</v>
      </c>
      <c r="MJ35" s="41">
        <v>257</v>
      </c>
      <c r="MK35" s="41">
        <v>257</v>
      </c>
      <c r="ML35" s="41">
        <v>255</v>
      </c>
      <c r="MM35" s="41">
        <v>257</v>
      </c>
      <c r="MN35" s="41"/>
      <c r="MO35" s="41"/>
      <c r="MP35" s="41">
        <v>257</v>
      </c>
      <c r="MQ35" s="41">
        <v>257</v>
      </c>
      <c r="MR35" s="41">
        <v>257</v>
      </c>
      <c r="MS35" s="41">
        <v>255</v>
      </c>
      <c r="MT35" s="41">
        <v>255</v>
      </c>
      <c r="MU35" s="41"/>
      <c r="MV35" s="41"/>
      <c r="MW35" s="41">
        <v>255</v>
      </c>
      <c r="MX35" s="41">
        <v>245</v>
      </c>
      <c r="MY35" s="41">
        <v>245</v>
      </c>
      <c r="MZ35" s="41">
        <v>245</v>
      </c>
      <c r="NA35" s="41">
        <v>245</v>
      </c>
      <c r="NB35" s="41"/>
    </row>
    <row r="36" spans="1:366" x14ac:dyDescent="0.25">
      <c r="A36" s="33" t="s">
        <v>182</v>
      </c>
      <c r="B36" s="56"/>
      <c r="C36" s="56"/>
      <c r="D36" s="56">
        <v>334.5</v>
      </c>
      <c r="E36" s="56">
        <v>339.65</v>
      </c>
      <c r="F36" s="56">
        <v>345.25</v>
      </c>
      <c r="G36" s="56">
        <v>337.6</v>
      </c>
      <c r="H36" s="56">
        <v>331.4</v>
      </c>
      <c r="I36" s="56"/>
      <c r="J36" s="56"/>
      <c r="K36" s="56">
        <v>339</v>
      </c>
      <c r="L36" s="56">
        <v>333.7</v>
      </c>
      <c r="M36" s="56">
        <v>335.05</v>
      </c>
      <c r="N36" s="56">
        <v>333.7</v>
      </c>
      <c r="O36" s="56">
        <v>335.5</v>
      </c>
      <c r="P36" s="56"/>
      <c r="Q36" s="56"/>
      <c r="R36" s="56">
        <v>337.15</v>
      </c>
      <c r="S36" s="56">
        <v>333.95</v>
      </c>
      <c r="T36" s="56">
        <v>337.2</v>
      </c>
      <c r="U36" s="56">
        <v>339.25</v>
      </c>
      <c r="V36" s="56">
        <v>344.2</v>
      </c>
      <c r="W36" s="23"/>
      <c r="X36" s="23"/>
      <c r="Y36" s="23">
        <v>338.2</v>
      </c>
      <c r="Z36" s="23">
        <v>343.1</v>
      </c>
      <c r="AA36" s="23">
        <v>342.3</v>
      </c>
      <c r="AB36" s="23">
        <v>343.7</v>
      </c>
      <c r="AC36" s="23">
        <v>339.4</v>
      </c>
      <c r="AD36" s="23"/>
      <c r="AE36" s="23"/>
      <c r="AF36" s="23">
        <v>343.8</v>
      </c>
      <c r="AG36" s="23">
        <v>333.9</v>
      </c>
      <c r="AH36" s="23">
        <v>334.7</v>
      </c>
      <c r="AI36" s="23">
        <v>334</v>
      </c>
      <c r="AJ36" s="23">
        <v>343.9</v>
      </c>
      <c r="AK36" s="23"/>
      <c r="AL36" s="23"/>
      <c r="AM36" s="23">
        <v>330.3</v>
      </c>
      <c r="AN36" s="23">
        <v>339.35</v>
      </c>
      <c r="AO36" s="23">
        <v>341.05</v>
      </c>
      <c r="AP36" s="23">
        <v>342.1</v>
      </c>
      <c r="AQ36" s="23">
        <v>342.05</v>
      </c>
      <c r="AR36" s="23"/>
      <c r="AS36" s="23"/>
      <c r="AT36" s="23">
        <v>338.9</v>
      </c>
      <c r="AU36" s="56">
        <v>338.15</v>
      </c>
      <c r="AV36" s="56">
        <v>340.65</v>
      </c>
      <c r="AW36" s="23">
        <v>345.9</v>
      </c>
      <c r="AX36" s="23">
        <v>340.9</v>
      </c>
      <c r="AY36" s="23"/>
      <c r="AZ36" s="23"/>
      <c r="BA36" s="23">
        <v>343.6</v>
      </c>
      <c r="BB36" s="23">
        <v>348.4</v>
      </c>
      <c r="BC36" s="23">
        <v>343.95</v>
      </c>
      <c r="BD36" s="23">
        <v>340.7</v>
      </c>
      <c r="BE36" s="23">
        <v>343.05</v>
      </c>
      <c r="BF36" s="23"/>
      <c r="BG36" s="23"/>
      <c r="BH36" s="23">
        <v>343</v>
      </c>
      <c r="BI36" s="23">
        <v>343</v>
      </c>
      <c r="BJ36" s="23">
        <v>339.85</v>
      </c>
      <c r="BK36" s="23">
        <v>342.45</v>
      </c>
      <c r="BL36" s="23">
        <v>341.15</v>
      </c>
      <c r="BM36" s="23"/>
      <c r="BN36" s="23"/>
      <c r="BO36" s="23">
        <v>345.35</v>
      </c>
      <c r="BP36" s="23">
        <v>350.35</v>
      </c>
      <c r="BQ36" s="23">
        <v>342.8</v>
      </c>
      <c r="BR36" s="23">
        <v>345.2</v>
      </c>
      <c r="BS36" s="23">
        <v>347</v>
      </c>
      <c r="BT36" s="23"/>
      <c r="BU36" s="23"/>
      <c r="BV36" s="23">
        <v>345.05</v>
      </c>
      <c r="BW36" s="23">
        <v>341.1</v>
      </c>
      <c r="BX36" s="23">
        <v>343.3</v>
      </c>
      <c r="BY36" s="23">
        <v>349.45</v>
      </c>
      <c r="BZ36" s="23">
        <v>349.05</v>
      </c>
      <c r="CA36" s="23"/>
      <c r="CB36" s="23"/>
      <c r="CC36" s="23">
        <v>346</v>
      </c>
      <c r="CD36" s="23">
        <v>349.1</v>
      </c>
      <c r="CE36" s="23">
        <v>345.3</v>
      </c>
      <c r="CF36" s="23">
        <v>352.05</v>
      </c>
      <c r="CG36" s="23">
        <v>347</v>
      </c>
      <c r="CH36" s="23"/>
      <c r="CI36" s="23"/>
      <c r="CJ36" s="23">
        <v>349.95</v>
      </c>
      <c r="CK36" s="23">
        <v>341.6</v>
      </c>
      <c r="CL36" s="23">
        <v>347.35</v>
      </c>
      <c r="CM36" s="23">
        <v>323.25</v>
      </c>
      <c r="CN36" s="23">
        <v>341.6</v>
      </c>
      <c r="CO36" s="23"/>
      <c r="CP36" s="23"/>
      <c r="CQ36" s="23">
        <v>335.4</v>
      </c>
      <c r="CR36" s="23">
        <v>333.4</v>
      </c>
      <c r="CS36" s="23">
        <v>336.7</v>
      </c>
      <c r="CT36" s="23">
        <v>327.39999999999998</v>
      </c>
      <c r="CU36" s="23">
        <v>345.95</v>
      </c>
      <c r="CV36" s="23"/>
      <c r="CW36" s="23"/>
      <c r="CX36" s="23">
        <v>338.6</v>
      </c>
      <c r="CY36" s="23">
        <v>337.1</v>
      </c>
      <c r="CZ36" s="23">
        <v>336.3</v>
      </c>
      <c r="DA36" s="23">
        <v>338.9</v>
      </c>
      <c r="DB36" s="23">
        <v>338.9</v>
      </c>
      <c r="DC36" s="23"/>
      <c r="DD36" s="23"/>
      <c r="DE36" s="23">
        <v>328.8</v>
      </c>
      <c r="DF36" s="23">
        <v>340.25</v>
      </c>
      <c r="DG36" s="23">
        <v>331.4</v>
      </c>
      <c r="DH36" s="23">
        <v>331.4</v>
      </c>
      <c r="DI36" s="23">
        <v>327.75</v>
      </c>
      <c r="DJ36" s="23"/>
      <c r="DK36" s="23"/>
      <c r="DL36" s="23">
        <v>328.9</v>
      </c>
      <c r="DM36" s="23">
        <v>334</v>
      </c>
      <c r="DN36" s="23">
        <v>335.6</v>
      </c>
      <c r="DO36" s="23">
        <v>333.3</v>
      </c>
      <c r="DP36" s="23">
        <v>334.85</v>
      </c>
      <c r="DQ36" s="23"/>
      <c r="DR36" s="23"/>
      <c r="DS36" s="23">
        <v>328.9</v>
      </c>
      <c r="DT36" s="23">
        <v>339.3</v>
      </c>
      <c r="DU36" s="23">
        <v>331.95</v>
      </c>
      <c r="DV36" s="23">
        <v>333.25</v>
      </c>
      <c r="DW36" s="23">
        <v>333.25</v>
      </c>
      <c r="DX36" s="23"/>
      <c r="DY36" s="23"/>
      <c r="DZ36" s="56">
        <v>331.3</v>
      </c>
      <c r="EA36" s="23">
        <v>330.5</v>
      </c>
      <c r="EB36" s="23">
        <v>311.14999999999998</v>
      </c>
      <c r="EC36" s="23">
        <v>325.39999999999998</v>
      </c>
      <c r="ED36" s="23">
        <v>327.45</v>
      </c>
      <c r="EE36" s="23"/>
      <c r="EF36" s="23"/>
      <c r="EG36" s="23">
        <v>334.8</v>
      </c>
      <c r="EH36" s="23">
        <v>323.39999999999998</v>
      </c>
      <c r="EI36" s="23">
        <v>307.25</v>
      </c>
      <c r="EJ36" s="23">
        <v>311.5</v>
      </c>
      <c r="EK36" s="23">
        <v>324.45</v>
      </c>
      <c r="EL36" s="23"/>
      <c r="EM36" s="23"/>
      <c r="EN36" s="23">
        <v>305.2</v>
      </c>
      <c r="EO36" s="23">
        <v>314.14999999999998</v>
      </c>
      <c r="EP36" s="23">
        <v>318.2</v>
      </c>
      <c r="EQ36" s="23">
        <v>319.10000000000002</v>
      </c>
      <c r="ER36" s="23">
        <v>315.8</v>
      </c>
      <c r="ES36" s="23"/>
      <c r="ET36" s="23"/>
      <c r="EU36" s="23">
        <v>320.39999999999998</v>
      </c>
      <c r="EV36" s="23">
        <v>321.39999999999998</v>
      </c>
      <c r="EW36" s="23">
        <v>314.60000000000002</v>
      </c>
      <c r="EX36" s="23">
        <v>308.64999999999998</v>
      </c>
      <c r="EY36" s="23">
        <v>312.5</v>
      </c>
      <c r="EZ36" s="23"/>
      <c r="FA36" s="23"/>
      <c r="FB36" s="23">
        <v>311.39999999999998</v>
      </c>
      <c r="FC36" s="23">
        <v>315.14999999999998</v>
      </c>
      <c r="FD36" s="23">
        <v>316.14999999999998</v>
      </c>
      <c r="FE36" s="23">
        <v>312.10000000000002</v>
      </c>
      <c r="FF36" s="23">
        <v>314.39999999999998</v>
      </c>
      <c r="FG36" s="23"/>
      <c r="FH36" s="23"/>
      <c r="FI36" s="23">
        <v>311.05</v>
      </c>
      <c r="FJ36" s="23">
        <v>319.75</v>
      </c>
      <c r="FK36" s="23">
        <v>317.7</v>
      </c>
      <c r="FL36" s="23">
        <v>317.7</v>
      </c>
      <c r="FM36" s="23">
        <v>320.5</v>
      </c>
      <c r="FN36" s="23"/>
      <c r="FO36" s="23"/>
      <c r="FP36" s="23">
        <v>323.60000000000002</v>
      </c>
      <c r="FQ36" s="23">
        <v>321.39999999999998</v>
      </c>
      <c r="FR36" s="23">
        <v>321.5</v>
      </c>
      <c r="FS36" s="23">
        <v>321.75</v>
      </c>
      <c r="FT36" s="23">
        <v>322.89999999999998</v>
      </c>
      <c r="FU36" s="23"/>
      <c r="FV36" s="23"/>
      <c r="FW36" s="23">
        <v>326.25</v>
      </c>
      <c r="FX36" s="23">
        <v>326</v>
      </c>
      <c r="FY36" s="23">
        <v>319.64999999999998</v>
      </c>
      <c r="FZ36" s="23">
        <v>320.25</v>
      </c>
      <c r="GA36" s="23">
        <v>314.75</v>
      </c>
      <c r="GB36" s="23"/>
      <c r="GC36" s="23"/>
      <c r="GD36" s="23">
        <v>324.95</v>
      </c>
      <c r="GE36" s="23">
        <v>323.55</v>
      </c>
      <c r="GF36" s="23">
        <v>316</v>
      </c>
      <c r="GG36" s="23">
        <v>324.8</v>
      </c>
      <c r="GH36" s="23">
        <v>324.95</v>
      </c>
      <c r="GI36" s="23"/>
      <c r="GJ36" s="23"/>
      <c r="GK36" s="23">
        <v>334</v>
      </c>
      <c r="GL36" s="23">
        <v>324.7</v>
      </c>
      <c r="GM36" s="23">
        <v>330.35</v>
      </c>
      <c r="GN36" s="23">
        <v>324.64999999999998</v>
      </c>
      <c r="GO36" s="23">
        <v>325.95</v>
      </c>
      <c r="GP36" s="23"/>
      <c r="GQ36" s="23"/>
      <c r="GR36" s="23">
        <v>327.05</v>
      </c>
      <c r="GS36" s="23">
        <v>321.39999999999998</v>
      </c>
      <c r="GT36" s="23">
        <v>323.7</v>
      </c>
      <c r="GU36" s="23">
        <v>320.64999999999998</v>
      </c>
      <c r="GV36" s="23">
        <v>324.10000000000002</v>
      </c>
      <c r="GW36" s="23"/>
      <c r="GX36" s="23"/>
      <c r="GY36" s="23">
        <v>330</v>
      </c>
      <c r="GZ36" s="23">
        <v>322.75</v>
      </c>
      <c r="HA36" s="23">
        <v>325.05</v>
      </c>
      <c r="HB36" s="23">
        <v>323.5</v>
      </c>
      <c r="HC36" s="23">
        <v>325.7</v>
      </c>
      <c r="HD36" s="23"/>
      <c r="HE36" s="23"/>
      <c r="HF36" s="23">
        <v>326.64999999999998</v>
      </c>
      <c r="HG36" s="23">
        <v>322.5</v>
      </c>
      <c r="HH36" s="23">
        <v>299.55</v>
      </c>
      <c r="HI36" s="23">
        <v>297.60000000000002</v>
      </c>
      <c r="HJ36" s="23">
        <v>310.64999999999998</v>
      </c>
      <c r="HK36" s="23"/>
      <c r="HL36" s="23"/>
      <c r="HM36" s="23">
        <v>315.75</v>
      </c>
      <c r="HN36" s="23">
        <v>317</v>
      </c>
      <c r="HO36" s="23">
        <v>311.2</v>
      </c>
      <c r="HP36" s="23">
        <v>307.8</v>
      </c>
      <c r="HQ36" s="23">
        <v>316.5</v>
      </c>
      <c r="HR36" s="23"/>
      <c r="HS36" s="23"/>
      <c r="HT36" s="23">
        <v>313.5</v>
      </c>
      <c r="HU36" s="23">
        <v>314.2</v>
      </c>
      <c r="HV36" s="23">
        <v>316.60000000000002</v>
      </c>
      <c r="HW36" s="23">
        <v>313</v>
      </c>
      <c r="HX36" s="23">
        <v>318.35000000000002</v>
      </c>
      <c r="HY36" s="23"/>
      <c r="HZ36" s="23"/>
      <c r="IA36" s="23">
        <v>326.60000000000002</v>
      </c>
      <c r="IB36" s="23">
        <v>303.2</v>
      </c>
      <c r="IC36" s="23">
        <v>307.89999999999998</v>
      </c>
      <c r="ID36" s="23">
        <v>313.45</v>
      </c>
      <c r="IE36" s="23">
        <v>323.60000000000002</v>
      </c>
      <c r="IF36" s="23"/>
      <c r="IG36" s="23"/>
      <c r="IH36" s="23">
        <v>311.35000000000002</v>
      </c>
      <c r="II36" s="23">
        <v>312</v>
      </c>
      <c r="IJ36" s="23">
        <v>309.10000000000002</v>
      </c>
      <c r="IK36" s="23">
        <v>314.75</v>
      </c>
      <c r="IL36" s="23">
        <v>310.25</v>
      </c>
      <c r="IM36" s="23"/>
      <c r="IN36" s="23"/>
      <c r="IO36" s="23">
        <v>314.95</v>
      </c>
      <c r="IP36" s="70">
        <v>303.95</v>
      </c>
      <c r="IQ36" s="70">
        <v>303.95</v>
      </c>
      <c r="IR36" s="23">
        <v>307</v>
      </c>
      <c r="IS36" s="23">
        <v>292.3</v>
      </c>
      <c r="IT36" s="23"/>
      <c r="IU36" s="23"/>
      <c r="IV36" s="23">
        <v>306.25</v>
      </c>
      <c r="IW36" s="23">
        <v>308.39999999999998</v>
      </c>
      <c r="IX36" s="23">
        <v>296.39999999999998</v>
      </c>
      <c r="IY36" s="23">
        <v>291.60000000000002</v>
      </c>
      <c r="IZ36" s="23">
        <v>294.55</v>
      </c>
      <c r="JA36" s="23"/>
      <c r="JB36" s="23"/>
      <c r="JC36" s="23">
        <v>308.05</v>
      </c>
      <c r="JD36" s="23">
        <v>308</v>
      </c>
      <c r="JE36" s="23">
        <v>297.5</v>
      </c>
      <c r="JF36" s="23">
        <v>299.05</v>
      </c>
      <c r="JG36" s="23">
        <v>300.60000000000002</v>
      </c>
      <c r="JH36" s="23"/>
      <c r="JI36" s="23"/>
      <c r="JJ36" s="23">
        <v>301.8</v>
      </c>
      <c r="JK36" s="23">
        <v>306.7</v>
      </c>
      <c r="JL36" s="23">
        <v>301.89999999999998</v>
      </c>
      <c r="JM36" s="23">
        <v>302.3</v>
      </c>
      <c r="JN36" s="23">
        <v>303.95</v>
      </c>
      <c r="JO36" s="23"/>
      <c r="JP36" s="23"/>
      <c r="JQ36" s="23">
        <v>290.10000000000002</v>
      </c>
      <c r="JR36" s="23">
        <v>294.89999999999998</v>
      </c>
      <c r="JS36" s="23">
        <v>295</v>
      </c>
      <c r="JT36" s="23">
        <v>301.55</v>
      </c>
      <c r="JU36" s="23">
        <v>303.5</v>
      </c>
      <c r="JV36" s="23"/>
      <c r="JW36" s="23"/>
      <c r="JX36" s="23">
        <v>304.05</v>
      </c>
      <c r="JY36" s="23">
        <v>302.3</v>
      </c>
      <c r="JZ36" s="23">
        <v>302.3</v>
      </c>
      <c r="KA36" s="23">
        <v>306.3</v>
      </c>
      <c r="KB36" s="23">
        <v>297.39999999999998</v>
      </c>
      <c r="KC36" s="83"/>
      <c r="KD36" s="23"/>
      <c r="KE36" s="23">
        <v>286.39999999999998</v>
      </c>
      <c r="KF36" s="23">
        <v>302.45</v>
      </c>
      <c r="KG36" s="23">
        <v>295.7</v>
      </c>
      <c r="KH36" s="23">
        <v>299.7</v>
      </c>
      <c r="KI36" s="23">
        <v>295.3</v>
      </c>
      <c r="KJ36" s="23"/>
      <c r="KK36" s="23"/>
      <c r="KL36" s="23">
        <v>310.8</v>
      </c>
      <c r="KM36" s="23">
        <v>292.8</v>
      </c>
      <c r="KN36" s="23">
        <v>284.2</v>
      </c>
      <c r="KO36" s="23">
        <v>294.89999999999998</v>
      </c>
      <c r="KP36" s="23">
        <v>285.39999999999998</v>
      </c>
      <c r="KQ36" s="23"/>
      <c r="KR36" s="23"/>
      <c r="KS36" s="23">
        <v>292</v>
      </c>
      <c r="KT36" s="23">
        <v>281.35000000000002</v>
      </c>
      <c r="KU36" s="23">
        <v>281.35000000000002</v>
      </c>
      <c r="KV36" s="23">
        <v>289.3</v>
      </c>
      <c r="KW36" s="23">
        <v>287.7</v>
      </c>
      <c r="KX36" s="23"/>
      <c r="KY36" s="23"/>
      <c r="KZ36" s="23">
        <v>288</v>
      </c>
      <c r="LA36" s="23">
        <v>283.8</v>
      </c>
      <c r="LB36" s="23">
        <v>292.3</v>
      </c>
      <c r="LC36" s="23">
        <v>279.10000000000002</v>
      </c>
      <c r="LD36" s="23">
        <v>270.5</v>
      </c>
      <c r="LE36" s="23"/>
      <c r="LF36" s="23"/>
      <c r="LG36" s="23">
        <v>270.5</v>
      </c>
      <c r="LH36" s="23">
        <v>270.5</v>
      </c>
      <c r="LI36" s="23">
        <v>268.10000000000002</v>
      </c>
      <c r="LJ36" s="23">
        <v>286.45</v>
      </c>
      <c r="LK36" s="23">
        <v>279.05</v>
      </c>
      <c r="LL36" s="23"/>
      <c r="LM36" s="23"/>
      <c r="LN36" s="23">
        <v>291.39999999999998</v>
      </c>
      <c r="LO36" s="23">
        <v>281</v>
      </c>
      <c r="LP36" s="23">
        <v>283.64999999999998</v>
      </c>
      <c r="LQ36" s="23">
        <v>293.95</v>
      </c>
      <c r="LR36" s="23">
        <v>287.75</v>
      </c>
      <c r="LS36" s="23"/>
      <c r="LT36" s="23"/>
      <c r="LU36" s="23">
        <v>287.75</v>
      </c>
      <c r="LV36" s="23">
        <v>280.45</v>
      </c>
      <c r="LW36" s="23">
        <v>284.89999999999998</v>
      </c>
      <c r="LX36" s="23">
        <v>290.7</v>
      </c>
      <c r="LY36" s="23">
        <v>290.7</v>
      </c>
      <c r="LZ36" s="23"/>
      <c r="MA36" s="23"/>
      <c r="MB36" s="23">
        <v>293.5</v>
      </c>
      <c r="MC36" s="23">
        <v>290.5</v>
      </c>
      <c r="MD36" s="23">
        <v>284.89999999999998</v>
      </c>
      <c r="ME36" s="23">
        <v>280.64999999999998</v>
      </c>
      <c r="MF36" s="23">
        <v>295.85000000000002</v>
      </c>
      <c r="MG36" s="23"/>
      <c r="MH36" s="23"/>
      <c r="MI36" s="23">
        <v>298.8</v>
      </c>
      <c r="MJ36" s="23">
        <v>291.25</v>
      </c>
      <c r="MK36" s="23">
        <v>293.7</v>
      </c>
      <c r="ML36" s="23">
        <v>296.45</v>
      </c>
      <c r="MM36" s="23">
        <v>297.89999999999998</v>
      </c>
      <c r="MN36" s="23"/>
      <c r="MO36" s="23"/>
      <c r="MP36" s="23">
        <v>304.55</v>
      </c>
      <c r="MQ36" s="23">
        <v>290.3</v>
      </c>
      <c r="MR36" s="23">
        <v>288.3</v>
      </c>
      <c r="MS36" s="23">
        <v>297.10000000000002</v>
      </c>
      <c r="MT36" s="23">
        <v>290</v>
      </c>
      <c r="MU36" s="23"/>
      <c r="MV36" s="23"/>
      <c r="MW36" s="23">
        <v>297.7</v>
      </c>
      <c r="MX36" s="23">
        <v>286.60000000000002</v>
      </c>
      <c r="MY36" s="23">
        <v>288.45</v>
      </c>
      <c r="MZ36" s="23">
        <v>286.85000000000002</v>
      </c>
      <c r="NA36" s="23">
        <v>286.85000000000002</v>
      </c>
      <c r="NB36" s="23"/>
    </row>
    <row r="37" spans="1:366" x14ac:dyDescent="0.25">
      <c r="A37" s="40" t="s">
        <v>93</v>
      </c>
      <c r="B37" s="59"/>
      <c r="C37" s="59"/>
      <c r="D37" s="59">
        <f>30*11.15</f>
        <v>334.5</v>
      </c>
      <c r="E37" s="59">
        <f>30*11.15</f>
        <v>334.5</v>
      </c>
      <c r="F37" s="59">
        <f>30*11.15</f>
        <v>334.5</v>
      </c>
      <c r="G37" s="59">
        <f>30*11.15</f>
        <v>334.5</v>
      </c>
      <c r="H37" s="59">
        <f>30*11.15</f>
        <v>334.5</v>
      </c>
      <c r="I37" s="59"/>
      <c r="J37" s="59"/>
      <c r="K37" s="59">
        <f>30*11.15</f>
        <v>334.5</v>
      </c>
      <c r="L37" s="59">
        <f>30*11.15</f>
        <v>334.5</v>
      </c>
      <c r="M37" s="59">
        <f>30*11.2</f>
        <v>336</v>
      </c>
      <c r="N37" s="59">
        <f>30*11.2</f>
        <v>336</v>
      </c>
      <c r="O37" s="59">
        <f>30*11.2</f>
        <v>336</v>
      </c>
      <c r="P37" s="59"/>
      <c r="Q37" s="59"/>
      <c r="R37" s="59">
        <f>30*11.2</f>
        <v>336</v>
      </c>
      <c r="S37" s="59">
        <f>30*11.2</f>
        <v>336</v>
      </c>
      <c r="T37" s="59">
        <f t="shared" ref="T37:V37" si="1">30*11.2</f>
        <v>336</v>
      </c>
      <c r="U37" s="59">
        <f t="shared" si="1"/>
        <v>336</v>
      </c>
      <c r="V37" s="59">
        <f t="shared" si="1"/>
        <v>336</v>
      </c>
      <c r="W37" s="59"/>
      <c r="X37" s="41"/>
      <c r="Y37" s="59">
        <f t="shared" ref="Y37:AA37" si="2">30*11.2</f>
        <v>336</v>
      </c>
      <c r="Z37" s="59">
        <f>30*11.15</f>
        <v>334.5</v>
      </c>
      <c r="AA37" s="59">
        <f t="shared" si="2"/>
        <v>336</v>
      </c>
      <c r="AB37" s="59">
        <f>30*11.15</f>
        <v>334.5</v>
      </c>
      <c r="AC37" s="59">
        <f>30*11.15</f>
        <v>334.5</v>
      </c>
      <c r="AD37" s="41"/>
      <c r="AE37" s="41"/>
      <c r="AF37" s="59">
        <f>30*11.15</f>
        <v>334.5</v>
      </c>
      <c r="AG37" s="59">
        <f>30*11.15</f>
        <v>334.5</v>
      </c>
      <c r="AH37" s="59">
        <f>30*11.05</f>
        <v>331.5</v>
      </c>
      <c r="AI37" s="59">
        <f>30*11</f>
        <v>330</v>
      </c>
      <c r="AJ37" s="59">
        <f>30*11</f>
        <v>330</v>
      </c>
      <c r="AK37" s="41"/>
      <c r="AL37" s="41"/>
      <c r="AM37" s="59">
        <f>30*11</f>
        <v>330</v>
      </c>
      <c r="AN37" s="59">
        <f>30*11</f>
        <v>330</v>
      </c>
      <c r="AO37" s="59">
        <f>30*11</f>
        <v>330</v>
      </c>
      <c r="AP37" s="59">
        <f>30*10.9</f>
        <v>327</v>
      </c>
      <c r="AQ37" s="59">
        <f>30*10.9</f>
        <v>327</v>
      </c>
      <c r="AR37" s="41"/>
      <c r="AS37" s="41"/>
      <c r="AT37" s="59">
        <f>30*10.9</f>
        <v>327</v>
      </c>
      <c r="AU37" s="59">
        <f>30*10.9</f>
        <v>327</v>
      </c>
      <c r="AV37" s="59">
        <f>30*10.9</f>
        <v>327</v>
      </c>
      <c r="AW37" s="59">
        <f>30*10.9</f>
        <v>327</v>
      </c>
      <c r="AX37" s="59">
        <f>30*10.9</f>
        <v>327</v>
      </c>
      <c r="AY37" s="41"/>
      <c r="AZ37" s="41"/>
      <c r="BA37" s="59">
        <f>30*10.9</f>
        <v>327</v>
      </c>
      <c r="BB37" s="59">
        <f>30*10.9</f>
        <v>327</v>
      </c>
      <c r="BC37" s="59">
        <f>30*10.9</f>
        <v>327</v>
      </c>
      <c r="BD37" s="59">
        <f>30*10.9</f>
        <v>327</v>
      </c>
      <c r="BE37" s="59">
        <f>30*10.9</f>
        <v>327</v>
      </c>
      <c r="BF37" s="41"/>
      <c r="BG37" s="41"/>
      <c r="BH37" s="59">
        <f>30*10.9</f>
        <v>327</v>
      </c>
      <c r="BI37" s="59">
        <f>30*10.9</f>
        <v>327</v>
      </c>
      <c r="BJ37" s="59">
        <f>30*10.9</f>
        <v>327</v>
      </c>
      <c r="BK37" s="59">
        <f>30*11</f>
        <v>330</v>
      </c>
      <c r="BL37" s="59">
        <f>30*11</f>
        <v>330</v>
      </c>
      <c r="BM37" s="41"/>
      <c r="BN37" s="41"/>
      <c r="BO37" s="59">
        <f>30*11</f>
        <v>330</v>
      </c>
      <c r="BP37" s="59">
        <f>30*11</f>
        <v>330</v>
      </c>
      <c r="BQ37" s="59">
        <f>30*11</f>
        <v>330</v>
      </c>
      <c r="BR37" s="59">
        <f>30*11</f>
        <v>330</v>
      </c>
      <c r="BS37" s="59">
        <f>30*11</f>
        <v>330</v>
      </c>
      <c r="BT37" s="41"/>
      <c r="BU37" s="41"/>
      <c r="BV37" s="59">
        <f>30*11</f>
        <v>330</v>
      </c>
      <c r="BW37" s="59">
        <f>30*11</f>
        <v>330</v>
      </c>
      <c r="BX37" s="59">
        <f>30*11</f>
        <v>330</v>
      </c>
      <c r="BY37" s="59">
        <f>30*11</f>
        <v>330</v>
      </c>
      <c r="BZ37" s="59">
        <f>30*11</f>
        <v>330</v>
      </c>
      <c r="CA37" s="41"/>
      <c r="CB37" s="41"/>
      <c r="CC37" s="59">
        <f>30*11</f>
        <v>330</v>
      </c>
      <c r="CD37" s="59">
        <f>30*11</f>
        <v>330</v>
      </c>
      <c r="CE37" s="59">
        <f>30*11.1</f>
        <v>333</v>
      </c>
      <c r="CF37" s="59">
        <f>30*11.1</f>
        <v>333</v>
      </c>
      <c r="CG37" s="59">
        <f>30*11.1</f>
        <v>333</v>
      </c>
      <c r="CH37" s="41"/>
      <c r="CI37" s="41"/>
      <c r="CJ37" s="59">
        <f>30*11.1</f>
        <v>333</v>
      </c>
      <c r="CK37" s="59">
        <f>30*11.1</f>
        <v>333</v>
      </c>
      <c r="CL37" s="59">
        <f>30*11.1</f>
        <v>333</v>
      </c>
      <c r="CM37" s="59">
        <f>30*11.1</f>
        <v>333</v>
      </c>
      <c r="CN37" s="59">
        <f>30*11.1</f>
        <v>333</v>
      </c>
      <c r="CO37" s="41"/>
      <c r="CP37" s="41"/>
      <c r="CQ37" s="59">
        <f>30*11.1</f>
        <v>333</v>
      </c>
      <c r="CR37" s="59">
        <f>30*11.1</f>
        <v>333</v>
      </c>
      <c r="CS37" s="59">
        <f>30*11.1</f>
        <v>333</v>
      </c>
      <c r="CT37" s="59">
        <f>30*11.1</f>
        <v>333</v>
      </c>
      <c r="CU37" s="59">
        <f>30*11.1</f>
        <v>333</v>
      </c>
      <c r="CV37" s="41"/>
      <c r="CW37" s="41"/>
      <c r="CX37" s="59">
        <f>30*11.1</f>
        <v>333</v>
      </c>
      <c r="CY37" s="59">
        <f>30*11.1</f>
        <v>333</v>
      </c>
      <c r="CZ37" s="59">
        <f>30*11.1</f>
        <v>333</v>
      </c>
      <c r="DA37" s="59">
        <f>30*11.1</f>
        <v>333</v>
      </c>
      <c r="DB37" s="59">
        <f>30*11.1</f>
        <v>333</v>
      </c>
      <c r="DC37" s="41"/>
      <c r="DD37" s="41"/>
      <c r="DE37" s="59">
        <f>30*11.1</f>
        <v>333</v>
      </c>
      <c r="DF37" s="59">
        <f>30*11.1</f>
        <v>333</v>
      </c>
      <c r="DG37" s="41">
        <v>333</v>
      </c>
      <c r="DH37" s="41">
        <v>333</v>
      </c>
      <c r="DI37" s="59">
        <f>30*11.1</f>
        <v>333</v>
      </c>
      <c r="DJ37" s="41"/>
      <c r="DK37" s="41"/>
      <c r="DL37" s="59">
        <f>30*11.1</f>
        <v>333</v>
      </c>
      <c r="DM37" s="59">
        <f>30*11.1</f>
        <v>333</v>
      </c>
      <c r="DN37" s="59">
        <f>30*11.1</f>
        <v>333</v>
      </c>
      <c r="DO37" s="59">
        <f>30*11.1</f>
        <v>333</v>
      </c>
      <c r="DP37" s="59">
        <f>30*11.1</f>
        <v>333</v>
      </c>
      <c r="DQ37" s="41"/>
      <c r="DR37" s="41"/>
      <c r="DS37" s="59">
        <f>30*11.1</f>
        <v>333</v>
      </c>
      <c r="DT37" s="59">
        <f>30*11.1</f>
        <v>333</v>
      </c>
      <c r="DU37" s="59">
        <f>30*11.1</f>
        <v>333</v>
      </c>
      <c r="DV37" s="59">
        <f>30*11.1</f>
        <v>333</v>
      </c>
      <c r="DW37" s="59">
        <f>30*11.1</f>
        <v>333</v>
      </c>
      <c r="DX37" s="41"/>
      <c r="DY37" s="41"/>
      <c r="DZ37" s="59">
        <f>30*11.1</f>
        <v>333</v>
      </c>
      <c r="EA37" s="59">
        <f>30*11.1</f>
        <v>333</v>
      </c>
      <c r="EB37" s="59">
        <f>30*11.1</f>
        <v>333</v>
      </c>
      <c r="EC37" s="59">
        <f>30*11.1</f>
        <v>333</v>
      </c>
      <c r="ED37" s="59">
        <f>30*11.1</f>
        <v>333</v>
      </c>
      <c r="EE37" s="41"/>
      <c r="EF37" s="41"/>
      <c r="EG37" s="59">
        <f>30*11.1</f>
        <v>333</v>
      </c>
      <c r="EH37" s="59">
        <f>30*11.1</f>
        <v>333</v>
      </c>
      <c r="EI37" s="59">
        <f>30*11.1</f>
        <v>333</v>
      </c>
      <c r="EJ37" s="59">
        <f>30*11.1</f>
        <v>333</v>
      </c>
      <c r="EK37" s="59">
        <f>30*11.1</f>
        <v>333</v>
      </c>
      <c r="EL37" s="41"/>
      <c r="EM37" s="41"/>
      <c r="EN37" s="59">
        <f>30*11.1</f>
        <v>333</v>
      </c>
      <c r="EO37" s="59">
        <f>30*11.1</f>
        <v>333</v>
      </c>
      <c r="EP37" s="59">
        <f>30*11</f>
        <v>330</v>
      </c>
      <c r="EQ37" s="59">
        <f>30*11</f>
        <v>330</v>
      </c>
      <c r="ER37" s="59">
        <f>30*11</f>
        <v>330</v>
      </c>
      <c r="ES37" s="41"/>
      <c r="ET37" s="41"/>
      <c r="EU37" s="59">
        <f>30*10.95</f>
        <v>328.5</v>
      </c>
      <c r="EV37" s="59">
        <f>30*10.95</f>
        <v>328.5</v>
      </c>
      <c r="EW37" s="59">
        <f>30*10.95</f>
        <v>328.5</v>
      </c>
      <c r="EX37" s="59">
        <f>30*10.95</f>
        <v>328.5</v>
      </c>
      <c r="EY37" s="59">
        <f>30*10.75</f>
        <v>322.5</v>
      </c>
      <c r="EZ37" s="41"/>
      <c r="FA37" s="41"/>
      <c r="FB37" s="59">
        <f>30*10.75</f>
        <v>322.5</v>
      </c>
      <c r="FC37" s="59">
        <f>30*10.7</f>
        <v>321</v>
      </c>
      <c r="FD37" s="59">
        <f>30*11.1</f>
        <v>333</v>
      </c>
      <c r="FE37" s="59">
        <f>30*10.7</f>
        <v>321</v>
      </c>
      <c r="FF37" s="59">
        <f>30*10.8</f>
        <v>324</v>
      </c>
      <c r="FG37" s="41"/>
      <c r="FH37" s="41"/>
      <c r="FI37" s="59">
        <f>30*10.8</f>
        <v>324</v>
      </c>
      <c r="FJ37" s="59">
        <f>30*10.8</f>
        <v>324</v>
      </c>
      <c r="FK37" s="59">
        <f>30*10.8</f>
        <v>324</v>
      </c>
      <c r="FL37" s="59">
        <f>30*10.8</f>
        <v>324</v>
      </c>
      <c r="FM37" s="59">
        <f>30*10.8</f>
        <v>324</v>
      </c>
      <c r="FN37" s="41"/>
      <c r="FO37" s="41"/>
      <c r="FP37" s="59">
        <f>30*10.8</f>
        <v>324</v>
      </c>
      <c r="FQ37" s="59">
        <f>30*10.8</f>
        <v>324</v>
      </c>
      <c r="FR37" s="59">
        <f>30*10.8</f>
        <v>324</v>
      </c>
      <c r="FS37" s="59">
        <f>30*10.9</f>
        <v>327</v>
      </c>
      <c r="FT37" s="59">
        <f>30*10.9</f>
        <v>327</v>
      </c>
      <c r="FU37" s="41"/>
      <c r="FV37" s="41"/>
      <c r="FW37" s="59">
        <f>30*11</f>
        <v>330</v>
      </c>
      <c r="FX37" s="59">
        <f>30*11</f>
        <v>330</v>
      </c>
      <c r="FY37" s="59">
        <f>30*11</f>
        <v>330</v>
      </c>
      <c r="FZ37" s="59">
        <f>30*11</f>
        <v>330</v>
      </c>
      <c r="GA37" s="59">
        <f>30*11</f>
        <v>330</v>
      </c>
      <c r="GB37" s="41"/>
      <c r="GC37" s="41"/>
      <c r="GD37" s="59">
        <f>30*11</f>
        <v>330</v>
      </c>
      <c r="GE37" s="59">
        <f>30*11</f>
        <v>330</v>
      </c>
      <c r="GF37" s="59">
        <f>30*11</f>
        <v>330</v>
      </c>
      <c r="GG37" s="59">
        <f>30*11</f>
        <v>330</v>
      </c>
      <c r="GH37" s="59">
        <f>30*11</f>
        <v>330</v>
      </c>
      <c r="GI37" s="41"/>
      <c r="GJ37" s="41"/>
      <c r="GK37" s="59">
        <f>30*11</f>
        <v>330</v>
      </c>
      <c r="GL37" s="59">
        <f>30*11</f>
        <v>330</v>
      </c>
      <c r="GM37" s="59">
        <f>30*11</f>
        <v>330</v>
      </c>
      <c r="GN37" s="59">
        <f>30*11</f>
        <v>330</v>
      </c>
      <c r="GO37" s="59">
        <f>30*11</f>
        <v>330</v>
      </c>
      <c r="GP37" s="41"/>
      <c r="GQ37" s="41"/>
      <c r="GR37" s="59">
        <f>30*10.9</f>
        <v>327</v>
      </c>
      <c r="GS37" s="59">
        <f>30*10.9</f>
        <v>327</v>
      </c>
      <c r="GT37" s="59">
        <f>30*10.95</f>
        <v>328.5</v>
      </c>
      <c r="GU37" s="59">
        <f>30*10.95</f>
        <v>328.5</v>
      </c>
      <c r="GV37" s="59">
        <f>30*10.95</f>
        <v>328.5</v>
      </c>
      <c r="GW37" s="59"/>
      <c r="GX37" s="59"/>
      <c r="GY37" s="59">
        <f t="shared" ref="GY37:HC37" si="3">30*10.95</f>
        <v>328.5</v>
      </c>
      <c r="GZ37" s="59">
        <f t="shared" si="3"/>
        <v>328.5</v>
      </c>
      <c r="HA37" s="59">
        <f t="shared" si="3"/>
        <v>328.5</v>
      </c>
      <c r="HB37" s="59">
        <f t="shared" si="3"/>
        <v>328.5</v>
      </c>
      <c r="HC37" s="59">
        <f t="shared" si="3"/>
        <v>328.5</v>
      </c>
      <c r="HD37" s="41"/>
      <c r="HE37" s="41"/>
      <c r="HF37" s="41">
        <f t="shared" ref="HF37:HJ37" si="4">30*10.95</f>
        <v>328.5</v>
      </c>
      <c r="HG37" s="41">
        <f t="shared" si="4"/>
        <v>328.5</v>
      </c>
      <c r="HH37" s="41">
        <f t="shared" si="4"/>
        <v>328.5</v>
      </c>
      <c r="HI37" s="41">
        <f t="shared" si="4"/>
        <v>328.5</v>
      </c>
      <c r="HJ37" s="41">
        <f t="shared" si="4"/>
        <v>328.5</v>
      </c>
      <c r="HK37" s="41"/>
      <c r="HL37" s="41"/>
      <c r="HM37" s="41">
        <f t="shared" ref="HM37:HN37" si="5">30*10.95</f>
        <v>328.5</v>
      </c>
      <c r="HN37" s="41">
        <f t="shared" si="5"/>
        <v>328.5</v>
      </c>
      <c r="HO37" s="41">
        <f>30*10.9</f>
        <v>327</v>
      </c>
      <c r="HP37" s="41">
        <f>30*10.9</f>
        <v>327</v>
      </c>
      <c r="HQ37" s="41">
        <f>30*10.9</f>
        <v>327</v>
      </c>
      <c r="HR37" s="41"/>
      <c r="HS37" s="41"/>
      <c r="HT37" s="41">
        <f>30*10.9</f>
        <v>327</v>
      </c>
      <c r="HU37" s="41">
        <f>30*10.9</f>
        <v>327</v>
      </c>
      <c r="HV37" s="41">
        <f>30*10.9</f>
        <v>327</v>
      </c>
      <c r="HW37" s="41">
        <f>30*10.8</f>
        <v>324</v>
      </c>
      <c r="HX37" s="41">
        <f>30*10.7</f>
        <v>321</v>
      </c>
      <c r="HY37" s="41"/>
      <c r="HZ37" s="41"/>
      <c r="IA37" s="41">
        <f>30*10.7</f>
        <v>321</v>
      </c>
      <c r="IB37" s="41">
        <f>30*10.7</f>
        <v>321</v>
      </c>
      <c r="IC37" s="41">
        <f>30*10.7</f>
        <v>321</v>
      </c>
      <c r="ID37" s="41">
        <f>30*10.65</f>
        <v>319.5</v>
      </c>
      <c r="IE37" s="80">
        <f>30*10.65</f>
        <v>319.5</v>
      </c>
      <c r="IF37" s="80"/>
      <c r="IG37" s="80"/>
      <c r="IH37" s="72">
        <f>30*10.6</f>
        <v>318</v>
      </c>
      <c r="II37" s="80">
        <f>30*10.6</f>
        <v>318</v>
      </c>
      <c r="IJ37" s="80">
        <f t="shared" ref="IJ37" si="6">30*10.6</f>
        <v>318</v>
      </c>
      <c r="IK37" s="80">
        <f>30*10.4</f>
        <v>312</v>
      </c>
      <c r="IL37" s="72">
        <f>30*10.4</f>
        <v>312</v>
      </c>
      <c r="IM37" s="41"/>
      <c r="IN37" s="72"/>
      <c r="IO37" s="72">
        <f>30*10.4</f>
        <v>312</v>
      </c>
      <c r="IP37" s="72">
        <f>30*10.4</f>
        <v>312</v>
      </c>
      <c r="IQ37" s="41">
        <v>312</v>
      </c>
      <c r="IR37" s="72">
        <f>30*10.4</f>
        <v>312</v>
      </c>
      <c r="IS37" s="72">
        <f>30*10.4</f>
        <v>312</v>
      </c>
      <c r="IT37" s="41"/>
      <c r="IU37" s="41"/>
      <c r="IV37" s="41">
        <f>30*10.4</f>
        <v>312</v>
      </c>
      <c r="IW37" s="41">
        <f>30*10.4</f>
        <v>312</v>
      </c>
      <c r="IX37" s="41">
        <f>30*10.4</f>
        <v>312</v>
      </c>
      <c r="IY37" s="41">
        <f>30*10.4</f>
        <v>312</v>
      </c>
      <c r="IZ37" s="41">
        <f>30*10.4</f>
        <v>312</v>
      </c>
      <c r="JA37" s="41"/>
      <c r="JB37" s="41"/>
      <c r="JC37" s="41">
        <f>30*10</f>
        <v>300</v>
      </c>
      <c r="JD37" s="41">
        <f>30*10</f>
        <v>300</v>
      </c>
      <c r="JE37" s="80">
        <f>30*10</f>
        <v>300</v>
      </c>
      <c r="JF37" s="80">
        <f>30*10</f>
        <v>300</v>
      </c>
      <c r="JG37" s="72">
        <f>30*9.8</f>
        <v>294</v>
      </c>
      <c r="JH37" s="41"/>
      <c r="JI37" s="41"/>
      <c r="JJ37" s="41">
        <f>30*9.5</f>
        <v>285</v>
      </c>
      <c r="JK37" s="41">
        <f>30*9.5</f>
        <v>285</v>
      </c>
      <c r="JL37" s="41">
        <f>30*9.5</f>
        <v>285</v>
      </c>
      <c r="JM37" s="41">
        <f t="shared" ref="JM37:JN37" si="7">30*9.5</f>
        <v>285</v>
      </c>
      <c r="JN37" s="41">
        <f t="shared" si="7"/>
        <v>285</v>
      </c>
      <c r="JO37" s="41"/>
      <c r="JP37" s="41"/>
      <c r="JQ37" s="41">
        <f t="shared" ref="JQ37:JU37" si="8">30*9.5</f>
        <v>285</v>
      </c>
      <c r="JR37" s="41">
        <f t="shared" si="8"/>
        <v>285</v>
      </c>
      <c r="JS37" s="41">
        <f t="shared" si="8"/>
        <v>285</v>
      </c>
      <c r="JT37" s="41">
        <f t="shared" si="8"/>
        <v>285</v>
      </c>
      <c r="JU37" s="41">
        <f t="shared" si="8"/>
        <v>285</v>
      </c>
      <c r="JV37" s="41"/>
      <c r="JW37" s="41"/>
      <c r="JX37" s="41">
        <f t="shared" ref="JX37:KB37" si="9">30*9.5</f>
        <v>285</v>
      </c>
      <c r="JY37" s="41">
        <f t="shared" si="9"/>
        <v>285</v>
      </c>
      <c r="JZ37" s="41">
        <v>285</v>
      </c>
      <c r="KA37" s="41">
        <f t="shared" si="9"/>
        <v>285</v>
      </c>
      <c r="KB37" s="41">
        <f t="shared" si="9"/>
        <v>285</v>
      </c>
      <c r="KC37" s="41"/>
      <c r="KD37" s="80"/>
      <c r="KE37" s="72">
        <f t="shared" ref="KE37" si="10">30*9.5</f>
        <v>285</v>
      </c>
      <c r="KF37" s="72">
        <f>30*9.4</f>
        <v>282</v>
      </c>
      <c r="KG37" s="72">
        <f>30*9.4</f>
        <v>282</v>
      </c>
      <c r="KH37" s="72">
        <f>30*9.4</f>
        <v>282</v>
      </c>
      <c r="KI37" s="72">
        <f>30*9.3</f>
        <v>279</v>
      </c>
      <c r="KJ37" s="41"/>
      <c r="KK37" s="41"/>
      <c r="KL37" s="41">
        <f>30*9.3</f>
        <v>279</v>
      </c>
      <c r="KM37" s="41">
        <f>30*9.3</f>
        <v>279</v>
      </c>
      <c r="KN37" s="41">
        <f>30*9.25</f>
        <v>277.5</v>
      </c>
      <c r="KO37" s="41">
        <f>30*9.15</f>
        <v>274.5</v>
      </c>
      <c r="KP37" s="41">
        <f>30*9.15</f>
        <v>274.5</v>
      </c>
      <c r="KQ37" s="41"/>
      <c r="KR37" s="41"/>
      <c r="KS37" s="41">
        <f>30*9</f>
        <v>270</v>
      </c>
      <c r="KT37" s="41">
        <f t="shared" ref="KT37" si="11">30*9</f>
        <v>270</v>
      </c>
      <c r="KU37" s="41">
        <v>270</v>
      </c>
      <c r="KV37" s="41">
        <f>30*8.9</f>
        <v>267</v>
      </c>
      <c r="KW37" s="41">
        <f>30*8.7</f>
        <v>261</v>
      </c>
      <c r="KX37" s="41"/>
      <c r="KY37" s="41"/>
      <c r="KZ37" s="41">
        <f t="shared" ref="KZ37:LD37" si="12">30*8.7</f>
        <v>261</v>
      </c>
      <c r="LA37" s="41">
        <f t="shared" si="12"/>
        <v>261</v>
      </c>
      <c r="LB37" s="41">
        <f t="shared" si="12"/>
        <v>261</v>
      </c>
      <c r="LC37" s="41">
        <f t="shared" si="12"/>
        <v>261</v>
      </c>
      <c r="LD37" s="41">
        <f t="shared" si="12"/>
        <v>261</v>
      </c>
      <c r="LE37" s="41"/>
      <c r="LF37" s="41"/>
      <c r="LG37" s="41">
        <f t="shared" ref="LG37:LK37" si="13">30*8.7</f>
        <v>261</v>
      </c>
      <c r="LH37" s="41">
        <f t="shared" si="13"/>
        <v>261</v>
      </c>
      <c r="LI37" s="41">
        <f t="shared" si="13"/>
        <v>261</v>
      </c>
      <c r="LJ37" s="41">
        <f t="shared" si="13"/>
        <v>261</v>
      </c>
      <c r="LK37" s="41">
        <f t="shared" si="13"/>
        <v>261</v>
      </c>
      <c r="LL37" s="41"/>
      <c r="LM37" s="41"/>
      <c r="LN37" s="41">
        <f t="shared" ref="LN37:LQ37" si="14">30*8.7</f>
        <v>261</v>
      </c>
      <c r="LO37" s="41">
        <f t="shared" si="14"/>
        <v>261</v>
      </c>
      <c r="LP37" s="41">
        <f t="shared" si="14"/>
        <v>261</v>
      </c>
      <c r="LQ37" s="41">
        <f t="shared" si="14"/>
        <v>261</v>
      </c>
      <c r="LR37" s="41">
        <f>30*8.8</f>
        <v>264</v>
      </c>
      <c r="LS37" s="41"/>
      <c r="LT37" s="41"/>
      <c r="LU37" s="41">
        <f>30*8.8</f>
        <v>264</v>
      </c>
      <c r="LV37" s="41">
        <f>30*8.8</f>
        <v>264</v>
      </c>
      <c r="LW37" s="41">
        <f>30*8.8</f>
        <v>264</v>
      </c>
      <c r="LX37" s="41">
        <f>30*8.8</f>
        <v>264</v>
      </c>
      <c r="LY37" s="41">
        <f>30*8.8</f>
        <v>264</v>
      </c>
      <c r="LZ37" s="41"/>
      <c r="MA37" s="41"/>
      <c r="MB37" s="41">
        <f t="shared" ref="MB37:MF37" si="15">30*8.8</f>
        <v>264</v>
      </c>
      <c r="MC37" s="41">
        <f t="shared" si="15"/>
        <v>264</v>
      </c>
      <c r="MD37" s="41">
        <f t="shared" si="15"/>
        <v>264</v>
      </c>
      <c r="ME37" s="41">
        <f t="shared" si="15"/>
        <v>264</v>
      </c>
      <c r="MF37" s="41">
        <f t="shared" si="15"/>
        <v>264</v>
      </c>
      <c r="MG37" s="41"/>
      <c r="MH37" s="41"/>
      <c r="MI37" s="41">
        <f t="shared" ref="MI37" si="16">30*8.8</f>
        <v>264</v>
      </c>
      <c r="MJ37" s="41">
        <f>30*9</f>
        <v>270</v>
      </c>
      <c r="MK37" s="41">
        <f>30*9</f>
        <v>270</v>
      </c>
      <c r="ML37" s="41">
        <f>30*9.05</f>
        <v>271.5</v>
      </c>
      <c r="MM37" s="41">
        <f>30*9.05</f>
        <v>271.5</v>
      </c>
      <c r="MN37" s="41"/>
      <c r="MO37" s="41"/>
      <c r="MP37" s="41">
        <f>30*9.05</f>
        <v>271.5</v>
      </c>
      <c r="MQ37" s="41">
        <f>30*9.05</f>
        <v>271.5</v>
      </c>
      <c r="MR37" s="41">
        <f>30*9.05</f>
        <v>271.5</v>
      </c>
      <c r="MS37" s="41">
        <f>30*9.05</f>
        <v>271.5</v>
      </c>
      <c r="MT37" s="41">
        <f>30*9.05</f>
        <v>271.5</v>
      </c>
      <c r="MU37" s="41"/>
      <c r="MV37" s="41"/>
      <c r="MW37" s="41">
        <f>30*9.05</f>
        <v>271.5</v>
      </c>
      <c r="MX37" s="41">
        <f>30*9.05</f>
        <v>271.5</v>
      </c>
      <c r="MY37" s="41">
        <f>30*9.05</f>
        <v>271.5</v>
      </c>
      <c r="MZ37" s="41">
        <f t="shared" ref="MZ37:NA37" si="17">30*9.05</f>
        <v>271.5</v>
      </c>
      <c r="NA37" s="41">
        <f t="shared" si="17"/>
        <v>271.5</v>
      </c>
      <c r="NB37" s="41"/>
    </row>
    <row r="38" spans="1:366" x14ac:dyDescent="0.25">
      <c r="A38" s="25" t="s">
        <v>94</v>
      </c>
      <c r="B38" s="56"/>
      <c r="C38" s="56"/>
      <c r="D38" s="56">
        <v>7000</v>
      </c>
      <c r="E38" s="56">
        <v>6900</v>
      </c>
      <c r="F38" s="56">
        <v>6900</v>
      </c>
      <c r="G38" s="56">
        <v>6900</v>
      </c>
      <c r="H38" s="56">
        <v>6900</v>
      </c>
      <c r="I38" s="56"/>
      <c r="J38" s="56"/>
      <c r="K38" s="56">
        <v>7200</v>
      </c>
      <c r="L38" s="56">
        <v>7200</v>
      </c>
      <c r="M38" s="56">
        <v>7100</v>
      </c>
      <c r="N38" s="56">
        <v>7100</v>
      </c>
      <c r="O38" s="56">
        <v>7100</v>
      </c>
      <c r="P38" s="56"/>
      <c r="Q38" s="56"/>
      <c r="R38" s="56">
        <v>7100</v>
      </c>
      <c r="S38" s="56">
        <v>7500</v>
      </c>
      <c r="T38" s="56">
        <v>7500</v>
      </c>
      <c r="U38" s="56">
        <v>7500</v>
      </c>
      <c r="V38" s="56">
        <v>7300</v>
      </c>
      <c r="W38" s="23"/>
      <c r="X38" s="23"/>
      <c r="Y38" s="23">
        <v>7300</v>
      </c>
      <c r="Z38" s="23">
        <v>7600</v>
      </c>
      <c r="AA38" s="23">
        <v>7200</v>
      </c>
      <c r="AB38" s="23">
        <v>7400</v>
      </c>
      <c r="AC38" s="23">
        <v>8000</v>
      </c>
      <c r="AD38" s="23"/>
      <c r="AE38" s="23"/>
      <c r="AF38" s="23">
        <v>8000</v>
      </c>
      <c r="AG38" s="23">
        <v>8000</v>
      </c>
      <c r="AH38" s="23">
        <v>8000</v>
      </c>
      <c r="AI38" s="23">
        <v>8000</v>
      </c>
      <c r="AJ38" s="23">
        <v>8000</v>
      </c>
      <c r="AK38" s="23"/>
      <c r="AL38" s="23"/>
      <c r="AM38" s="23">
        <v>8000</v>
      </c>
      <c r="AN38" s="23">
        <v>8000</v>
      </c>
      <c r="AO38" s="23">
        <v>8000</v>
      </c>
      <c r="AP38" s="23">
        <v>8000</v>
      </c>
      <c r="AQ38" s="23">
        <v>8000</v>
      </c>
      <c r="AR38" s="23"/>
      <c r="AS38" s="23"/>
      <c r="AT38" s="23">
        <v>8000</v>
      </c>
      <c r="AU38" s="56">
        <v>8000</v>
      </c>
      <c r="AV38" s="56">
        <v>8000</v>
      </c>
      <c r="AW38" s="23">
        <v>8000</v>
      </c>
      <c r="AX38" s="23">
        <v>8000</v>
      </c>
      <c r="AY38" s="23"/>
      <c r="AZ38" s="23"/>
      <c r="BA38" s="23">
        <v>8000</v>
      </c>
      <c r="BB38" s="23">
        <v>8000</v>
      </c>
      <c r="BC38" s="23">
        <v>8000</v>
      </c>
      <c r="BD38" s="23">
        <v>8000</v>
      </c>
      <c r="BE38" s="23">
        <v>8200</v>
      </c>
      <c r="BF38" s="23"/>
      <c r="BG38" s="56"/>
      <c r="BH38" s="23">
        <v>8200</v>
      </c>
      <c r="BI38" s="23">
        <v>8200</v>
      </c>
      <c r="BJ38" s="23">
        <v>8200</v>
      </c>
      <c r="BK38" s="23">
        <v>8200</v>
      </c>
      <c r="BL38" s="23">
        <v>8200</v>
      </c>
      <c r="BM38" s="23"/>
      <c r="BN38" s="23"/>
      <c r="BO38" s="23">
        <v>8200</v>
      </c>
      <c r="BP38" s="23">
        <v>8400</v>
      </c>
      <c r="BQ38" s="23">
        <v>8400</v>
      </c>
      <c r="BR38" s="23">
        <v>8400</v>
      </c>
      <c r="BS38" s="23">
        <v>8400</v>
      </c>
      <c r="BT38" s="23"/>
      <c r="BU38" s="23"/>
      <c r="BV38" s="23">
        <v>8500</v>
      </c>
      <c r="BW38" s="23">
        <v>8500</v>
      </c>
      <c r="BX38" s="23">
        <v>8500</v>
      </c>
      <c r="BY38" s="23">
        <v>8500</v>
      </c>
      <c r="BZ38" s="23">
        <v>8500</v>
      </c>
      <c r="CA38" s="23"/>
      <c r="CB38" s="23"/>
      <c r="CC38" s="23">
        <v>8500</v>
      </c>
      <c r="CD38" s="23">
        <v>8500</v>
      </c>
      <c r="CE38" s="23">
        <v>8500</v>
      </c>
      <c r="CF38" s="23">
        <v>8500</v>
      </c>
      <c r="CG38" s="23">
        <v>8500</v>
      </c>
      <c r="CH38" s="23"/>
      <c r="CI38" s="23"/>
      <c r="CJ38" s="23">
        <v>8500</v>
      </c>
      <c r="CK38" s="23">
        <v>8500</v>
      </c>
      <c r="CL38" s="23">
        <v>8500</v>
      </c>
      <c r="CM38" s="23">
        <v>8400</v>
      </c>
      <c r="CN38" s="23">
        <v>8400</v>
      </c>
      <c r="CO38" s="23"/>
      <c r="CP38" s="23"/>
      <c r="CQ38" s="23">
        <v>8400</v>
      </c>
      <c r="CR38" s="23">
        <v>8400</v>
      </c>
      <c r="CS38" s="23">
        <v>8400</v>
      </c>
      <c r="CT38" s="23">
        <v>8400</v>
      </c>
      <c r="CU38" s="23">
        <v>8400</v>
      </c>
      <c r="CV38" s="23"/>
      <c r="CW38" s="23"/>
      <c r="CX38" s="23">
        <v>8400</v>
      </c>
      <c r="CY38" s="91">
        <v>8200</v>
      </c>
      <c r="CZ38" s="23">
        <v>8200</v>
      </c>
      <c r="DA38" s="23">
        <v>8200</v>
      </c>
      <c r="DB38" s="23">
        <v>8200</v>
      </c>
      <c r="DC38" s="23"/>
      <c r="DD38" s="23"/>
      <c r="DE38" s="23">
        <v>8200</v>
      </c>
      <c r="DF38" s="91">
        <v>8200</v>
      </c>
      <c r="DG38" s="23">
        <v>8200</v>
      </c>
      <c r="DH38" s="23">
        <v>8200</v>
      </c>
      <c r="DI38" s="23">
        <v>8500</v>
      </c>
      <c r="DJ38" s="23"/>
      <c r="DK38" s="23"/>
      <c r="DL38" s="23">
        <v>8500</v>
      </c>
      <c r="DM38" s="23">
        <v>8500</v>
      </c>
      <c r="DN38" s="23">
        <v>8500</v>
      </c>
      <c r="DO38" s="23">
        <v>8500</v>
      </c>
      <c r="DP38" s="23">
        <v>8500</v>
      </c>
      <c r="DQ38" s="23"/>
      <c r="DR38" s="23"/>
      <c r="DS38" s="23">
        <v>8500</v>
      </c>
      <c r="DT38" s="23">
        <v>8700</v>
      </c>
      <c r="DU38" s="23">
        <v>8700</v>
      </c>
      <c r="DV38" s="23">
        <v>8700</v>
      </c>
      <c r="DW38" s="23">
        <v>9000</v>
      </c>
      <c r="DX38" s="23"/>
      <c r="DY38" s="23"/>
      <c r="DZ38" s="23">
        <v>9000</v>
      </c>
      <c r="EA38" s="23">
        <v>9000</v>
      </c>
      <c r="EB38" s="23">
        <v>9000</v>
      </c>
      <c r="EC38" s="23">
        <v>9000</v>
      </c>
      <c r="ED38" s="23">
        <v>9000</v>
      </c>
      <c r="EE38" s="23"/>
      <c r="EF38" s="23"/>
      <c r="EG38" s="23">
        <v>9000</v>
      </c>
      <c r="EH38" s="23">
        <v>9000</v>
      </c>
      <c r="EI38" s="23">
        <v>9200</v>
      </c>
      <c r="EJ38" s="23">
        <v>9200</v>
      </c>
      <c r="EK38" s="23">
        <v>9200</v>
      </c>
      <c r="EL38" s="23"/>
      <c r="EM38" s="23"/>
      <c r="EN38" s="23">
        <v>9200</v>
      </c>
      <c r="EO38" s="23">
        <v>9200</v>
      </c>
      <c r="EP38" s="23">
        <v>9200</v>
      </c>
      <c r="EQ38" s="23">
        <v>9200</v>
      </c>
      <c r="ER38" s="23">
        <v>9200</v>
      </c>
      <c r="ES38" s="23"/>
      <c r="ET38" s="23"/>
      <c r="EU38" s="23">
        <v>9200</v>
      </c>
      <c r="EV38" s="23">
        <v>9200</v>
      </c>
      <c r="EW38" s="23">
        <v>9200</v>
      </c>
      <c r="EX38" s="23">
        <v>9200</v>
      </c>
      <c r="EY38" s="23">
        <v>9200</v>
      </c>
      <c r="EZ38" s="23"/>
      <c r="FA38" s="23"/>
      <c r="FB38" s="23">
        <v>9200</v>
      </c>
      <c r="FC38" s="23">
        <v>9000</v>
      </c>
      <c r="FD38" s="23">
        <v>8900</v>
      </c>
      <c r="FE38" s="23">
        <v>9000</v>
      </c>
      <c r="FF38" s="23">
        <v>9000</v>
      </c>
      <c r="FG38" s="23"/>
      <c r="FH38" s="23"/>
      <c r="FI38" s="23">
        <v>9000</v>
      </c>
      <c r="FJ38" s="23">
        <v>9000</v>
      </c>
      <c r="FK38" s="23">
        <v>9000</v>
      </c>
      <c r="FL38" s="23">
        <v>9000</v>
      </c>
      <c r="FM38" s="23">
        <v>9000</v>
      </c>
      <c r="FN38" s="23"/>
      <c r="FO38" s="23"/>
      <c r="FP38" s="23">
        <v>9000</v>
      </c>
      <c r="FQ38" s="23">
        <v>9000</v>
      </c>
      <c r="FR38" s="23">
        <v>8700</v>
      </c>
      <c r="FS38" s="23">
        <v>8700</v>
      </c>
      <c r="FT38" s="23">
        <v>8700</v>
      </c>
      <c r="FU38" s="23"/>
      <c r="FV38" s="23"/>
      <c r="FW38" s="23">
        <v>8700</v>
      </c>
      <c r="FX38" s="23">
        <v>8500</v>
      </c>
      <c r="FY38" s="23">
        <v>8500</v>
      </c>
      <c r="FZ38" s="23">
        <v>8500</v>
      </c>
      <c r="GA38" s="23">
        <v>7800</v>
      </c>
      <c r="GB38" s="23"/>
      <c r="GC38" s="23"/>
      <c r="GD38" s="23">
        <v>7800</v>
      </c>
      <c r="GE38" s="23">
        <v>7800</v>
      </c>
      <c r="GF38" s="23">
        <v>7600</v>
      </c>
      <c r="GG38" s="23">
        <v>7600</v>
      </c>
      <c r="GH38" s="23">
        <v>7600</v>
      </c>
      <c r="GI38" s="23"/>
      <c r="GJ38" s="23"/>
      <c r="GK38" s="23">
        <v>7600</v>
      </c>
      <c r="GL38" s="23">
        <v>7600</v>
      </c>
      <c r="GM38" s="23">
        <v>7600</v>
      </c>
      <c r="GN38" s="23">
        <v>7600</v>
      </c>
      <c r="GO38" s="23">
        <v>7600</v>
      </c>
      <c r="GP38" s="23"/>
      <c r="GQ38" s="23"/>
      <c r="GR38" s="23">
        <v>7600</v>
      </c>
      <c r="GS38" s="23">
        <v>7600</v>
      </c>
      <c r="GT38" s="23">
        <v>7600</v>
      </c>
      <c r="GU38" s="23">
        <v>7600</v>
      </c>
      <c r="GV38" s="23">
        <v>7600</v>
      </c>
      <c r="GW38" s="23"/>
      <c r="GX38" s="23"/>
      <c r="GY38" s="23">
        <v>7600</v>
      </c>
      <c r="GZ38" s="23">
        <v>7500</v>
      </c>
      <c r="HA38" s="23">
        <v>7500</v>
      </c>
      <c r="HB38" s="23">
        <v>7500</v>
      </c>
      <c r="HC38" s="23">
        <v>7300</v>
      </c>
      <c r="HD38" s="23"/>
      <c r="HE38" s="23"/>
      <c r="HF38" s="23">
        <v>7300</v>
      </c>
      <c r="HG38" s="23">
        <v>7000</v>
      </c>
      <c r="HH38" s="23">
        <v>7000</v>
      </c>
      <c r="HI38" s="23">
        <v>7000</v>
      </c>
      <c r="HJ38" s="23">
        <v>7000</v>
      </c>
      <c r="HK38" s="23"/>
      <c r="HL38" s="23"/>
      <c r="HM38" s="23">
        <v>7000</v>
      </c>
      <c r="HN38" s="23">
        <v>7000</v>
      </c>
      <c r="HO38" s="23">
        <v>7000</v>
      </c>
      <c r="HP38" s="23">
        <v>7000</v>
      </c>
      <c r="HQ38" s="23">
        <v>7000</v>
      </c>
      <c r="HR38" s="23"/>
      <c r="HS38" s="23"/>
      <c r="HT38" s="23">
        <v>7000</v>
      </c>
      <c r="HU38" s="23">
        <v>7000</v>
      </c>
      <c r="HV38" s="23">
        <v>7000</v>
      </c>
      <c r="HW38" s="23">
        <v>7000</v>
      </c>
      <c r="HX38" s="23">
        <v>7000</v>
      </c>
      <c r="HY38" s="23"/>
      <c r="HZ38" s="23"/>
      <c r="IA38" s="23">
        <v>7000</v>
      </c>
      <c r="IB38" s="23">
        <v>7000</v>
      </c>
      <c r="IC38" s="23">
        <v>7000</v>
      </c>
      <c r="ID38" s="23">
        <v>7000</v>
      </c>
      <c r="IE38" s="23">
        <v>7000</v>
      </c>
      <c r="IF38" s="23"/>
      <c r="IG38" s="23"/>
      <c r="IH38" s="23">
        <v>7000</v>
      </c>
      <c r="II38" s="23">
        <v>7000</v>
      </c>
      <c r="IJ38" s="23">
        <v>7000</v>
      </c>
      <c r="IK38" s="23">
        <v>7000</v>
      </c>
      <c r="IL38" s="23">
        <v>7000</v>
      </c>
      <c r="IM38" s="23"/>
      <c r="IN38" s="23"/>
      <c r="IO38" s="23">
        <v>7000</v>
      </c>
      <c r="IP38" s="70">
        <v>7000</v>
      </c>
      <c r="IQ38" s="70">
        <v>7000</v>
      </c>
      <c r="IR38" s="23">
        <v>7000</v>
      </c>
      <c r="IS38" s="23">
        <v>7000</v>
      </c>
      <c r="IT38" s="23"/>
      <c r="IU38" s="23"/>
      <c r="IV38" s="23">
        <v>7000</v>
      </c>
      <c r="IW38" s="23">
        <v>7000</v>
      </c>
      <c r="IX38" s="23">
        <v>7000</v>
      </c>
      <c r="IY38" s="23">
        <v>7000</v>
      </c>
      <c r="IZ38" s="23">
        <v>7000</v>
      </c>
      <c r="JA38" s="23"/>
      <c r="JB38" s="23"/>
      <c r="JC38" s="23">
        <v>7000</v>
      </c>
      <c r="JD38" s="23">
        <v>7000</v>
      </c>
      <c r="JE38" s="23">
        <v>7000</v>
      </c>
      <c r="JF38" s="23">
        <v>7000</v>
      </c>
      <c r="JG38" s="23">
        <v>7000</v>
      </c>
      <c r="JH38" s="23"/>
      <c r="JI38" s="23"/>
      <c r="JJ38" s="23">
        <v>7000</v>
      </c>
      <c r="JK38" s="23">
        <v>7000</v>
      </c>
      <c r="JL38" s="23">
        <v>6600</v>
      </c>
      <c r="JM38" s="23">
        <v>6600</v>
      </c>
      <c r="JN38" s="23">
        <v>6600</v>
      </c>
      <c r="JO38" s="23"/>
      <c r="JP38" s="23"/>
      <c r="JQ38" s="23">
        <v>6600</v>
      </c>
      <c r="JR38" s="23">
        <v>6600</v>
      </c>
      <c r="JS38" s="23">
        <v>6300</v>
      </c>
      <c r="JT38" s="23">
        <v>6300</v>
      </c>
      <c r="JU38" s="23">
        <v>6300</v>
      </c>
      <c r="JV38" s="23"/>
      <c r="JW38" s="23"/>
      <c r="JX38" s="23">
        <v>6300</v>
      </c>
      <c r="JY38" s="23">
        <v>6000</v>
      </c>
      <c r="JZ38" s="23">
        <v>6000</v>
      </c>
      <c r="KA38" s="23">
        <v>6000</v>
      </c>
      <c r="KB38" s="23">
        <v>6000</v>
      </c>
      <c r="KC38" s="83"/>
      <c r="KD38" s="23"/>
      <c r="KE38" s="23">
        <v>6000</v>
      </c>
      <c r="KF38" s="83">
        <v>6000</v>
      </c>
      <c r="KG38" s="23">
        <v>6000</v>
      </c>
      <c r="KH38" s="23">
        <v>6000</v>
      </c>
      <c r="KI38" s="23">
        <v>6000</v>
      </c>
      <c r="KJ38" s="23"/>
      <c r="KK38" s="23"/>
      <c r="KL38" s="23">
        <v>6000</v>
      </c>
      <c r="KM38" s="23">
        <v>6000</v>
      </c>
      <c r="KN38" s="23">
        <v>6000</v>
      </c>
      <c r="KO38" s="23">
        <v>6000</v>
      </c>
      <c r="KP38" s="23">
        <v>6000</v>
      </c>
      <c r="KQ38" s="23"/>
      <c r="KR38" s="23"/>
      <c r="KS38" s="23">
        <v>6000</v>
      </c>
      <c r="KT38" s="23">
        <v>6000</v>
      </c>
      <c r="KU38" s="23">
        <v>6000</v>
      </c>
      <c r="KV38" s="23">
        <v>6000</v>
      </c>
      <c r="KW38" s="23">
        <v>6000</v>
      </c>
      <c r="KX38" s="23"/>
      <c r="KY38" s="23"/>
      <c r="KZ38" s="23">
        <v>6000</v>
      </c>
      <c r="LA38" s="23">
        <v>6000</v>
      </c>
      <c r="LB38" s="23">
        <v>6000</v>
      </c>
      <c r="LC38" s="23">
        <v>6000</v>
      </c>
      <c r="LD38" s="23">
        <v>6000</v>
      </c>
      <c r="LE38" s="23"/>
      <c r="LF38" s="23"/>
      <c r="LG38" s="23">
        <v>6300</v>
      </c>
      <c r="LH38" s="23">
        <v>6300</v>
      </c>
      <c r="LI38" s="23">
        <v>6300</v>
      </c>
      <c r="LJ38" s="23">
        <v>6300</v>
      </c>
      <c r="LK38" s="23">
        <v>6300</v>
      </c>
      <c r="LL38" s="23"/>
      <c r="LM38" s="23"/>
      <c r="LN38" s="23">
        <v>6300</v>
      </c>
      <c r="LO38" s="23">
        <v>6300</v>
      </c>
      <c r="LP38" s="23">
        <v>6300</v>
      </c>
      <c r="LQ38" s="23">
        <v>6300</v>
      </c>
      <c r="LR38" s="23">
        <v>6300</v>
      </c>
      <c r="LS38" s="23"/>
      <c r="LT38" s="23"/>
      <c r="LU38" s="23">
        <v>6300</v>
      </c>
      <c r="LV38" s="23">
        <v>6350</v>
      </c>
      <c r="LW38" s="23">
        <v>6350</v>
      </c>
      <c r="LX38" s="23">
        <v>6350</v>
      </c>
      <c r="LY38" s="23">
        <v>6350</v>
      </c>
      <c r="LZ38" s="23"/>
      <c r="MA38" s="23"/>
      <c r="MB38" s="23">
        <v>6350</v>
      </c>
      <c r="MC38" s="23">
        <v>6350</v>
      </c>
      <c r="MD38" s="23">
        <v>6350</v>
      </c>
      <c r="ME38" s="23">
        <v>6350</v>
      </c>
      <c r="MF38" s="23">
        <v>6350</v>
      </c>
      <c r="MG38" s="23"/>
      <c r="MH38" s="23"/>
      <c r="MI38" s="23">
        <v>6350</v>
      </c>
      <c r="MJ38" s="23">
        <v>6350</v>
      </c>
      <c r="MK38" s="23">
        <v>6350</v>
      </c>
      <c r="ML38" s="23">
        <v>6350</v>
      </c>
      <c r="MM38" s="23">
        <v>6350</v>
      </c>
      <c r="MN38" s="23"/>
      <c r="MO38" s="23"/>
      <c r="MP38" s="23">
        <v>6350</v>
      </c>
      <c r="MQ38" s="23">
        <v>6350</v>
      </c>
      <c r="MR38" s="23">
        <v>6350</v>
      </c>
      <c r="MS38" s="23">
        <v>6350</v>
      </c>
      <c r="MT38" s="23">
        <v>6350</v>
      </c>
      <c r="MU38" s="23"/>
      <c r="MV38" s="23"/>
      <c r="MW38" s="23">
        <v>6350</v>
      </c>
      <c r="MX38" s="23">
        <v>6350</v>
      </c>
      <c r="MY38" s="23">
        <v>6350</v>
      </c>
      <c r="MZ38" s="23">
        <v>6350</v>
      </c>
      <c r="NA38" s="23">
        <v>6350</v>
      </c>
      <c r="NB38" s="23"/>
    </row>
    <row r="39" spans="1:366" x14ac:dyDescent="0.25">
      <c r="A39" s="45" t="s">
        <v>181</v>
      </c>
      <c r="B39" s="59"/>
      <c r="C39" s="59"/>
      <c r="D39" s="59">
        <v>300</v>
      </c>
      <c r="E39" s="59">
        <v>305</v>
      </c>
      <c r="F39" s="59">
        <v>305</v>
      </c>
      <c r="G39" s="59">
        <v>307</v>
      </c>
      <c r="H39" s="59">
        <v>309</v>
      </c>
      <c r="I39" s="59"/>
      <c r="J39" s="59"/>
      <c r="K39" s="59">
        <v>309</v>
      </c>
      <c r="L39" s="59">
        <v>309</v>
      </c>
      <c r="M39" s="59">
        <v>309</v>
      </c>
      <c r="N39" s="59">
        <v>309</v>
      </c>
      <c r="O39" s="59">
        <v>307</v>
      </c>
      <c r="P39" s="59"/>
      <c r="Q39" s="59"/>
      <c r="R39" s="59">
        <v>307</v>
      </c>
      <c r="S39" s="59">
        <v>303</v>
      </c>
      <c r="T39" s="59">
        <v>303</v>
      </c>
      <c r="U39" s="59">
        <v>303</v>
      </c>
      <c r="V39" s="59">
        <v>305</v>
      </c>
      <c r="W39" s="41"/>
      <c r="X39" s="41"/>
      <c r="Y39" s="41">
        <v>300</v>
      </c>
      <c r="Z39" s="41">
        <v>300</v>
      </c>
      <c r="AA39" s="41">
        <v>295</v>
      </c>
      <c r="AB39" s="41">
        <v>297</v>
      </c>
      <c r="AC39" s="41">
        <v>297</v>
      </c>
      <c r="AD39" s="41"/>
      <c r="AE39" s="41"/>
      <c r="AF39" s="41">
        <v>297</v>
      </c>
      <c r="AG39" s="41">
        <v>297</v>
      </c>
      <c r="AH39" s="41">
        <v>297</v>
      </c>
      <c r="AI39" s="41">
        <v>295</v>
      </c>
      <c r="AJ39" s="41">
        <v>295</v>
      </c>
      <c r="AK39" s="41"/>
      <c r="AL39" s="41"/>
      <c r="AM39" s="41">
        <v>295</v>
      </c>
      <c r="AN39" s="41">
        <v>295</v>
      </c>
      <c r="AO39" s="41">
        <v>295</v>
      </c>
      <c r="AP39" s="41">
        <v>295</v>
      </c>
      <c r="AQ39" s="41">
        <v>295</v>
      </c>
      <c r="AR39" s="41"/>
      <c r="AS39" s="41"/>
      <c r="AT39" s="41">
        <v>295</v>
      </c>
      <c r="AU39" s="59">
        <v>295</v>
      </c>
      <c r="AV39" s="59">
        <v>295</v>
      </c>
      <c r="AW39" s="41">
        <v>295</v>
      </c>
      <c r="AX39" s="41">
        <v>295</v>
      </c>
      <c r="AY39" s="41"/>
      <c r="AZ39" s="41"/>
      <c r="BA39" s="41">
        <v>295</v>
      </c>
      <c r="BB39" s="41">
        <v>290</v>
      </c>
      <c r="BC39" s="41">
        <v>290</v>
      </c>
      <c r="BD39" s="41">
        <v>290</v>
      </c>
      <c r="BE39" s="41">
        <v>290</v>
      </c>
      <c r="BF39" s="41"/>
      <c r="BG39" s="41"/>
      <c r="BH39" s="41">
        <v>290</v>
      </c>
      <c r="BI39" s="41">
        <v>290</v>
      </c>
      <c r="BJ39" s="41">
        <v>290</v>
      </c>
      <c r="BK39" s="41">
        <v>290</v>
      </c>
      <c r="BL39" s="41">
        <v>290</v>
      </c>
      <c r="BM39" s="41"/>
      <c r="BN39" s="41"/>
      <c r="BO39" s="41">
        <v>290</v>
      </c>
      <c r="BP39" s="41">
        <v>290</v>
      </c>
      <c r="BQ39" s="41">
        <v>292</v>
      </c>
      <c r="BR39" s="41">
        <v>293</v>
      </c>
      <c r="BS39" s="41">
        <v>295</v>
      </c>
      <c r="BT39" s="41"/>
      <c r="BU39" s="41"/>
      <c r="BV39" s="41">
        <v>295</v>
      </c>
      <c r="BW39" s="41">
        <v>295</v>
      </c>
      <c r="BX39" s="41">
        <v>295</v>
      </c>
      <c r="BY39" s="41">
        <v>295</v>
      </c>
      <c r="BZ39" s="41">
        <v>295</v>
      </c>
      <c r="CA39" s="41"/>
      <c r="CB39" s="41"/>
      <c r="CC39" s="41">
        <v>295</v>
      </c>
      <c r="CD39" s="41">
        <v>295</v>
      </c>
      <c r="CE39" s="41">
        <v>290</v>
      </c>
      <c r="CF39" s="41">
        <v>290</v>
      </c>
      <c r="CG39" s="41">
        <v>290</v>
      </c>
      <c r="CH39" s="41"/>
      <c r="CI39" s="41"/>
      <c r="CJ39" s="41">
        <v>292</v>
      </c>
      <c r="CK39" s="41">
        <v>290</v>
      </c>
      <c r="CL39" s="41">
        <v>290</v>
      </c>
      <c r="CM39" s="41">
        <v>290</v>
      </c>
      <c r="CN39" s="41">
        <v>290</v>
      </c>
      <c r="CO39" s="41"/>
      <c r="CP39" s="41"/>
      <c r="CQ39" s="41">
        <v>285</v>
      </c>
      <c r="CR39" s="41">
        <v>285</v>
      </c>
      <c r="CS39" s="41">
        <v>285</v>
      </c>
      <c r="CT39" s="41">
        <v>285</v>
      </c>
      <c r="CU39" s="41">
        <v>285</v>
      </c>
      <c r="CV39" s="41"/>
      <c r="CW39" s="41"/>
      <c r="CX39" s="41">
        <v>277</v>
      </c>
      <c r="CY39" s="41">
        <v>277</v>
      </c>
      <c r="CZ39" s="41">
        <v>275</v>
      </c>
      <c r="DA39" s="41">
        <v>270</v>
      </c>
      <c r="DB39" s="41">
        <v>270</v>
      </c>
      <c r="DC39" s="41"/>
      <c r="DD39" s="41"/>
      <c r="DE39" s="41">
        <v>270</v>
      </c>
      <c r="DF39" s="41">
        <v>270</v>
      </c>
      <c r="DG39" s="41">
        <v>268</v>
      </c>
      <c r="DH39" s="41">
        <v>268</v>
      </c>
      <c r="DI39" s="41">
        <v>268</v>
      </c>
      <c r="DJ39" s="41"/>
      <c r="DK39" s="41"/>
      <c r="DL39" s="41">
        <v>267</v>
      </c>
      <c r="DM39" s="41">
        <v>267</v>
      </c>
      <c r="DN39" s="41">
        <v>265</v>
      </c>
      <c r="DO39" s="41">
        <v>265</v>
      </c>
      <c r="DP39" s="41">
        <v>265</v>
      </c>
      <c r="DQ39" s="41"/>
      <c r="DR39" s="41"/>
      <c r="DS39" s="41">
        <v>265</v>
      </c>
      <c r="DT39" s="41">
        <v>265</v>
      </c>
      <c r="DU39" s="41">
        <v>265</v>
      </c>
      <c r="DV39" s="41">
        <v>265</v>
      </c>
      <c r="DW39" s="41">
        <v>265</v>
      </c>
      <c r="DX39" s="41"/>
      <c r="DY39" s="41"/>
      <c r="DZ39" s="41">
        <v>265</v>
      </c>
      <c r="EA39" s="41">
        <v>265</v>
      </c>
      <c r="EB39" s="41">
        <v>265</v>
      </c>
      <c r="EC39" s="41">
        <v>265</v>
      </c>
      <c r="ED39" s="41">
        <v>265</v>
      </c>
      <c r="EE39" s="41"/>
      <c r="EF39" s="41"/>
      <c r="EG39" s="41">
        <v>265</v>
      </c>
      <c r="EH39" s="41">
        <v>265</v>
      </c>
      <c r="EI39" s="41">
        <v>265</v>
      </c>
      <c r="EJ39" s="41">
        <v>265</v>
      </c>
      <c r="EK39" s="41">
        <v>265</v>
      </c>
      <c r="EL39" s="41"/>
      <c r="EM39" s="41"/>
      <c r="EN39" s="41">
        <v>265</v>
      </c>
      <c r="EO39" s="41">
        <v>265</v>
      </c>
      <c r="EP39" s="41">
        <v>265</v>
      </c>
      <c r="EQ39" s="41">
        <v>263</v>
      </c>
      <c r="ER39" s="41">
        <v>295</v>
      </c>
      <c r="ES39" s="41"/>
      <c r="ET39" s="41"/>
      <c r="EU39" s="41">
        <v>262</v>
      </c>
      <c r="EV39" s="41">
        <v>262</v>
      </c>
      <c r="EW39" s="41">
        <v>258</v>
      </c>
      <c r="EX39" s="41">
        <v>258</v>
      </c>
      <c r="EY39" s="41">
        <v>250</v>
      </c>
      <c r="EZ39" s="41"/>
      <c r="FA39" s="41"/>
      <c r="FB39" s="41">
        <v>250</v>
      </c>
      <c r="FC39" s="41">
        <v>250</v>
      </c>
      <c r="FD39" s="41">
        <v>265</v>
      </c>
      <c r="FE39" s="41">
        <v>250</v>
      </c>
      <c r="FF39" s="41">
        <v>252</v>
      </c>
      <c r="FG39" s="41"/>
      <c r="FH39" s="41"/>
      <c r="FI39" s="41">
        <v>252</v>
      </c>
      <c r="FJ39" s="41">
        <v>260</v>
      </c>
      <c r="FK39" s="41">
        <v>260</v>
      </c>
      <c r="FL39" s="41">
        <v>260</v>
      </c>
      <c r="FM39" s="41">
        <v>260</v>
      </c>
      <c r="FN39" s="41"/>
      <c r="FO39" s="41"/>
      <c r="FP39" s="41">
        <v>260</v>
      </c>
      <c r="FQ39" s="41">
        <v>265</v>
      </c>
      <c r="FR39" s="41">
        <v>265</v>
      </c>
      <c r="FS39" s="41">
        <v>265</v>
      </c>
      <c r="FT39" s="41">
        <v>265</v>
      </c>
      <c r="FU39" s="41"/>
      <c r="FV39" s="41"/>
      <c r="FW39" s="41">
        <v>265</v>
      </c>
      <c r="FX39" s="41">
        <v>265</v>
      </c>
      <c r="FY39" s="41">
        <v>275</v>
      </c>
      <c r="FZ39" s="41">
        <v>275</v>
      </c>
      <c r="GA39" s="41">
        <v>275</v>
      </c>
      <c r="GB39" s="41"/>
      <c r="GC39" s="41"/>
      <c r="GD39" s="41">
        <v>275</v>
      </c>
      <c r="GE39" s="41">
        <v>275</v>
      </c>
      <c r="GF39" s="41">
        <v>275</v>
      </c>
      <c r="GG39" s="41">
        <v>275</v>
      </c>
      <c r="GH39" s="41">
        <v>275</v>
      </c>
      <c r="GI39" s="41"/>
      <c r="GJ39" s="41"/>
      <c r="GK39" s="41">
        <v>274</v>
      </c>
      <c r="GL39" s="41">
        <v>274</v>
      </c>
      <c r="GM39" s="41">
        <v>273</v>
      </c>
      <c r="GN39" s="41">
        <v>270</v>
      </c>
      <c r="GO39" s="41">
        <v>270</v>
      </c>
      <c r="GP39" s="41"/>
      <c r="GQ39" s="41"/>
      <c r="GR39" s="41">
        <v>270</v>
      </c>
      <c r="GS39" s="41">
        <v>270</v>
      </c>
      <c r="GT39" s="41">
        <v>270</v>
      </c>
      <c r="GU39" s="41">
        <v>270</v>
      </c>
      <c r="GV39" s="41">
        <v>270</v>
      </c>
      <c r="GW39" s="41"/>
      <c r="GX39" s="41"/>
      <c r="GY39" s="41">
        <v>270</v>
      </c>
      <c r="GZ39" s="41">
        <v>270</v>
      </c>
      <c r="HA39" s="41">
        <v>270</v>
      </c>
      <c r="HB39" s="41">
        <v>270</v>
      </c>
      <c r="HC39" s="41">
        <v>270</v>
      </c>
      <c r="HD39" s="41"/>
      <c r="HE39" s="41"/>
      <c r="HF39" s="41">
        <v>270</v>
      </c>
      <c r="HG39" s="41">
        <v>270</v>
      </c>
      <c r="HH39" s="41">
        <v>270</v>
      </c>
      <c r="HI39" s="41">
        <v>269</v>
      </c>
      <c r="HJ39" s="41">
        <v>269</v>
      </c>
      <c r="HK39" s="41"/>
      <c r="HL39" s="41"/>
      <c r="HM39" s="41">
        <v>269</v>
      </c>
      <c r="HN39" s="41">
        <v>269</v>
      </c>
      <c r="HO39" s="41">
        <v>269</v>
      </c>
      <c r="HP39" s="41">
        <v>268</v>
      </c>
      <c r="HQ39" s="41">
        <v>268</v>
      </c>
      <c r="HR39" s="41"/>
      <c r="HS39" s="41"/>
      <c r="HT39" s="41">
        <v>260</v>
      </c>
      <c r="HU39" s="41">
        <v>260</v>
      </c>
      <c r="HV39" s="41">
        <v>260</v>
      </c>
      <c r="HW39" s="41">
        <v>260</v>
      </c>
      <c r="HX39" s="41">
        <v>260</v>
      </c>
      <c r="HY39" s="41"/>
      <c r="HZ39" s="41"/>
      <c r="IA39" s="41">
        <v>260</v>
      </c>
      <c r="IB39" s="41">
        <v>260</v>
      </c>
      <c r="IC39" s="41">
        <v>260</v>
      </c>
      <c r="ID39" s="41">
        <v>260</v>
      </c>
      <c r="IE39" s="41">
        <v>260</v>
      </c>
      <c r="IF39" s="41"/>
      <c r="IG39" s="41"/>
      <c r="IH39" s="41">
        <v>260</v>
      </c>
      <c r="II39" s="41">
        <v>260</v>
      </c>
      <c r="IJ39" s="41">
        <v>260</v>
      </c>
      <c r="IK39" s="41">
        <v>260</v>
      </c>
      <c r="IL39" s="41">
        <v>260</v>
      </c>
      <c r="IM39" s="41"/>
      <c r="IN39" s="41"/>
      <c r="IO39" s="41">
        <v>260</v>
      </c>
      <c r="IP39" s="52">
        <v>260</v>
      </c>
      <c r="IQ39" s="52">
        <v>260</v>
      </c>
      <c r="IR39" s="41">
        <v>260</v>
      </c>
      <c r="IS39" s="41">
        <v>260</v>
      </c>
      <c r="IT39" s="41"/>
      <c r="IU39" s="41"/>
      <c r="IV39" s="41">
        <v>259</v>
      </c>
      <c r="IW39" s="41">
        <v>259</v>
      </c>
      <c r="IX39" s="41">
        <v>259</v>
      </c>
      <c r="IY39" s="41">
        <v>259</v>
      </c>
      <c r="IZ39" s="41">
        <v>259</v>
      </c>
      <c r="JA39" s="41"/>
      <c r="JB39" s="41"/>
      <c r="JC39" s="41">
        <v>255</v>
      </c>
      <c r="JD39" s="41">
        <v>255</v>
      </c>
      <c r="JE39" s="41">
        <v>255</v>
      </c>
      <c r="JF39" s="41">
        <v>253</v>
      </c>
      <c r="JG39" s="41">
        <v>253</v>
      </c>
      <c r="JH39" s="41"/>
      <c r="JI39" s="41"/>
      <c r="JJ39" s="41">
        <v>253</v>
      </c>
      <c r="JK39" s="41">
        <v>250</v>
      </c>
      <c r="JL39" s="41">
        <v>250</v>
      </c>
      <c r="JM39" s="41">
        <v>250</v>
      </c>
      <c r="JN39" s="41">
        <v>250</v>
      </c>
      <c r="JO39" s="41"/>
      <c r="JP39" s="41"/>
      <c r="JQ39" s="41">
        <v>250</v>
      </c>
      <c r="JR39" s="41">
        <v>250</v>
      </c>
      <c r="JS39" s="41">
        <v>250</v>
      </c>
      <c r="JT39" s="41">
        <v>250</v>
      </c>
      <c r="JU39" s="41">
        <v>250</v>
      </c>
      <c r="JV39" s="41"/>
      <c r="JW39" s="41"/>
      <c r="JX39" s="41">
        <v>250</v>
      </c>
      <c r="JY39" s="41">
        <v>250</v>
      </c>
      <c r="JZ39" s="41">
        <v>250</v>
      </c>
      <c r="KA39" s="41">
        <v>250</v>
      </c>
      <c r="KB39" s="41">
        <v>250</v>
      </c>
      <c r="KC39" s="82"/>
      <c r="KD39" s="41"/>
      <c r="KE39" s="41">
        <v>250</v>
      </c>
      <c r="KF39" s="82">
        <v>250</v>
      </c>
      <c r="KG39" s="41">
        <v>250</v>
      </c>
      <c r="KH39" s="41">
        <v>250</v>
      </c>
      <c r="KI39" s="41">
        <v>249</v>
      </c>
      <c r="KJ39" s="41"/>
      <c r="KK39" s="41"/>
      <c r="KL39" s="41">
        <v>249</v>
      </c>
      <c r="KM39" s="41">
        <v>245</v>
      </c>
      <c r="KN39" s="41">
        <v>240</v>
      </c>
      <c r="KO39" s="41">
        <v>240</v>
      </c>
      <c r="KP39" s="41">
        <v>240</v>
      </c>
      <c r="KQ39" s="41"/>
      <c r="KR39" s="41"/>
      <c r="KS39" s="41">
        <v>240</v>
      </c>
      <c r="KT39" s="41">
        <v>240</v>
      </c>
      <c r="KU39" s="41">
        <v>240</v>
      </c>
      <c r="KV39" s="41">
        <v>240</v>
      </c>
      <c r="KW39" s="41">
        <v>240</v>
      </c>
      <c r="KX39" s="41"/>
      <c r="KY39" s="41"/>
      <c r="KZ39" s="41">
        <v>240</v>
      </c>
      <c r="LA39" s="41">
        <v>240</v>
      </c>
      <c r="LB39" s="41">
        <v>240</v>
      </c>
      <c r="LC39" s="41">
        <v>240</v>
      </c>
      <c r="LD39" s="41">
        <v>240</v>
      </c>
      <c r="LE39" s="41"/>
      <c r="LF39" s="41"/>
      <c r="LG39" s="41">
        <v>240</v>
      </c>
      <c r="LH39" s="41">
        <v>240</v>
      </c>
      <c r="LI39" s="41">
        <v>240</v>
      </c>
      <c r="LJ39" s="41">
        <v>240</v>
      </c>
      <c r="LK39" s="41">
        <v>240</v>
      </c>
      <c r="LL39" s="41"/>
      <c r="LM39" s="41"/>
      <c r="LN39" s="41">
        <v>240</v>
      </c>
      <c r="LO39" s="41">
        <v>240</v>
      </c>
      <c r="LP39" s="41">
        <v>240</v>
      </c>
      <c r="LQ39" s="41">
        <v>240</v>
      </c>
      <c r="LR39" s="41">
        <v>240</v>
      </c>
      <c r="LS39" s="41"/>
      <c r="LT39" s="41"/>
      <c r="LU39" s="41">
        <v>240</v>
      </c>
      <c r="LV39" s="41">
        <v>240</v>
      </c>
      <c r="LW39" s="41">
        <v>240</v>
      </c>
      <c r="LX39" s="41">
        <v>240</v>
      </c>
      <c r="LY39" s="41">
        <v>240</v>
      </c>
      <c r="LZ39" s="41"/>
      <c r="MA39" s="41"/>
      <c r="MB39" s="41">
        <v>240</v>
      </c>
      <c r="MC39" s="41">
        <v>240</v>
      </c>
      <c r="MD39" s="41">
        <v>240</v>
      </c>
      <c r="ME39" s="41">
        <v>242</v>
      </c>
      <c r="MF39" s="41">
        <v>242</v>
      </c>
      <c r="MG39" s="41"/>
      <c r="MH39" s="41"/>
      <c r="MI39" s="41">
        <v>242</v>
      </c>
      <c r="MJ39" s="41">
        <v>242</v>
      </c>
      <c r="MK39" s="41">
        <v>242</v>
      </c>
      <c r="ML39" s="41">
        <v>242</v>
      </c>
      <c r="MM39" s="41">
        <v>242</v>
      </c>
      <c r="MN39" s="41"/>
      <c r="MO39" s="41"/>
      <c r="MP39" s="41">
        <v>242</v>
      </c>
      <c r="MQ39" s="41">
        <v>242</v>
      </c>
      <c r="MR39" s="41">
        <v>242</v>
      </c>
      <c r="MS39" s="41">
        <v>242</v>
      </c>
      <c r="MT39" s="41">
        <v>242</v>
      </c>
      <c r="MU39" s="41"/>
      <c r="MV39" s="59"/>
      <c r="MW39" s="59">
        <v>242</v>
      </c>
      <c r="MX39" s="41">
        <v>242</v>
      </c>
      <c r="MY39" s="41">
        <v>240</v>
      </c>
      <c r="MZ39" s="41">
        <v>240</v>
      </c>
      <c r="NA39" s="41">
        <v>240</v>
      </c>
      <c r="NB39" s="41"/>
    </row>
    <row r="40" spans="1:366" x14ac:dyDescent="0.25">
      <c r="A40" s="25" t="s">
        <v>176</v>
      </c>
      <c r="B40" s="56"/>
      <c r="C40" s="56"/>
      <c r="D40" s="56"/>
      <c r="E40" s="56"/>
      <c r="F40" s="56"/>
      <c r="G40" s="56"/>
      <c r="H40" s="56"/>
      <c r="I40" s="56"/>
      <c r="J40" s="56"/>
      <c r="K40" s="56">
        <v>6812.6013074781886</v>
      </c>
      <c r="L40" s="56"/>
      <c r="M40" s="56">
        <v>6867.3351020617001</v>
      </c>
      <c r="N40" s="56"/>
      <c r="O40" s="56"/>
      <c r="P40" s="56"/>
      <c r="Q40" s="56"/>
      <c r="R40" s="56"/>
      <c r="S40" s="56"/>
      <c r="T40" s="56"/>
      <c r="U40" s="56"/>
      <c r="V40" s="56">
        <v>7632.7925531914898</v>
      </c>
      <c r="W40" s="23"/>
      <c r="X40" s="23"/>
      <c r="Y40" s="23"/>
      <c r="Z40" s="23"/>
      <c r="AA40" s="23">
        <v>6185.6878612716764</v>
      </c>
      <c r="AB40" s="23"/>
      <c r="AC40" s="23"/>
      <c r="AD40" s="23"/>
      <c r="AE40" s="23"/>
      <c r="AF40" s="23"/>
      <c r="AG40" s="23">
        <v>7215.6278859863714</v>
      </c>
      <c r="AH40" s="23">
        <v>7279.848415140561</v>
      </c>
      <c r="AI40" s="23">
        <v>5717.9667112052257</v>
      </c>
      <c r="AJ40" s="23"/>
      <c r="AK40" s="23"/>
      <c r="AL40" s="23"/>
      <c r="AM40" s="23"/>
      <c r="AN40" s="23"/>
      <c r="AO40" s="23"/>
      <c r="AP40" s="23">
        <v>7449</v>
      </c>
      <c r="AQ40" s="23"/>
      <c r="AR40" s="23"/>
      <c r="AS40" s="23"/>
      <c r="AT40" s="23">
        <v>7449.7895916111493</v>
      </c>
      <c r="AU40" s="23"/>
      <c r="AV40" s="23">
        <v>7462.801481473477</v>
      </c>
      <c r="AW40" s="23"/>
      <c r="AX40" s="23"/>
      <c r="AY40" s="23"/>
      <c r="AZ40" s="23"/>
      <c r="BA40" s="23">
        <v>7140.2284263959391</v>
      </c>
      <c r="BB40" s="23"/>
      <c r="BC40" s="23">
        <v>7432.4352903530735</v>
      </c>
      <c r="BD40" s="23"/>
      <c r="BE40" s="23"/>
      <c r="BF40" s="23"/>
      <c r="BG40" s="56"/>
      <c r="BH40" s="23"/>
      <c r="BI40" s="23"/>
      <c r="BJ40" s="23">
        <v>7260</v>
      </c>
      <c r="BK40" s="23">
        <v>7422.6971677039674</v>
      </c>
      <c r="BL40" s="23"/>
      <c r="BM40" s="23"/>
      <c r="BN40" s="23"/>
      <c r="BO40" s="23"/>
      <c r="BP40" s="23">
        <v>7425.4121689657904</v>
      </c>
      <c r="BQ40" s="23"/>
      <c r="BR40" s="23"/>
      <c r="BS40" s="23">
        <v>8079.0730599473291</v>
      </c>
      <c r="BT40" s="23"/>
      <c r="BU40" s="23"/>
      <c r="BV40" s="23">
        <v>7993.2951559990661</v>
      </c>
      <c r="BW40" s="23">
        <v>7657.6733565516161</v>
      </c>
      <c r="BX40" s="23"/>
      <c r="BY40" s="23">
        <v>8570.9462915601016</v>
      </c>
      <c r="BZ40" s="23"/>
      <c r="CA40" s="23"/>
      <c r="CB40" s="23"/>
      <c r="CC40" s="23">
        <v>7764.6807340925498</v>
      </c>
      <c r="CD40" s="23">
        <v>7814.2074132975331</v>
      </c>
      <c r="CE40" s="23"/>
      <c r="CF40" s="23">
        <v>7796.6238449823359</v>
      </c>
      <c r="CG40" s="23"/>
      <c r="CH40" s="23"/>
      <c r="CI40" s="23"/>
      <c r="CJ40" s="23"/>
      <c r="CK40" s="23"/>
      <c r="CL40" s="23"/>
      <c r="CM40" s="23">
        <v>4609.3820285859392</v>
      </c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>
        <v>7560.0656637338197</v>
      </c>
      <c r="DA40" s="23">
        <v>7770.5664969184527</v>
      </c>
      <c r="DB40" s="23"/>
      <c r="DC40" s="23"/>
      <c r="DD40" s="23"/>
      <c r="DE40" s="23"/>
      <c r="DF40" s="23"/>
      <c r="DG40" s="23"/>
      <c r="DH40" s="23"/>
      <c r="DI40" s="23">
        <v>7741.9560810810799</v>
      </c>
      <c r="DJ40" s="23"/>
      <c r="DK40" s="23"/>
      <c r="DL40" s="23"/>
      <c r="DM40" s="23">
        <v>7695.8027257543472</v>
      </c>
      <c r="DN40" s="23">
        <v>8039.3600812595223</v>
      </c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>
        <v>8215.6764589309987</v>
      </c>
      <c r="EA40" s="23">
        <v>8339.1891891891883</v>
      </c>
      <c r="EB40" s="23"/>
      <c r="EC40" s="23"/>
      <c r="ED40" s="23">
        <v>8320.90305831763</v>
      </c>
      <c r="EE40" s="23"/>
      <c r="EF40" s="23"/>
      <c r="EG40" s="23"/>
      <c r="EH40" s="23">
        <v>7672.0540540540533</v>
      </c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>
        <v>7936.3297922725997</v>
      </c>
      <c r="FE40" s="23"/>
      <c r="FF40" s="23"/>
      <c r="FG40" s="23"/>
      <c r="FH40" s="23"/>
      <c r="FI40" s="23"/>
      <c r="FJ40" s="23">
        <v>7946.7567567567567</v>
      </c>
      <c r="FK40" s="23"/>
      <c r="FL40" s="23"/>
      <c r="FM40" s="23"/>
      <c r="FN40" s="23"/>
      <c r="FO40" s="23"/>
      <c r="FP40" s="23"/>
      <c r="FQ40" s="23"/>
      <c r="FR40" s="23"/>
      <c r="FS40" s="23"/>
      <c r="FT40" s="23">
        <v>7427.8997387897653</v>
      </c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>
        <v>6930.6407258164991</v>
      </c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>
        <v>7161.8918918918916</v>
      </c>
      <c r="HD40" s="23"/>
      <c r="HE40" s="23"/>
      <c r="HF40" s="23"/>
      <c r="HG40" s="23"/>
      <c r="HH40" s="23">
        <v>6280.6248999999998</v>
      </c>
      <c r="HI40" s="23"/>
      <c r="HJ40" s="23"/>
      <c r="HK40" s="23"/>
      <c r="HL40" s="23"/>
      <c r="HM40" s="23"/>
      <c r="HN40" s="23"/>
      <c r="HO40" s="23">
        <v>6221.5206185567013</v>
      </c>
      <c r="HP40" s="23"/>
      <c r="HQ40" s="23">
        <v>6293.999505018136</v>
      </c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>
        <v>6573.2432432432433</v>
      </c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70"/>
      <c r="IQ40" s="70"/>
      <c r="IR40" s="23"/>
      <c r="IS40" s="23"/>
      <c r="IT40" s="23"/>
      <c r="IU40" s="23"/>
      <c r="IV40" s="23"/>
      <c r="IW40" s="23"/>
      <c r="IX40" s="23"/>
      <c r="IY40" s="23"/>
      <c r="IZ40" s="23"/>
      <c r="JA40" s="23"/>
      <c r="JB40" s="23"/>
      <c r="JC40" s="23">
        <v>6067.9702907760648</v>
      </c>
      <c r="JD40" s="23"/>
      <c r="JE40" s="23">
        <v>6100.4750995183949</v>
      </c>
      <c r="JF40" s="23">
        <v>6129.8153034300794</v>
      </c>
      <c r="JG40" s="23"/>
      <c r="JH40" s="23"/>
      <c r="JI40" s="23"/>
      <c r="JJ40" s="23"/>
      <c r="JK40" s="23"/>
      <c r="JL40" s="23">
        <v>5339.9623857287961</v>
      </c>
      <c r="JM40" s="23"/>
      <c r="JN40" s="23">
        <v>5494.0540540540542</v>
      </c>
      <c r="JO40" s="23"/>
      <c r="JP40" s="23"/>
      <c r="JQ40" s="23">
        <v>5372.6797080638216</v>
      </c>
      <c r="JR40" s="23"/>
      <c r="JS40" s="23"/>
      <c r="JT40" s="23"/>
      <c r="JU40" s="23">
        <v>5406.0700667101801</v>
      </c>
      <c r="JV40" s="23"/>
      <c r="JW40" s="23"/>
      <c r="JX40" s="23"/>
      <c r="JY40" s="23">
        <v>5421.9558449742126</v>
      </c>
      <c r="JZ40" s="23"/>
      <c r="KA40" s="23"/>
      <c r="KB40" s="23">
        <v>5403.3106000145099</v>
      </c>
      <c r="KC40" s="23"/>
      <c r="KD40" s="23"/>
      <c r="KE40" s="23">
        <v>5435.7868020304568</v>
      </c>
      <c r="KF40" s="23">
        <v>5336.71875</v>
      </c>
      <c r="KG40" s="23"/>
      <c r="KH40" s="23"/>
      <c r="KI40" s="23"/>
      <c r="KJ40" s="23"/>
      <c r="KK40" s="23"/>
      <c r="KL40" s="23">
        <v>5690.27027027027</v>
      </c>
      <c r="KM40" s="23"/>
      <c r="KN40" s="23"/>
      <c r="KO40" s="23">
        <v>5633.9255156777008</v>
      </c>
      <c r="KP40" s="23"/>
      <c r="KQ40" s="23"/>
      <c r="KR40" s="23"/>
      <c r="KS40" s="23"/>
      <c r="KT40" s="23"/>
      <c r="KU40" s="23"/>
      <c r="KV40" s="23">
        <v>5802.3942270702655</v>
      </c>
      <c r="KW40" s="23"/>
      <c r="KX40" s="23"/>
      <c r="KY40" s="23"/>
      <c r="KZ40" s="23"/>
      <c r="LA40" s="23"/>
      <c r="LB40" s="23"/>
      <c r="LC40" s="23">
        <v>6180.81</v>
      </c>
      <c r="LD40" s="23">
        <v>6076.1060909359176</v>
      </c>
      <c r="LE40" s="23"/>
      <c r="LF40" s="23"/>
      <c r="LG40" s="23"/>
      <c r="LH40" s="23"/>
      <c r="LI40" s="23">
        <v>5878.125</v>
      </c>
      <c r="LJ40" s="23">
        <v>5924.8226133030312</v>
      </c>
      <c r="LK40" s="23"/>
      <c r="LL40" s="23"/>
      <c r="LM40" s="23"/>
      <c r="LN40" s="23"/>
      <c r="LO40" s="23">
        <v>6190.1544401544397</v>
      </c>
      <c r="LP40" s="23"/>
      <c r="LQ40" s="23"/>
      <c r="LR40" s="23">
        <v>5842.4802110817946</v>
      </c>
      <c r="LS40" s="23"/>
      <c r="LT40" s="23"/>
      <c r="LU40" s="23"/>
      <c r="LV40" s="23">
        <v>6064.8152269859775</v>
      </c>
      <c r="LW40" s="23"/>
      <c r="LX40" s="23"/>
      <c r="LY40" s="23"/>
      <c r="LZ40" s="23"/>
      <c r="MA40" s="23"/>
      <c r="MB40" s="23"/>
      <c r="MC40" s="23">
        <v>5671.875</v>
      </c>
      <c r="MD40" s="23"/>
      <c r="ME40" s="23">
        <v>5634.5177664974617</v>
      </c>
      <c r="MF40" s="23">
        <v>5567.5675675675675</v>
      </c>
      <c r="MG40" s="23"/>
      <c r="MH40" s="23"/>
      <c r="MI40" s="23">
        <v>5592.1621621621616</v>
      </c>
      <c r="MJ40" s="23">
        <v>5599.4944767977777</v>
      </c>
      <c r="MK40" s="23">
        <v>5676.2437546366591</v>
      </c>
      <c r="ML40" s="23"/>
      <c r="MM40" s="23"/>
      <c r="MN40" s="23"/>
      <c r="MO40" s="23"/>
      <c r="MP40" s="23">
        <v>5554.8067862388398</v>
      </c>
      <c r="MQ40" s="23">
        <v>5554.8067862388398</v>
      </c>
      <c r="MR40" s="23"/>
      <c r="MS40" s="23">
        <v>5555.1451187335088</v>
      </c>
      <c r="MT40" s="23">
        <v>5578.2259789924401</v>
      </c>
      <c r="MU40" s="23"/>
      <c r="MV40" s="23"/>
      <c r="MW40" s="23"/>
      <c r="MX40" s="23"/>
      <c r="MY40" s="23">
        <v>5686.5586376186684</v>
      </c>
      <c r="MZ40" s="23">
        <v>5670.4729033235271</v>
      </c>
      <c r="NA40" s="23">
        <v>5511.3222886680733</v>
      </c>
      <c r="NB40" s="23"/>
    </row>
    <row r="41" spans="1:366" x14ac:dyDescent="0.25">
      <c r="A41" s="40" t="s">
        <v>177</v>
      </c>
      <c r="B41" s="59"/>
      <c r="C41" s="59"/>
      <c r="D41" s="59"/>
      <c r="E41" s="59"/>
      <c r="F41" s="59"/>
      <c r="G41" s="59"/>
      <c r="H41" s="59">
        <v>6683.25</v>
      </c>
      <c r="I41" s="59"/>
      <c r="J41" s="59"/>
      <c r="K41" s="59">
        <v>6659.032258064517</v>
      </c>
      <c r="L41" s="59"/>
      <c r="M41" s="59">
        <v>7220</v>
      </c>
      <c r="N41" s="5"/>
      <c r="O41" s="59">
        <v>7153.7032258064519</v>
      </c>
      <c r="P41" s="59"/>
      <c r="Q41" s="59"/>
      <c r="R41" s="59"/>
      <c r="S41" s="59"/>
      <c r="T41" s="59"/>
      <c r="U41" s="59"/>
      <c r="V41" s="59"/>
      <c r="W41" s="41"/>
      <c r="X41" s="41"/>
      <c r="Y41" s="41"/>
      <c r="Z41" s="41"/>
      <c r="AA41" s="41">
        <v>7582.2580645161297</v>
      </c>
      <c r="AB41" s="41"/>
      <c r="AC41" s="41"/>
      <c r="AD41" s="41"/>
      <c r="AE41" s="41"/>
      <c r="AF41" s="41"/>
      <c r="AG41" s="41"/>
      <c r="AH41" s="41">
        <v>8357.6693319148944</v>
      </c>
      <c r="AI41" s="41"/>
      <c r="AJ41" s="41"/>
      <c r="AK41" s="41"/>
      <c r="AL41" s="41"/>
      <c r="AM41" s="41"/>
      <c r="AN41" s="41">
        <v>8190.3351635781291</v>
      </c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>
        <v>7559.0322580645161</v>
      </c>
      <c r="BF41" s="41"/>
      <c r="BG41" s="59"/>
      <c r="BH41" s="41"/>
      <c r="BI41" s="41"/>
      <c r="BJ41" s="41"/>
      <c r="BK41" s="41">
        <v>8306.865327659576</v>
      </c>
      <c r="BL41" s="41"/>
      <c r="BM41" s="41"/>
      <c r="BN41" s="41"/>
      <c r="BO41" s="41"/>
      <c r="BP41" s="41"/>
      <c r="BQ41" s="41"/>
      <c r="BR41" s="41">
        <v>8446.1870630387493</v>
      </c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>
        <v>8180.3225806451619</v>
      </c>
      <c r="CD41" s="41"/>
      <c r="CE41" s="41"/>
      <c r="CF41" s="41">
        <v>8605.0256808510658</v>
      </c>
      <c r="CG41" s="41"/>
      <c r="CH41" s="41"/>
      <c r="CI41" s="41"/>
      <c r="CJ41" s="41"/>
      <c r="CK41" s="41"/>
      <c r="CL41" s="41">
        <v>8597.2808510638315</v>
      </c>
      <c r="CM41" s="41"/>
      <c r="CN41" s="41">
        <v>7869.677419354839</v>
      </c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>
        <v>7803.4645322245315</v>
      </c>
      <c r="DA41" s="41"/>
      <c r="DB41" s="41"/>
      <c r="DC41" s="41"/>
      <c r="DD41" s="41"/>
      <c r="DE41" s="41"/>
      <c r="DF41" s="41"/>
      <c r="DG41" s="41"/>
      <c r="DH41" s="41"/>
      <c r="DI41" s="41">
        <v>8128.5483870967746</v>
      </c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>
        <v>9025.313223938223</v>
      </c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>
        <v>8874.032432432432</v>
      </c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>
        <v>7920.4631578947365</v>
      </c>
      <c r="GF41" s="41"/>
      <c r="GG41" s="41"/>
      <c r="GH41" s="41"/>
      <c r="GI41" s="41"/>
      <c r="GJ41" s="41"/>
      <c r="GK41" s="41"/>
      <c r="GL41" s="41"/>
      <c r="GM41" s="41"/>
      <c r="GN41" s="41"/>
      <c r="GO41" s="41">
        <v>7049.953125</v>
      </c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>
        <v>6737.5368421052635</v>
      </c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52">
        <v>6827.9569892473119</v>
      </c>
      <c r="IQ41" s="52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>
        <v>5988.4001241464921</v>
      </c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>
        <v>6263.74</v>
      </c>
      <c r="KQ41" s="41"/>
      <c r="KR41" s="41"/>
      <c r="KS41" s="41"/>
      <c r="KT41" s="41"/>
      <c r="KU41" s="41"/>
      <c r="KV41" s="41">
        <v>6021.5053763440865</v>
      </c>
      <c r="KW41" s="41"/>
      <c r="KX41" s="41"/>
      <c r="KY41" s="41"/>
      <c r="KZ41" s="41"/>
      <c r="LA41" s="41"/>
      <c r="LB41" s="41"/>
      <c r="LC41" s="41">
        <v>5913.9784946236559</v>
      </c>
      <c r="LD41" s="41"/>
      <c r="LE41" s="41"/>
      <c r="LF41" s="41"/>
      <c r="LG41" s="41"/>
      <c r="LH41" s="41"/>
      <c r="LI41" s="41"/>
      <c r="LJ41" s="41"/>
      <c r="LK41" s="41"/>
      <c r="LL41" s="41"/>
      <c r="LM41" s="41"/>
      <c r="LN41" s="41"/>
      <c r="LO41" s="41">
        <v>7301.2007802248463</v>
      </c>
      <c r="LP41" s="41">
        <v>6865.9870967741945</v>
      </c>
      <c r="LQ41" s="41">
        <v>6721.44</v>
      </c>
      <c r="LR41" s="41"/>
      <c r="LS41" s="41"/>
      <c r="LT41" s="41"/>
      <c r="LU41" s="41">
        <v>6451.6129032258068</v>
      </c>
      <c r="LV41" s="41"/>
      <c r="LW41" s="41">
        <v>6053.7634408602153</v>
      </c>
      <c r="LX41" s="41">
        <v>6241.8064516129034</v>
      </c>
      <c r="LY41" s="41"/>
      <c r="LZ41" s="41"/>
      <c r="MA41" s="41"/>
      <c r="MB41" s="41"/>
      <c r="MC41" s="41">
        <v>6557.8986111111108</v>
      </c>
      <c r="MD41" s="41"/>
      <c r="ME41" s="41">
        <v>6129.0322580645161</v>
      </c>
      <c r="MF41" s="41"/>
      <c r="MG41" s="41"/>
      <c r="MH41" s="41"/>
      <c r="MI41" s="41"/>
      <c r="MJ41" s="41"/>
      <c r="MK41" s="41"/>
      <c r="ML41" s="41"/>
      <c r="MM41" s="41">
        <v>6557.3644444444444</v>
      </c>
      <c r="MN41" s="41"/>
      <c r="MO41" s="41"/>
      <c r="MP41" s="41"/>
      <c r="MQ41" s="41"/>
      <c r="MR41" s="41"/>
      <c r="MS41" s="41">
        <v>6053.7634408602153</v>
      </c>
      <c r="MT41" s="41">
        <v>6553.8967741935485</v>
      </c>
      <c r="MU41" s="41"/>
      <c r="MV41" s="41"/>
      <c r="MW41" s="41"/>
      <c r="MX41" s="41">
        <v>6129.0322580645161</v>
      </c>
      <c r="MY41" s="41"/>
      <c r="MZ41" s="41">
        <v>6186.8131868131868</v>
      </c>
      <c r="NA41" s="41"/>
      <c r="NB41" s="41"/>
    </row>
    <row r="42" spans="1:366" x14ac:dyDescent="0.25">
      <c r="A42" s="25" t="s">
        <v>178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>
        <v>4982.1428571428569</v>
      </c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>
        <v>4821.4285714285716</v>
      </c>
      <c r="AO42" s="23"/>
      <c r="AP42" s="23"/>
      <c r="AQ42" s="23"/>
      <c r="AR42" s="23"/>
      <c r="AS42" s="23"/>
      <c r="AT42" s="23">
        <v>4901.7857142857147</v>
      </c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56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>
        <v>4689.7391714430823</v>
      </c>
      <c r="BS42" s="23">
        <v>4660.7142857142862</v>
      </c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>
        <v>4689.7391714430823</v>
      </c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>
        <v>6827.9569892473119</v>
      </c>
      <c r="II42" s="23"/>
      <c r="IJ42" s="23"/>
      <c r="IK42" s="23"/>
      <c r="IL42" s="23"/>
      <c r="IM42" s="23"/>
      <c r="IN42" s="23"/>
      <c r="IO42" s="23"/>
      <c r="IP42" s="70"/>
      <c r="IQ42" s="70"/>
      <c r="IR42" s="23"/>
      <c r="IS42" s="23"/>
      <c r="IT42" s="23"/>
      <c r="IU42" s="23"/>
      <c r="IV42" s="23"/>
      <c r="IW42" s="23">
        <v>3645.0963143002245</v>
      </c>
      <c r="IX42" s="23"/>
      <c r="IY42" s="23"/>
      <c r="IZ42" s="23"/>
      <c r="JA42" s="23"/>
      <c r="JB42" s="23"/>
      <c r="JC42" s="23"/>
      <c r="JD42" s="23"/>
      <c r="JE42" s="23"/>
      <c r="JF42" s="23">
        <v>3766.2697836879797</v>
      </c>
      <c r="JG42" s="23"/>
      <c r="JH42" s="23"/>
      <c r="JI42" s="23"/>
      <c r="JJ42" s="23"/>
      <c r="JK42" s="23"/>
      <c r="JL42" s="23">
        <v>3645.0963143002245</v>
      </c>
      <c r="JM42" s="23"/>
      <c r="JN42" s="23"/>
      <c r="JO42" s="23"/>
      <c r="JP42" s="23"/>
      <c r="JQ42" s="23">
        <v>5591.3978494623661</v>
      </c>
      <c r="JR42" s="23">
        <v>5591.3978494623661</v>
      </c>
      <c r="JS42" s="23"/>
      <c r="JT42" s="23"/>
      <c r="JU42" s="23"/>
      <c r="JV42" s="23"/>
      <c r="JW42" s="23"/>
      <c r="JX42" s="23">
        <v>6689.588177237546</v>
      </c>
      <c r="JY42" s="23"/>
      <c r="JZ42" s="23"/>
      <c r="KA42" s="23"/>
      <c r="KB42" s="23"/>
      <c r="KC42" s="23"/>
      <c r="KD42" s="23"/>
      <c r="KE42" s="23"/>
      <c r="KF42" s="23">
        <v>6085.7612903225809</v>
      </c>
      <c r="KG42" s="23"/>
      <c r="KH42" s="23"/>
      <c r="KI42" s="23"/>
      <c r="KJ42" s="23"/>
      <c r="KK42" s="23"/>
      <c r="KL42" s="23"/>
      <c r="KM42" s="23"/>
      <c r="KN42" s="23"/>
      <c r="KO42" s="23"/>
      <c r="KP42" s="23"/>
      <c r="KQ42" s="23"/>
      <c r="KR42" s="23"/>
      <c r="KS42" s="23"/>
      <c r="KT42" s="23"/>
      <c r="KU42" s="23"/>
      <c r="KV42" s="23"/>
      <c r="KW42" s="23"/>
      <c r="KX42" s="23"/>
      <c r="KY42" s="23"/>
      <c r="KZ42" s="23"/>
      <c r="LA42" s="23"/>
      <c r="LB42" s="23">
        <v>6657.9268817204302</v>
      </c>
      <c r="LC42" s="23"/>
      <c r="LD42" s="23"/>
      <c r="LE42" s="23"/>
      <c r="LF42" s="23"/>
      <c r="LG42" s="23"/>
      <c r="LH42" s="23"/>
      <c r="LI42" s="23"/>
      <c r="LJ42" s="23"/>
      <c r="LK42" s="23"/>
      <c r="LL42" s="23"/>
      <c r="LM42" s="23"/>
      <c r="LN42" s="23"/>
      <c r="LO42" s="23">
        <v>4292.2473867595818</v>
      </c>
      <c r="LP42" s="23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23"/>
      <c r="MF42" s="23"/>
      <c r="MG42" s="23"/>
      <c r="MH42" s="23"/>
      <c r="MI42" s="23">
        <v>4299.1071428571431</v>
      </c>
      <c r="MJ42" s="23"/>
      <c r="MK42" s="23">
        <v>6461.1385753415097</v>
      </c>
      <c r="ML42" s="23"/>
      <c r="MM42" s="23"/>
      <c r="MN42" s="23"/>
      <c r="MO42" s="23"/>
      <c r="MP42" s="23"/>
      <c r="MQ42" s="23">
        <v>6454.5428200000006</v>
      </c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</row>
    <row r="43" spans="1:366" x14ac:dyDescent="0.25">
      <c r="A43" s="40" t="s">
        <v>179</v>
      </c>
      <c r="B43" s="41"/>
      <c r="C43" s="41"/>
      <c r="D43" s="41"/>
      <c r="E43" s="72"/>
      <c r="F43" s="72"/>
      <c r="G43" s="72"/>
      <c r="H43" s="72"/>
      <c r="I43" s="41"/>
      <c r="J43" s="41"/>
      <c r="K43" s="41"/>
      <c r="L43" s="72"/>
      <c r="M43" s="72"/>
      <c r="N43" s="72"/>
      <c r="O43" s="72"/>
      <c r="P43" s="41"/>
      <c r="Q43" s="41"/>
      <c r="R43" s="41"/>
      <c r="S43" s="72"/>
      <c r="T43" s="72"/>
      <c r="U43" s="72"/>
      <c r="V43" s="72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59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R43" s="41"/>
      <c r="DS43" s="41"/>
      <c r="DT43" s="41"/>
      <c r="DU43" s="41"/>
      <c r="DV43" s="41"/>
      <c r="DW43" s="41">
        <v>2981.9329949238581</v>
      </c>
      <c r="DX43" s="41"/>
      <c r="DY43" s="41"/>
      <c r="DZ43" s="41"/>
      <c r="EA43" s="41"/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/>
      <c r="EO43" s="41"/>
      <c r="EP43" s="41"/>
      <c r="EQ43" s="41"/>
      <c r="ER43" s="41"/>
      <c r="ES43" s="41"/>
      <c r="ET43" s="41"/>
      <c r="EU43" s="41"/>
      <c r="EV43" s="41"/>
      <c r="EW43" s="41"/>
      <c r="EX43" s="41"/>
      <c r="EY43" s="41"/>
      <c r="EZ43" s="41"/>
      <c r="FA43" s="41"/>
      <c r="FB43" s="41"/>
      <c r="FC43" s="41"/>
      <c r="FD43" s="41"/>
      <c r="FE43" s="41"/>
      <c r="FF43" s="41"/>
      <c r="FG43" s="41"/>
      <c r="FH43" s="41"/>
      <c r="FI43" s="41"/>
      <c r="FJ43" s="41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1"/>
      <c r="GT43" s="41"/>
      <c r="GU43" s="41"/>
      <c r="GV43" s="41"/>
      <c r="GW43" s="41"/>
      <c r="GX43" s="41"/>
      <c r="GY43" s="41"/>
      <c r="GZ43" s="41"/>
      <c r="HA43" s="41"/>
      <c r="HB43" s="41"/>
      <c r="HC43" s="41"/>
      <c r="HD43" s="41"/>
      <c r="HE43" s="41"/>
      <c r="HF43" s="41"/>
      <c r="HG43" s="41"/>
      <c r="HH43" s="41"/>
      <c r="HI43" s="41"/>
      <c r="HJ43" s="41"/>
      <c r="HK43" s="41"/>
      <c r="HL43" s="41"/>
      <c r="HM43" s="41"/>
      <c r="HN43" s="41"/>
      <c r="HO43" s="41"/>
      <c r="HP43" s="41"/>
      <c r="HQ43" s="41"/>
      <c r="HR43" s="41"/>
      <c r="HS43" s="41"/>
      <c r="HT43" s="41"/>
      <c r="HU43" s="41"/>
      <c r="HV43" s="41"/>
      <c r="HW43" s="41"/>
      <c r="HX43" s="41"/>
      <c r="HY43" s="41"/>
      <c r="HZ43" s="41"/>
      <c r="IA43" s="41"/>
      <c r="IB43" s="41">
        <v>3825.1901576556661</v>
      </c>
      <c r="IC43" s="41"/>
      <c r="ID43" s="41"/>
      <c r="IE43" s="41">
        <v>4851.9059934775823</v>
      </c>
      <c r="IF43" s="41"/>
      <c r="IG43" s="41"/>
      <c r="IH43" s="41"/>
      <c r="II43" s="41"/>
      <c r="IJ43" s="41"/>
      <c r="IK43" s="41"/>
      <c r="IL43" s="41"/>
      <c r="IM43" s="41"/>
      <c r="IN43" s="41"/>
      <c r="IO43" s="41"/>
      <c r="IP43" s="52">
        <v>3590.2309644670054</v>
      </c>
      <c r="IQ43" s="52"/>
      <c r="IR43" s="41"/>
      <c r="IS43" s="41"/>
      <c r="IT43" s="41"/>
      <c r="IU43" s="41"/>
      <c r="IV43" s="41"/>
      <c r="IW43" s="41"/>
      <c r="IX43" s="41"/>
      <c r="IY43" s="41"/>
      <c r="IZ43" s="41"/>
      <c r="JA43" s="41"/>
      <c r="JB43" s="41"/>
      <c r="JC43" s="41"/>
      <c r="JD43" s="41"/>
      <c r="JE43" s="41">
        <v>4441.5228426395943</v>
      </c>
      <c r="JF43" s="41"/>
      <c r="JG43" s="41"/>
      <c r="JH43" s="41"/>
      <c r="JI43" s="41"/>
      <c r="JJ43" s="41"/>
      <c r="JK43" s="41"/>
      <c r="JL43" s="41"/>
      <c r="JM43" s="41">
        <v>4441.5228426395943</v>
      </c>
      <c r="JN43" s="41"/>
      <c r="JO43" s="41"/>
      <c r="JP43" s="41"/>
      <c r="JQ43" s="41"/>
      <c r="JR43" s="41"/>
      <c r="JS43" s="41"/>
      <c r="JT43" s="41"/>
      <c r="JU43" s="41">
        <v>4578.6494897959183</v>
      </c>
      <c r="JV43" s="41"/>
      <c r="JW43" s="41"/>
      <c r="JX43" s="41"/>
      <c r="JY43" s="41"/>
      <c r="JZ43" s="41"/>
      <c r="KA43" s="41">
        <v>4464.1836734693879</v>
      </c>
      <c r="KB43" s="41"/>
      <c r="KC43" s="41"/>
      <c r="KD43" s="41"/>
      <c r="KE43" s="41"/>
      <c r="KF43" s="41"/>
      <c r="KG43" s="41">
        <v>4464.1836734693879</v>
      </c>
      <c r="KH43" s="41"/>
      <c r="KI43" s="41"/>
      <c r="KJ43" s="41"/>
      <c r="KK43" s="41"/>
      <c r="KL43" s="41"/>
      <c r="KM43" s="41"/>
      <c r="KN43" s="41"/>
      <c r="KO43" s="41"/>
      <c r="KP43" s="41"/>
      <c r="KQ43" s="41"/>
      <c r="KR43" s="41"/>
      <c r="KS43" s="41"/>
      <c r="KT43" s="41"/>
      <c r="KU43" s="41"/>
      <c r="KV43" s="41">
        <v>4850.6484693877546</v>
      </c>
      <c r="KW43" s="41"/>
      <c r="KX43" s="41"/>
      <c r="KY43" s="41"/>
      <c r="KZ43" s="41"/>
      <c r="LA43" s="41"/>
      <c r="LB43" s="41"/>
      <c r="LC43" s="41"/>
      <c r="LD43" s="41"/>
      <c r="LE43" s="41"/>
      <c r="LF43" s="41"/>
      <c r="LG43" s="41"/>
      <c r="LH43" s="41"/>
      <c r="LI43" s="41"/>
      <c r="LJ43" s="41"/>
      <c r="LK43" s="41"/>
      <c r="LL43" s="41"/>
      <c r="LM43" s="41"/>
      <c r="LN43" s="41"/>
      <c r="LO43" s="41"/>
      <c r="LP43" s="41"/>
      <c r="LQ43" s="41"/>
      <c r="LR43" s="41"/>
      <c r="LS43" s="41"/>
      <c r="LT43" s="41"/>
      <c r="LU43" s="41"/>
      <c r="LV43" s="41">
        <v>4986.6479591836733</v>
      </c>
      <c r="LW43" s="41"/>
      <c r="LX43" s="41"/>
      <c r="LY43" s="41"/>
      <c r="LZ43" s="41"/>
      <c r="MA43" s="41"/>
      <c r="MB43" s="41"/>
      <c r="MC43" s="41"/>
      <c r="MD43" s="41"/>
      <c r="ME43" s="41"/>
      <c r="MF43" s="41"/>
      <c r="MG43" s="41"/>
      <c r="MH43" s="41"/>
      <c r="MI43" s="41"/>
      <c r="MJ43" s="41"/>
      <c r="MK43" s="41"/>
      <c r="ML43" s="41"/>
      <c r="MM43" s="41"/>
      <c r="MN43" s="41"/>
      <c r="MO43" s="41"/>
      <c r="MP43" s="41"/>
      <c r="MQ43" s="41">
        <v>4738.0732031943216</v>
      </c>
      <c r="MR43" s="41"/>
      <c r="MS43" s="41"/>
      <c r="MT43" s="41"/>
      <c r="MU43" s="41"/>
      <c r="MV43" s="41"/>
      <c r="MW43" s="41"/>
      <c r="MX43" s="41"/>
      <c r="MY43" s="41"/>
      <c r="MZ43" s="41"/>
      <c r="NA43" s="41"/>
      <c r="NB43" s="41"/>
    </row>
    <row r="44" spans="1:366" x14ac:dyDescent="0.25">
      <c r="A44" s="18"/>
      <c r="B44" s="24"/>
      <c r="C44" s="24"/>
      <c r="D44" s="24"/>
      <c r="E44" s="93"/>
      <c r="F44" s="93"/>
      <c r="G44" s="93"/>
      <c r="H44" s="93"/>
      <c r="I44" s="24"/>
      <c r="J44" s="24"/>
      <c r="K44" s="24"/>
      <c r="L44" s="93"/>
      <c r="M44" s="93"/>
      <c r="N44" s="93"/>
      <c r="O44" s="93"/>
      <c r="P44" s="24"/>
      <c r="Q44" s="24"/>
      <c r="R44" s="24"/>
      <c r="S44" s="93"/>
      <c r="T44" s="93"/>
      <c r="U44" s="93"/>
      <c r="V44" s="93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58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</row>
    <row r="45" spans="1:366" x14ac:dyDescent="0.25">
      <c r="A45" s="25" t="s">
        <v>175</v>
      </c>
      <c r="B45" s="29"/>
      <c r="C45" s="29"/>
      <c r="D45" s="29">
        <v>1350</v>
      </c>
      <c r="E45" s="74">
        <v>1350</v>
      </c>
      <c r="F45" s="74">
        <v>1350</v>
      </c>
      <c r="G45" s="74">
        <v>1345</v>
      </c>
      <c r="H45" s="74">
        <v>1330</v>
      </c>
      <c r="I45" s="29"/>
      <c r="J45" s="29"/>
      <c r="K45" s="29">
        <v>1330</v>
      </c>
      <c r="L45" s="74">
        <v>1337.5</v>
      </c>
      <c r="M45" s="74">
        <v>1320</v>
      </c>
      <c r="N45" s="74">
        <v>1340</v>
      </c>
      <c r="O45" s="74">
        <v>1340</v>
      </c>
      <c r="P45" s="29"/>
      <c r="Q45" s="29"/>
      <c r="R45" s="29">
        <v>1360</v>
      </c>
      <c r="S45" s="74">
        <v>1360</v>
      </c>
      <c r="T45" s="74">
        <v>1365</v>
      </c>
      <c r="U45" s="74">
        <v>1365</v>
      </c>
      <c r="V45" s="74">
        <v>1400</v>
      </c>
      <c r="W45" s="29"/>
      <c r="X45" s="29"/>
      <c r="Y45" s="29">
        <v>1380</v>
      </c>
      <c r="Z45" s="29">
        <v>1365</v>
      </c>
      <c r="AA45" s="29">
        <v>1390</v>
      </c>
      <c r="AB45" s="29">
        <v>1400</v>
      </c>
      <c r="AC45" s="29">
        <v>1450</v>
      </c>
      <c r="AD45" s="29"/>
      <c r="AE45" s="29"/>
      <c r="AF45" s="29">
        <v>1440</v>
      </c>
      <c r="AG45" s="29">
        <v>1440</v>
      </c>
      <c r="AH45" s="29">
        <v>1440</v>
      </c>
      <c r="AI45" s="29">
        <v>1425</v>
      </c>
      <c r="AJ45" s="29">
        <v>1375</v>
      </c>
      <c r="AK45" s="29"/>
      <c r="AL45" s="29"/>
      <c r="AM45" s="29">
        <v>1425</v>
      </c>
      <c r="AN45" s="29">
        <v>1430</v>
      </c>
      <c r="AO45" s="29">
        <v>1430</v>
      </c>
      <c r="AP45" s="29">
        <v>1445</v>
      </c>
      <c r="AQ45" s="29">
        <v>1455</v>
      </c>
      <c r="AR45" s="29"/>
      <c r="AS45" s="29"/>
      <c r="AT45" s="29">
        <v>1455</v>
      </c>
      <c r="AU45" s="29">
        <v>1460</v>
      </c>
      <c r="AV45" s="29">
        <v>1465</v>
      </c>
      <c r="AW45" s="92">
        <v>1475</v>
      </c>
      <c r="AX45" s="29">
        <v>1470</v>
      </c>
      <c r="AY45" s="29"/>
      <c r="AZ45" s="29"/>
      <c r="BA45" s="29">
        <v>1470</v>
      </c>
      <c r="BB45" s="29">
        <v>1550</v>
      </c>
      <c r="BC45" s="29">
        <v>1550</v>
      </c>
      <c r="BD45" s="29">
        <v>1770</v>
      </c>
      <c r="BE45" s="29">
        <v>1935</v>
      </c>
      <c r="BF45" s="29"/>
      <c r="BG45" s="60"/>
      <c r="BH45" s="29">
        <v>1935</v>
      </c>
      <c r="BI45" s="29">
        <v>1935</v>
      </c>
      <c r="BJ45" s="29">
        <v>1950</v>
      </c>
      <c r="BK45" s="29">
        <v>2000</v>
      </c>
      <c r="BL45" s="29">
        <v>1630</v>
      </c>
      <c r="BM45" s="29"/>
      <c r="BN45" s="29"/>
      <c r="BO45" s="29">
        <v>1880</v>
      </c>
      <c r="BP45" s="29">
        <v>1765</v>
      </c>
      <c r="BQ45" s="29">
        <v>1765</v>
      </c>
      <c r="BR45" s="29">
        <v>1950</v>
      </c>
      <c r="BS45" s="29">
        <v>1940</v>
      </c>
      <c r="BT45" s="29"/>
      <c r="BU45" s="29"/>
      <c r="BV45" s="29">
        <v>1900</v>
      </c>
      <c r="BW45" s="29">
        <v>1655</v>
      </c>
      <c r="BX45" s="29">
        <v>1655</v>
      </c>
      <c r="BY45" s="29">
        <v>1765</v>
      </c>
      <c r="BZ45" s="29">
        <v>1700</v>
      </c>
      <c r="CA45" s="29"/>
      <c r="CB45" s="29"/>
      <c r="CC45" s="29">
        <v>1800</v>
      </c>
      <c r="CD45" s="29">
        <v>1790</v>
      </c>
      <c r="CE45" s="29">
        <v>1790</v>
      </c>
      <c r="CF45" s="29">
        <v>1700</v>
      </c>
      <c r="CG45" s="29">
        <v>1760</v>
      </c>
      <c r="CH45" s="29"/>
      <c r="CI45" s="29"/>
      <c r="CJ45" s="29">
        <v>1850</v>
      </c>
      <c r="CK45" s="29">
        <v>1850</v>
      </c>
      <c r="CL45" s="29">
        <v>1850</v>
      </c>
      <c r="CM45" s="29">
        <v>1750</v>
      </c>
      <c r="CN45" s="29">
        <v>1700</v>
      </c>
      <c r="CO45" s="29"/>
      <c r="CP45" s="29"/>
      <c r="CQ45" s="29">
        <v>1700</v>
      </c>
      <c r="CR45" s="29">
        <v>1700</v>
      </c>
      <c r="CS45" s="29">
        <v>1720</v>
      </c>
      <c r="CT45" s="29">
        <v>1680</v>
      </c>
      <c r="CU45" s="29">
        <v>1700</v>
      </c>
      <c r="CV45" s="29"/>
      <c r="CW45" s="29"/>
      <c r="CX45" s="29">
        <v>1680</v>
      </c>
      <c r="CY45" s="29">
        <v>1775</v>
      </c>
      <c r="CZ45" s="29">
        <v>1750</v>
      </c>
      <c r="DA45" s="29">
        <v>1750</v>
      </c>
      <c r="DB45" s="29">
        <v>1750</v>
      </c>
      <c r="DC45" s="29"/>
      <c r="DD45" s="29"/>
      <c r="DE45" s="29">
        <v>1750</v>
      </c>
      <c r="DF45" s="29">
        <v>1770</v>
      </c>
      <c r="DG45" s="29">
        <v>1745</v>
      </c>
      <c r="DH45" s="29">
        <v>1745</v>
      </c>
      <c r="DI45" s="29">
        <v>1765</v>
      </c>
      <c r="DJ45" s="29"/>
      <c r="DK45" s="29"/>
      <c r="DL45" s="29">
        <v>1720</v>
      </c>
      <c r="DM45" s="29">
        <v>1730</v>
      </c>
      <c r="DN45" s="29">
        <v>1730</v>
      </c>
      <c r="DO45" s="29">
        <v>1890</v>
      </c>
      <c r="DP45" s="29">
        <v>1890</v>
      </c>
      <c r="DQ45" s="29"/>
      <c r="DR45" s="29"/>
      <c r="DS45" s="29">
        <v>1890</v>
      </c>
      <c r="DT45" s="29">
        <v>1890</v>
      </c>
      <c r="DU45" s="29">
        <v>1890</v>
      </c>
      <c r="DV45" s="29">
        <v>1780</v>
      </c>
      <c r="DW45" s="29">
        <v>1780</v>
      </c>
      <c r="DX45" s="29"/>
      <c r="DY45" s="29"/>
      <c r="DZ45" s="60">
        <v>1780</v>
      </c>
      <c r="EA45" s="29">
        <v>1660</v>
      </c>
      <c r="EB45" s="29">
        <v>1700</v>
      </c>
      <c r="EC45" s="29">
        <v>1675</v>
      </c>
      <c r="ED45" s="29">
        <v>1850</v>
      </c>
      <c r="EE45" s="29"/>
      <c r="EF45" s="29"/>
      <c r="EG45" s="29">
        <v>1730</v>
      </c>
      <c r="EH45" s="29">
        <v>1730</v>
      </c>
      <c r="EI45" s="29">
        <v>1735</v>
      </c>
      <c r="EJ45" s="29">
        <v>1580</v>
      </c>
      <c r="EK45" s="29">
        <v>1650</v>
      </c>
      <c r="EL45" s="29"/>
      <c r="EM45" s="29"/>
      <c r="EN45" s="29">
        <v>1710</v>
      </c>
      <c r="EO45" s="29">
        <v>1710</v>
      </c>
      <c r="EP45" s="29">
        <v>1710</v>
      </c>
      <c r="EQ45" s="29">
        <v>1840</v>
      </c>
      <c r="ER45" s="29">
        <v>1730</v>
      </c>
      <c r="ES45" s="29"/>
      <c r="ET45" s="29"/>
      <c r="EU45" s="29">
        <v>1730</v>
      </c>
      <c r="EV45" s="29">
        <v>1690</v>
      </c>
      <c r="EW45" s="29">
        <v>1745</v>
      </c>
      <c r="EX45" s="29">
        <v>1700</v>
      </c>
      <c r="EY45" s="29">
        <v>1715</v>
      </c>
      <c r="EZ45" s="29"/>
      <c r="FA45" s="29"/>
      <c r="FB45" s="29">
        <v>1715</v>
      </c>
      <c r="FC45" s="29">
        <v>1720</v>
      </c>
      <c r="FD45" s="29">
        <v>1720</v>
      </c>
      <c r="FE45" s="29">
        <v>1660</v>
      </c>
      <c r="FF45" s="29">
        <v>1660</v>
      </c>
      <c r="FG45" s="29"/>
      <c r="FH45" s="29"/>
      <c r="FI45" s="29">
        <v>1560</v>
      </c>
      <c r="FJ45" s="29">
        <v>1610</v>
      </c>
      <c r="FK45" s="29">
        <v>1610</v>
      </c>
      <c r="FL45" s="29">
        <v>1610</v>
      </c>
      <c r="FM45" s="29">
        <v>1440</v>
      </c>
      <c r="FN45" s="29"/>
      <c r="FO45" s="29"/>
      <c r="FP45" s="29">
        <v>1440</v>
      </c>
      <c r="FQ45" s="29">
        <v>1350</v>
      </c>
      <c r="FR45" s="29">
        <v>1350</v>
      </c>
      <c r="FS45" s="29">
        <v>1350</v>
      </c>
      <c r="FT45" s="29">
        <v>1350</v>
      </c>
      <c r="FU45" s="29"/>
      <c r="FV45" s="29"/>
      <c r="FW45" s="29">
        <v>1490</v>
      </c>
      <c r="FX45" s="29">
        <v>1310</v>
      </c>
      <c r="FY45" s="29">
        <v>1310</v>
      </c>
      <c r="FZ45" s="29">
        <v>1310</v>
      </c>
      <c r="GA45" s="29">
        <v>1295</v>
      </c>
      <c r="GB45" s="29"/>
      <c r="GC45" s="29"/>
      <c r="GD45" s="29">
        <v>1295</v>
      </c>
      <c r="GE45" s="29">
        <v>1230</v>
      </c>
      <c r="GF45" s="29">
        <v>1120</v>
      </c>
      <c r="GG45" s="29">
        <v>1170</v>
      </c>
      <c r="GH45" s="29">
        <v>1110</v>
      </c>
      <c r="GI45" s="29"/>
      <c r="GJ45" s="29"/>
      <c r="GK45" s="29">
        <v>1110</v>
      </c>
      <c r="GL45" s="29">
        <v>1110</v>
      </c>
      <c r="GM45" s="29">
        <v>1070</v>
      </c>
      <c r="GN45" s="29">
        <v>1030</v>
      </c>
      <c r="GO45" s="29">
        <v>1030</v>
      </c>
      <c r="GP45" s="29"/>
      <c r="GQ45" s="29"/>
      <c r="GR45" s="29">
        <v>1090</v>
      </c>
      <c r="GS45" s="29">
        <v>1090</v>
      </c>
      <c r="GT45" s="29">
        <v>1090</v>
      </c>
      <c r="GU45" s="29">
        <v>1090</v>
      </c>
      <c r="GV45" s="29">
        <v>1030</v>
      </c>
      <c r="GW45" s="29"/>
      <c r="GX45" s="29"/>
      <c r="GY45" s="29">
        <v>1140</v>
      </c>
      <c r="GZ45" s="29">
        <v>1050</v>
      </c>
      <c r="HA45" s="29">
        <v>1050</v>
      </c>
      <c r="HB45" s="29">
        <v>1050</v>
      </c>
      <c r="HC45" s="29">
        <v>1145</v>
      </c>
      <c r="HD45" s="29"/>
      <c r="HE45" s="29"/>
      <c r="HF45" s="29">
        <v>1100</v>
      </c>
      <c r="HG45" s="29">
        <v>1125</v>
      </c>
      <c r="HH45" s="29">
        <v>1120</v>
      </c>
      <c r="HI45" s="29">
        <v>1120</v>
      </c>
      <c r="HJ45" s="29">
        <v>1120</v>
      </c>
      <c r="HK45" s="29"/>
      <c r="HL45" s="29"/>
      <c r="HM45" s="29">
        <v>1085</v>
      </c>
      <c r="HN45" s="29">
        <v>1120</v>
      </c>
      <c r="HO45" s="29">
        <v>1120</v>
      </c>
      <c r="HP45" s="29">
        <v>1125</v>
      </c>
      <c r="HQ45" s="29">
        <v>1125</v>
      </c>
      <c r="HR45" s="29"/>
      <c r="HS45" s="29"/>
      <c r="HT45" s="29">
        <v>1125</v>
      </c>
      <c r="HU45" s="29">
        <v>1120</v>
      </c>
      <c r="HV45" s="29">
        <v>1115</v>
      </c>
      <c r="HW45" s="29">
        <v>1105</v>
      </c>
      <c r="HX45" s="29">
        <v>1105</v>
      </c>
      <c r="HY45" s="29"/>
      <c r="HZ45" s="29"/>
      <c r="IA45" s="60">
        <v>1145</v>
      </c>
      <c r="IB45" s="29">
        <v>1120</v>
      </c>
      <c r="IC45" s="29">
        <v>1150</v>
      </c>
      <c r="ID45" s="29">
        <v>1160</v>
      </c>
      <c r="IE45" s="29">
        <v>1130</v>
      </c>
      <c r="IF45" s="29"/>
      <c r="IG45" s="29"/>
      <c r="IH45" s="124">
        <v>1130</v>
      </c>
      <c r="II45" s="29">
        <v>1160</v>
      </c>
      <c r="IJ45" s="124">
        <v>1160</v>
      </c>
      <c r="IK45" s="29">
        <v>1150</v>
      </c>
      <c r="IL45" s="29">
        <v>1125</v>
      </c>
      <c r="IM45" s="29"/>
      <c r="IN45" s="29"/>
      <c r="IO45" s="29">
        <v>1120</v>
      </c>
      <c r="IP45" s="29">
        <v>1075</v>
      </c>
      <c r="IQ45" s="29">
        <v>1075</v>
      </c>
      <c r="IR45" s="29">
        <v>1075</v>
      </c>
      <c r="IS45" s="60">
        <v>1065</v>
      </c>
      <c r="IT45" s="29"/>
      <c r="IU45" s="29"/>
      <c r="IV45" s="29">
        <v>1070</v>
      </c>
      <c r="IW45" s="29">
        <v>1100</v>
      </c>
      <c r="IX45" s="29">
        <v>1085</v>
      </c>
      <c r="IY45" s="92">
        <v>1085</v>
      </c>
      <c r="IZ45" s="29">
        <v>1085</v>
      </c>
      <c r="JA45" s="29"/>
      <c r="JB45" s="29"/>
      <c r="JC45" s="124">
        <v>1065</v>
      </c>
      <c r="JD45" s="92">
        <v>1065</v>
      </c>
      <c r="JE45" s="29">
        <v>1090</v>
      </c>
      <c r="JF45" s="29">
        <v>1075</v>
      </c>
      <c r="JG45" s="29">
        <v>1075</v>
      </c>
      <c r="JH45" s="29"/>
      <c r="JI45" s="29"/>
      <c r="JJ45" s="29">
        <v>1000</v>
      </c>
      <c r="JK45" s="29">
        <v>930</v>
      </c>
      <c r="JL45" s="29">
        <v>930</v>
      </c>
      <c r="JM45" s="29">
        <v>930</v>
      </c>
      <c r="JN45" s="29">
        <v>930</v>
      </c>
      <c r="JO45" s="29"/>
      <c r="JP45" s="29"/>
      <c r="JQ45" s="29">
        <v>930</v>
      </c>
      <c r="JR45" s="29">
        <v>1000</v>
      </c>
      <c r="JS45" s="29">
        <v>1025</v>
      </c>
      <c r="JT45" s="29">
        <v>1045</v>
      </c>
      <c r="JU45" s="29">
        <v>980</v>
      </c>
      <c r="JV45" s="29"/>
      <c r="JW45" s="29"/>
      <c r="JX45" s="29">
        <v>995</v>
      </c>
      <c r="JY45" s="29">
        <v>1020</v>
      </c>
      <c r="JZ45" s="29">
        <v>1020</v>
      </c>
      <c r="KA45" s="29">
        <v>1010</v>
      </c>
      <c r="KB45" s="29">
        <v>1030</v>
      </c>
      <c r="KC45" s="29"/>
      <c r="KD45" s="29"/>
      <c r="KE45" s="29">
        <v>1040</v>
      </c>
      <c r="KF45" s="29">
        <v>1040</v>
      </c>
      <c r="KG45" s="29">
        <v>1075</v>
      </c>
      <c r="KH45" s="29">
        <v>1070</v>
      </c>
      <c r="KI45" s="29">
        <v>1065</v>
      </c>
      <c r="KJ45" s="29"/>
      <c r="KK45" s="29"/>
      <c r="KL45" s="29">
        <v>1080</v>
      </c>
      <c r="KM45" s="29">
        <v>1085</v>
      </c>
      <c r="KN45" s="29">
        <v>1080</v>
      </c>
      <c r="KO45" s="29">
        <v>1110</v>
      </c>
      <c r="KP45" s="29">
        <v>1080</v>
      </c>
      <c r="KQ45" s="29"/>
      <c r="KR45" s="29"/>
      <c r="KS45" s="29">
        <v>1080</v>
      </c>
      <c r="KT45" s="29">
        <v>1200</v>
      </c>
      <c r="KU45" s="29">
        <v>1200</v>
      </c>
      <c r="KV45" s="29">
        <v>1200</v>
      </c>
      <c r="KW45" s="29">
        <v>1400</v>
      </c>
      <c r="KX45" s="29"/>
      <c r="KY45" s="74"/>
      <c r="KZ45" s="74">
        <v>1385</v>
      </c>
      <c r="LA45" s="74">
        <v>1127</v>
      </c>
      <c r="LB45" s="74">
        <v>1135</v>
      </c>
      <c r="LC45" s="74">
        <v>1102.5</v>
      </c>
      <c r="LD45" s="124">
        <v>1102.5</v>
      </c>
      <c r="LE45" s="124"/>
      <c r="LF45" s="124"/>
      <c r="LG45" s="124">
        <v>1090</v>
      </c>
      <c r="LH45" s="74">
        <v>1090</v>
      </c>
      <c r="LI45" s="29">
        <v>1085</v>
      </c>
      <c r="LJ45" s="29">
        <v>1065</v>
      </c>
      <c r="LK45" s="29">
        <v>1065</v>
      </c>
      <c r="LL45" s="29"/>
      <c r="LM45" s="29"/>
      <c r="LN45" s="29">
        <v>1035</v>
      </c>
      <c r="LO45" s="29">
        <v>1035</v>
      </c>
      <c r="LP45" s="29">
        <v>1035</v>
      </c>
      <c r="LQ45" s="29">
        <v>1100</v>
      </c>
      <c r="LR45" s="29">
        <v>1100</v>
      </c>
      <c r="LS45" s="29"/>
      <c r="LT45" s="29"/>
      <c r="LU45" s="29">
        <v>1092.5</v>
      </c>
      <c r="LV45" s="29">
        <v>1120</v>
      </c>
      <c r="LW45" s="124">
        <v>1120</v>
      </c>
      <c r="LX45" s="124">
        <v>1060</v>
      </c>
      <c r="LY45" s="29">
        <v>1060</v>
      </c>
      <c r="LZ45" s="29"/>
      <c r="MA45" s="29"/>
      <c r="MB45" s="29">
        <v>1095</v>
      </c>
      <c r="MC45" s="29">
        <v>1090</v>
      </c>
      <c r="MD45" s="29">
        <v>1090</v>
      </c>
      <c r="ME45" s="29">
        <v>1030</v>
      </c>
      <c r="MF45" s="29">
        <v>1040</v>
      </c>
      <c r="MG45" s="29"/>
      <c r="MH45" s="29"/>
      <c r="MI45" s="29">
        <v>1000</v>
      </c>
      <c r="MJ45" s="29">
        <v>1000</v>
      </c>
      <c r="MK45" s="29">
        <v>1035</v>
      </c>
      <c r="ML45" s="29">
        <v>990</v>
      </c>
      <c r="MM45" s="29">
        <v>1000</v>
      </c>
      <c r="MN45" s="29"/>
      <c r="MO45" s="29"/>
      <c r="MP45" s="29">
        <v>990</v>
      </c>
      <c r="MQ45" s="29">
        <v>1010</v>
      </c>
      <c r="MR45" s="29">
        <v>1015</v>
      </c>
      <c r="MS45" s="29">
        <v>1015</v>
      </c>
      <c r="MT45" s="29">
        <v>1015</v>
      </c>
      <c r="MU45" s="29"/>
      <c r="MV45" s="29"/>
      <c r="MW45" s="29">
        <v>1015</v>
      </c>
      <c r="MX45" s="29">
        <v>1015</v>
      </c>
      <c r="MY45" s="29">
        <v>1035</v>
      </c>
      <c r="MZ45" s="29">
        <v>1020</v>
      </c>
      <c r="NA45" s="29">
        <v>1020</v>
      </c>
      <c r="NB45" s="29"/>
    </row>
    <row r="46" spans="1:366" hidden="1" x14ac:dyDescent="0.25">
      <c r="A46" s="25"/>
      <c r="B46" s="23"/>
      <c r="C46" s="23"/>
      <c r="D46" s="23"/>
      <c r="E46" s="71"/>
      <c r="F46" s="71"/>
      <c r="G46" s="71"/>
      <c r="H46" s="71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56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  <c r="IX46" s="23"/>
      <c r="IY46" s="23"/>
      <c r="IZ46" s="23"/>
      <c r="JA46" s="23"/>
      <c r="JB46" s="23"/>
      <c r="JC46" s="23"/>
      <c r="JD46" s="23"/>
      <c r="JE46" s="23"/>
      <c r="JF46" s="23"/>
      <c r="JG46" s="23"/>
      <c r="JH46" s="23"/>
      <c r="JI46" s="23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/>
      <c r="JV46" s="23"/>
      <c r="JW46" s="23"/>
      <c r="JX46" s="23"/>
      <c r="JY46" s="23"/>
      <c r="JZ46" s="23"/>
      <c r="KA46" s="23"/>
      <c r="KB46" s="23"/>
      <c r="KC46" s="23"/>
      <c r="KD46" s="23"/>
      <c r="KE46" s="23"/>
      <c r="KF46" s="23"/>
      <c r="KG46" s="23"/>
      <c r="KH46" s="23"/>
      <c r="KI46" s="23"/>
      <c r="KJ46" s="23"/>
      <c r="KK46" s="23"/>
      <c r="KL46" s="23"/>
      <c r="KM46" s="23"/>
      <c r="KN46" s="23"/>
      <c r="KO46" s="23"/>
      <c r="KP46" s="23"/>
      <c r="KQ46" s="23"/>
      <c r="KR46" s="23"/>
      <c r="KS46" s="23"/>
      <c r="KT46" s="23"/>
      <c r="KU46" s="23"/>
      <c r="KV46" s="23"/>
      <c r="KW46" s="23"/>
      <c r="KX46" s="23"/>
      <c r="KY46" s="23"/>
      <c r="KZ46" s="23"/>
      <c r="LA46" s="23"/>
      <c r="LB46" s="23"/>
      <c r="LC46" s="23"/>
      <c r="LD46" s="23"/>
      <c r="LE46" s="23"/>
      <c r="LF46" s="23"/>
      <c r="LG46" s="23"/>
      <c r="LH46" s="23"/>
      <c r="LI46" s="23"/>
      <c r="LJ46" s="23"/>
      <c r="LK46" s="23"/>
      <c r="LL46" s="23"/>
      <c r="LM46" s="23"/>
      <c r="LN46" s="23"/>
      <c r="LO46" s="23"/>
      <c r="LP46" s="23"/>
      <c r="LQ46" s="23"/>
      <c r="LR46" s="23"/>
      <c r="LS46" s="23"/>
      <c r="LT46" s="23"/>
      <c r="LU46" s="23"/>
      <c r="LV46" s="23"/>
      <c r="LW46" s="23"/>
      <c r="LX46" s="23"/>
      <c r="LY46" s="23"/>
      <c r="LZ46" s="23"/>
      <c r="MA46" s="23"/>
      <c r="MB46" s="23"/>
      <c r="MC46" s="23"/>
      <c r="MD46" s="23"/>
      <c r="ME46" s="23"/>
      <c r="MF46" s="23"/>
      <c r="MG46" s="23"/>
      <c r="MH46" s="23"/>
      <c r="MI46" s="23"/>
      <c r="MJ46" s="23"/>
      <c r="MK46" s="23"/>
      <c r="ML46" s="23"/>
      <c r="MM46" s="23"/>
      <c r="MN46" s="23"/>
      <c r="MO46" s="23"/>
      <c r="MP46" s="23"/>
      <c r="MQ46" s="23"/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</row>
    <row r="47" spans="1:366" x14ac:dyDescent="0.25">
      <c r="A47" s="18"/>
      <c r="B47" s="30"/>
      <c r="C47" s="30"/>
      <c r="D47" s="30"/>
      <c r="E47" s="94"/>
      <c r="F47" s="94"/>
      <c r="G47" s="94"/>
      <c r="H47" s="94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61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  <c r="IY47" s="30"/>
      <c r="IZ47" s="30"/>
      <c r="JA47" s="30"/>
      <c r="JB47" s="30"/>
      <c r="JC47" s="30"/>
      <c r="JD47" s="30"/>
      <c r="JE47" s="30"/>
      <c r="JF47" s="30"/>
      <c r="JG47" s="30"/>
      <c r="JH47" s="30"/>
      <c r="JI47" s="30"/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/>
      <c r="JW47" s="30"/>
      <c r="JX47" s="30"/>
      <c r="JY47" s="30"/>
      <c r="JZ47" s="30"/>
      <c r="KA47" s="30"/>
      <c r="KB47" s="30"/>
      <c r="KC47" s="30"/>
      <c r="KD47" s="30"/>
      <c r="KE47" s="30"/>
      <c r="KF47" s="30"/>
      <c r="KG47" s="30"/>
      <c r="KH47" s="30"/>
      <c r="KI47" s="30"/>
      <c r="KJ47" s="30"/>
      <c r="KK47" s="30"/>
      <c r="KL47" s="30"/>
      <c r="KM47" s="30"/>
      <c r="KN47" s="30"/>
      <c r="KO47" s="30"/>
      <c r="KP47" s="30"/>
      <c r="KQ47" s="30"/>
      <c r="KR47" s="30"/>
      <c r="KS47" s="30"/>
      <c r="KT47" s="30"/>
      <c r="KU47" s="30"/>
      <c r="KV47" s="30"/>
      <c r="KW47" s="30"/>
      <c r="KX47" s="30"/>
      <c r="KY47" s="30"/>
      <c r="KZ47" s="30"/>
      <c r="LA47" s="30"/>
      <c r="LB47" s="30"/>
      <c r="LC47" s="30"/>
      <c r="LD47" s="30"/>
      <c r="LE47" s="30"/>
      <c r="LF47" s="30"/>
      <c r="LG47" s="30"/>
      <c r="LH47" s="30"/>
      <c r="LI47" s="30"/>
      <c r="LJ47" s="30"/>
      <c r="LK47" s="30"/>
      <c r="LL47" s="30"/>
      <c r="LM47" s="30"/>
      <c r="LN47" s="30"/>
      <c r="LO47" s="30"/>
      <c r="LP47" s="30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/>
      <c r="MF47" s="30"/>
      <c r="MG47" s="30"/>
      <c r="MH47" s="30"/>
      <c r="MI47" s="30"/>
      <c r="MJ47" s="30"/>
      <c r="MK47" s="30"/>
      <c r="ML47" s="30"/>
      <c r="MM47" s="30"/>
      <c r="MN47" s="30"/>
      <c r="MO47" s="30"/>
      <c r="MP47" s="30"/>
      <c r="MQ47" s="30"/>
      <c r="MR47" s="30"/>
      <c r="MS47" s="30"/>
      <c r="MT47" s="30"/>
      <c r="MU47" s="30"/>
      <c r="MV47" s="30"/>
      <c r="MW47" s="30"/>
      <c r="MX47" s="30"/>
      <c r="MY47" s="30"/>
      <c r="MZ47" s="30"/>
      <c r="NA47" s="30"/>
      <c r="NB47" s="30"/>
    </row>
    <row r="48" spans="1:366" x14ac:dyDescent="0.25">
      <c r="A48" s="45" t="s">
        <v>170</v>
      </c>
      <c r="B48" s="46"/>
      <c r="C48" s="46"/>
      <c r="D48" s="46"/>
      <c r="E48" s="95"/>
      <c r="F48" s="95"/>
      <c r="G48" s="95"/>
      <c r="H48" s="95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>
        <v>6806.3</v>
      </c>
      <c r="BJ48" s="46">
        <v>6806.3</v>
      </c>
      <c r="BK48" s="46">
        <v>6806.3</v>
      </c>
      <c r="BL48" s="46">
        <v>6806.3</v>
      </c>
      <c r="BM48" s="46"/>
      <c r="BN48" s="46"/>
      <c r="BO48" s="46">
        <v>7337.57</v>
      </c>
      <c r="BP48" s="46">
        <v>7337.57</v>
      </c>
      <c r="BQ48" s="46">
        <v>7337.57</v>
      </c>
      <c r="BR48" s="46">
        <v>7337.57</v>
      </c>
      <c r="BS48" s="46">
        <v>7337.57</v>
      </c>
      <c r="BT48" s="46"/>
      <c r="BU48" s="46"/>
      <c r="BV48" s="46">
        <v>7543.72</v>
      </c>
      <c r="BW48" s="46">
        <v>7543.72</v>
      </c>
      <c r="BX48" s="46">
        <v>7543.72</v>
      </c>
      <c r="BY48" s="46">
        <v>7543.72</v>
      </c>
      <c r="BZ48" s="46">
        <v>7543.72</v>
      </c>
      <c r="CA48" s="46"/>
      <c r="CB48" s="46"/>
      <c r="CC48" s="46">
        <v>7359.63</v>
      </c>
      <c r="CD48" s="46">
        <v>7359.63</v>
      </c>
      <c r="CE48" s="46">
        <v>7359.63</v>
      </c>
      <c r="CF48" s="46">
        <v>7359.63</v>
      </c>
      <c r="CG48" s="46">
        <v>7359.63</v>
      </c>
      <c r="CH48" s="46"/>
      <c r="CI48" s="46"/>
      <c r="CJ48" s="46">
        <v>6938.02</v>
      </c>
      <c r="CK48" s="46">
        <v>6938.02</v>
      </c>
      <c r="CL48" s="46">
        <v>6938.02</v>
      </c>
      <c r="CM48" s="46">
        <v>6938.02</v>
      </c>
      <c r="CN48" s="46">
        <v>6938.02</v>
      </c>
      <c r="CO48" s="46"/>
      <c r="CP48" s="46"/>
      <c r="CQ48" s="46">
        <v>6688.22</v>
      </c>
      <c r="CR48" s="46">
        <v>6688.22</v>
      </c>
      <c r="CS48" s="46">
        <v>6688.22</v>
      </c>
      <c r="CT48" s="46">
        <v>6688.22</v>
      </c>
      <c r="CU48" s="46">
        <v>6688.22</v>
      </c>
      <c r="CV48" s="46"/>
      <c r="CW48" s="46"/>
      <c r="CX48" s="46">
        <v>6636.72</v>
      </c>
      <c r="CY48" s="46">
        <v>6636.72</v>
      </c>
      <c r="CZ48" s="46">
        <v>6636.72</v>
      </c>
      <c r="DA48" s="46">
        <v>6636.72</v>
      </c>
      <c r="DB48" s="46">
        <v>6636.72</v>
      </c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>
        <v>7361.44</v>
      </c>
      <c r="DT48" s="46">
        <v>7361.44</v>
      </c>
      <c r="DU48" s="46">
        <v>7361.44</v>
      </c>
      <c r="DV48" s="46">
        <v>7361.44</v>
      </c>
      <c r="DW48" s="46">
        <v>7361.44</v>
      </c>
      <c r="DX48" s="46"/>
      <c r="DY48" s="46"/>
      <c r="DZ48" s="46">
        <v>7604.14</v>
      </c>
      <c r="EA48" s="46">
        <v>7604.14</v>
      </c>
      <c r="EB48" s="46">
        <v>7604.14</v>
      </c>
      <c r="EC48" s="46">
        <v>7604.14</v>
      </c>
      <c r="ED48" s="46">
        <v>7604.14</v>
      </c>
      <c r="EE48" s="46"/>
      <c r="EF48" s="46"/>
      <c r="EG48" s="46">
        <v>7653.7</v>
      </c>
      <c r="EH48" s="46">
        <v>7653.7</v>
      </c>
      <c r="EI48" s="46">
        <v>7653.7</v>
      </c>
      <c r="EJ48" s="46">
        <v>7653.7</v>
      </c>
      <c r="EK48" s="46">
        <v>7653.7</v>
      </c>
      <c r="EL48" s="46"/>
      <c r="EM48" s="46"/>
      <c r="EN48" s="46">
        <v>7583.69</v>
      </c>
      <c r="EO48" s="46">
        <v>7583.69</v>
      </c>
      <c r="EP48" s="46">
        <v>7583.69</v>
      </c>
      <c r="EQ48" s="46">
        <v>7583.69</v>
      </c>
      <c r="ER48" s="46">
        <v>7583.69</v>
      </c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  <c r="HG48" s="46"/>
      <c r="HH48" s="46"/>
      <c r="HI48" s="46"/>
      <c r="HJ48" s="46"/>
      <c r="HK48" s="46"/>
      <c r="HL48" s="46"/>
      <c r="HM48" s="46"/>
      <c r="HN48" s="46"/>
      <c r="HO48" s="46"/>
      <c r="HP48" s="46"/>
      <c r="HQ48" s="46"/>
      <c r="HR48" s="46"/>
      <c r="HS48" s="46"/>
      <c r="HT48" s="46"/>
      <c r="HU48" s="46"/>
      <c r="HV48" s="46"/>
      <c r="HW48" s="46"/>
      <c r="HX48" s="46"/>
      <c r="HY48" s="46"/>
      <c r="HZ48" s="46"/>
      <c r="IA48" s="46"/>
      <c r="IB48" s="46"/>
      <c r="IC48" s="46"/>
      <c r="ID48" s="46"/>
      <c r="IE48" s="46"/>
      <c r="IF48" s="46"/>
      <c r="IG48" s="46"/>
      <c r="IH48" s="46"/>
      <c r="II48" s="46"/>
      <c r="IJ48" s="46"/>
      <c r="IK48" s="46"/>
      <c r="IL48" s="46"/>
      <c r="IM48" s="46"/>
      <c r="IN48" s="46"/>
      <c r="IO48" s="46"/>
      <c r="IP48" s="46"/>
      <c r="IQ48" s="46"/>
      <c r="IR48" s="46"/>
      <c r="IS48" s="46"/>
      <c r="IT48" s="46"/>
      <c r="IU48" s="46"/>
      <c r="IV48" s="46"/>
      <c r="IW48" s="46"/>
      <c r="IX48" s="46"/>
      <c r="IY48" s="46"/>
      <c r="IZ48" s="46"/>
      <c r="JA48" s="46"/>
      <c r="JB48" s="46"/>
      <c r="JC48" s="46"/>
      <c r="JD48" s="46"/>
      <c r="JE48" s="46"/>
      <c r="JF48" s="46"/>
      <c r="JG48" s="46"/>
      <c r="JH48" s="46"/>
      <c r="JI48" s="46"/>
      <c r="JJ48" s="46"/>
      <c r="JK48" s="46"/>
      <c r="JL48" s="46"/>
      <c r="JM48" s="46"/>
      <c r="JN48" s="46"/>
      <c r="JO48" s="46"/>
      <c r="JP48" s="46"/>
      <c r="JQ48" s="46"/>
      <c r="JR48" s="46"/>
      <c r="JS48" s="46"/>
      <c r="JT48" s="46"/>
      <c r="JU48" s="46"/>
      <c r="JV48" s="46"/>
      <c r="JW48" s="46"/>
      <c r="JX48" s="46"/>
      <c r="JY48" s="46"/>
      <c r="JZ48" s="46"/>
      <c r="KA48" s="46"/>
      <c r="KB48" s="46"/>
      <c r="KC48" s="46"/>
      <c r="KD48" s="46"/>
      <c r="KE48" s="46"/>
      <c r="KF48" s="46"/>
      <c r="KG48" s="46"/>
      <c r="KH48" s="46"/>
      <c r="KI48" s="46"/>
      <c r="KJ48" s="46"/>
      <c r="KK48" s="46"/>
      <c r="KL48" s="46"/>
      <c r="KM48" s="46"/>
      <c r="KN48" s="46"/>
      <c r="KO48" s="46"/>
      <c r="KP48" s="46"/>
      <c r="KQ48" s="46"/>
      <c r="KR48" s="46"/>
      <c r="KS48" s="46"/>
      <c r="KT48" s="46"/>
      <c r="KU48" s="46"/>
      <c r="KV48" s="46"/>
      <c r="KW48" s="46"/>
      <c r="KX48" s="46"/>
      <c r="KY48" s="46"/>
      <c r="KZ48" s="46"/>
      <c r="LA48" s="46"/>
      <c r="LB48" s="46"/>
      <c r="LC48" s="46"/>
      <c r="LD48" s="46"/>
      <c r="LE48" s="46"/>
      <c r="LF48" s="46"/>
      <c r="LG48" s="46"/>
      <c r="LH48" s="46"/>
      <c r="LI48" s="46"/>
      <c r="LJ48" s="46"/>
      <c r="LK48" s="46"/>
      <c r="LL48" s="46"/>
      <c r="LM48" s="46"/>
      <c r="LN48" s="46"/>
      <c r="LO48" s="46"/>
      <c r="LP48" s="46"/>
      <c r="LQ48" s="46"/>
      <c r="LR48" s="46"/>
      <c r="LS48" s="46"/>
      <c r="LT48" s="46"/>
      <c r="LU48" s="46"/>
      <c r="LV48" s="46"/>
      <c r="LW48" s="46"/>
      <c r="LX48" s="46"/>
      <c r="LY48" s="46"/>
      <c r="LZ48" s="46"/>
      <c r="MA48" s="46"/>
      <c r="MB48" s="46"/>
      <c r="MC48" s="46"/>
      <c r="MD48" s="46"/>
      <c r="ME48" s="46"/>
      <c r="MF48" s="46"/>
      <c r="MG48" s="46"/>
      <c r="MH48" s="46"/>
      <c r="MI48" s="46"/>
      <c r="MJ48" s="46"/>
      <c r="MK48" s="46"/>
      <c r="ML48" s="46"/>
      <c r="MM48" s="46"/>
      <c r="MN48" s="46"/>
      <c r="MO48" s="46"/>
      <c r="MP48" s="46"/>
      <c r="MQ48" s="46"/>
      <c r="MR48" s="46"/>
      <c r="MS48" s="46"/>
      <c r="MT48" s="46"/>
      <c r="MU48" s="46"/>
      <c r="MV48" s="46"/>
      <c r="MW48" s="46"/>
      <c r="MX48" s="46"/>
      <c r="MY48" s="46"/>
      <c r="MZ48" s="46"/>
      <c r="NA48" s="46"/>
      <c r="NB48" s="46"/>
    </row>
    <row r="49" spans="1:367" x14ac:dyDescent="0.25">
      <c r="A49" s="25" t="s">
        <v>171</v>
      </c>
      <c r="B49" s="31"/>
      <c r="C49" s="31"/>
      <c r="D49" s="31"/>
      <c r="E49" s="96"/>
      <c r="F49" s="96"/>
      <c r="G49" s="96"/>
      <c r="H49" s="96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>
        <v>7036.52</v>
      </c>
      <c r="BJ49" s="31">
        <v>7036.52</v>
      </c>
      <c r="BK49" s="31">
        <v>7036.52</v>
      </c>
      <c r="BL49" s="31">
        <v>7036.52</v>
      </c>
      <c r="BM49" s="31"/>
      <c r="BN49" s="31"/>
      <c r="BO49" s="31">
        <v>7700.9</v>
      </c>
      <c r="BP49" s="31">
        <v>7700.9</v>
      </c>
      <c r="BQ49" s="31">
        <v>7700.9</v>
      </c>
      <c r="BR49" s="31">
        <v>7700.9</v>
      </c>
      <c r="BS49" s="31">
        <v>7700.9</v>
      </c>
      <c r="BT49" s="31"/>
      <c r="BU49" s="31"/>
      <c r="BV49" s="31">
        <v>7956.71</v>
      </c>
      <c r="BW49" s="31">
        <v>7956.71</v>
      </c>
      <c r="BX49" s="31">
        <v>7956.71</v>
      </c>
      <c r="BY49" s="31">
        <v>7956.71</v>
      </c>
      <c r="BZ49" s="31">
        <v>7956.71</v>
      </c>
      <c r="CA49" s="31"/>
      <c r="CB49" s="31"/>
      <c r="CC49" s="31">
        <v>7681.18</v>
      </c>
      <c r="CD49" s="31">
        <v>7681.18</v>
      </c>
      <c r="CE49" s="31">
        <v>7681.18</v>
      </c>
      <c r="CF49" s="31">
        <v>7681.18</v>
      </c>
      <c r="CG49" s="31">
        <v>7681.18</v>
      </c>
      <c r="CH49" s="31"/>
      <c r="CI49" s="31"/>
      <c r="CJ49" s="31">
        <v>7257.07</v>
      </c>
      <c r="CK49" s="31">
        <v>7257.07</v>
      </c>
      <c r="CL49" s="31">
        <v>7257.07</v>
      </c>
      <c r="CM49" s="31">
        <v>7257.07</v>
      </c>
      <c r="CN49" s="31">
        <v>7257.07</v>
      </c>
      <c r="CO49" s="31"/>
      <c r="CP49" s="31"/>
      <c r="CQ49" s="31">
        <v>7079.17</v>
      </c>
      <c r="CR49" s="31">
        <v>7079.17</v>
      </c>
      <c r="CS49" s="31">
        <v>7079.17</v>
      </c>
      <c r="CT49" s="31">
        <v>7079.17</v>
      </c>
      <c r="CU49" s="31">
        <v>7079.17</v>
      </c>
      <c r="CV49" s="31"/>
      <c r="CW49" s="31"/>
      <c r="CX49" s="31">
        <v>6834.36</v>
      </c>
      <c r="CY49" s="31">
        <v>6834.36</v>
      </c>
      <c r="CZ49" s="31">
        <v>6834.36</v>
      </c>
      <c r="DA49" s="31">
        <v>6834.36</v>
      </c>
      <c r="DB49" s="31">
        <v>6834.36</v>
      </c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>
        <v>7454.06</v>
      </c>
      <c r="DT49" s="31">
        <v>7454.06</v>
      </c>
      <c r="DU49" s="31">
        <v>7454.06</v>
      </c>
      <c r="DV49" s="31">
        <v>7454.06</v>
      </c>
      <c r="DW49" s="31">
        <v>7454.06</v>
      </c>
      <c r="DX49" s="31"/>
      <c r="DY49" s="31"/>
      <c r="DZ49" s="31">
        <v>7632.72</v>
      </c>
      <c r="EA49" s="31">
        <v>7632.72</v>
      </c>
      <c r="EB49" s="31">
        <v>7632.72</v>
      </c>
      <c r="EC49" s="31">
        <v>7632.72</v>
      </c>
      <c r="ED49" s="31">
        <v>7632.72</v>
      </c>
      <c r="EE49" s="31"/>
      <c r="EF49" s="31"/>
      <c r="EG49" s="31">
        <v>7695.05</v>
      </c>
      <c r="EH49" s="31">
        <v>7695.05</v>
      </c>
      <c r="EI49" s="31">
        <v>7695.05</v>
      </c>
      <c r="EJ49" s="31">
        <v>7695.05</v>
      </c>
      <c r="EK49" s="31">
        <v>7695.05</v>
      </c>
      <c r="EL49" s="31"/>
      <c r="EM49" s="31"/>
      <c r="EN49" s="31">
        <v>7639.77</v>
      </c>
      <c r="EO49" s="31">
        <v>7639.77</v>
      </c>
      <c r="EP49" s="31">
        <v>7639.77</v>
      </c>
      <c r="EQ49" s="31">
        <v>7639.77</v>
      </c>
      <c r="ER49" s="31">
        <v>7639.77</v>
      </c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  <c r="IW49" s="31"/>
      <c r="IX49" s="31"/>
      <c r="IY49" s="31"/>
      <c r="IZ49" s="31"/>
      <c r="JA49" s="31"/>
      <c r="JB49" s="31"/>
      <c r="JC49" s="31"/>
      <c r="JD49" s="31"/>
      <c r="JE49" s="31"/>
      <c r="JF49" s="31"/>
      <c r="JG49" s="31"/>
      <c r="JH49" s="31"/>
      <c r="JI49" s="31"/>
      <c r="JJ49" s="31"/>
      <c r="JK49" s="31"/>
      <c r="JL49" s="31"/>
      <c r="JM49" s="31"/>
      <c r="JN49" s="31"/>
      <c r="JO49" s="31"/>
      <c r="JP49" s="31"/>
      <c r="JQ49" s="31"/>
      <c r="JR49" s="31"/>
      <c r="JS49" s="31"/>
      <c r="JT49" s="31"/>
      <c r="JU49" s="31"/>
      <c r="JV49" s="31"/>
      <c r="JW49" s="31"/>
      <c r="JX49" s="31"/>
      <c r="JY49" s="31"/>
      <c r="JZ49" s="31"/>
      <c r="KA49" s="31"/>
      <c r="KB49" s="31"/>
      <c r="KC49" s="31"/>
      <c r="KD49" s="31"/>
      <c r="KE49" s="31"/>
      <c r="KF49" s="31"/>
      <c r="KG49" s="31"/>
      <c r="KH49" s="31"/>
      <c r="KI49" s="31"/>
      <c r="KJ49" s="31"/>
      <c r="KK49" s="31"/>
      <c r="KL49" s="31"/>
      <c r="KM49" s="31"/>
      <c r="KN49" s="31"/>
      <c r="KO49" s="31"/>
      <c r="KP49" s="31"/>
      <c r="KQ49" s="31"/>
      <c r="KR49" s="31"/>
      <c r="KS49" s="31"/>
      <c r="KT49" s="31"/>
      <c r="KU49" s="31"/>
      <c r="KV49" s="31"/>
      <c r="KW49" s="31"/>
      <c r="KX49" s="31"/>
      <c r="KY49" s="31"/>
      <c r="KZ49" s="31"/>
      <c r="LA49" s="31"/>
      <c r="LB49" s="31"/>
      <c r="LC49" s="31"/>
      <c r="LD49" s="31"/>
      <c r="LE49" s="31"/>
      <c r="LF49" s="31"/>
      <c r="LG49" s="31"/>
      <c r="LH49" s="31"/>
      <c r="LI49" s="31"/>
      <c r="LJ49" s="31"/>
      <c r="LK49" s="31"/>
      <c r="LL49" s="31"/>
      <c r="LM49" s="31"/>
      <c r="LN49" s="31"/>
      <c r="LO49" s="31"/>
      <c r="LP49" s="31"/>
      <c r="LQ49" s="31"/>
      <c r="LR49" s="31"/>
      <c r="LS49" s="31"/>
      <c r="LT49" s="31"/>
      <c r="LU49" s="31"/>
      <c r="LV49" s="31"/>
      <c r="LW49" s="31"/>
      <c r="LX49" s="31"/>
      <c r="LY49" s="31"/>
      <c r="LZ49" s="31"/>
      <c r="MA49" s="31"/>
      <c r="MB49" s="31"/>
      <c r="MC49" s="31"/>
      <c r="MD49" s="31"/>
      <c r="ME49" s="31"/>
      <c r="MF49" s="31"/>
      <c r="MG49" s="31"/>
      <c r="MH49" s="31"/>
      <c r="MI49" s="31"/>
      <c r="MJ49" s="31"/>
      <c r="MK49" s="31"/>
      <c r="ML49" s="31"/>
      <c r="MM49" s="31"/>
      <c r="MN49" s="31"/>
      <c r="MO49" s="31"/>
      <c r="MP49" s="31"/>
      <c r="MQ49" s="31"/>
      <c r="MR49" s="31"/>
      <c r="MS49" s="31"/>
      <c r="MT49" s="31"/>
      <c r="MU49" s="31"/>
      <c r="MV49" s="31"/>
      <c r="MW49" s="31"/>
      <c r="MX49" s="31"/>
      <c r="MY49" s="31"/>
      <c r="MZ49" s="31"/>
      <c r="NA49" s="31"/>
      <c r="NB49" s="31"/>
    </row>
    <row r="50" spans="1:367" x14ac:dyDescent="0.25">
      <c r="A50" s="45" t="s">
        <v>188</v>
      </c>
      <c r="B50" s="46"/>
      <c r="C50" s="46"/>
      <c r="D50" s="46"/>
      <c r="E50" s="95"/>
      <c r="F50" s="95"/>
      <c r="G50" s="95"/>
      <c r="H50" s="95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>
        <v>7700</v>
      </c>
      <c r="EA50" s="46">
        <v>7700</v>
      </c>
      <c r="EB50" s="46">
        <v>7700</v>
      </c>
      <c r="EC50" s="46">
        <v>7700</v>
      </c>
      <c r="ED50" s="46">
        <v>7700</v>
      </c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  <c r="HG50" s="46"/>
      <c r="HH50" s="46"/>
      <c r="HI50" s="46"/>
      <c r="HJ50" s="46"/>
      <c r="HK50" s="46"/>
      <c r="HL50" s="46"/>
      <c r="HM50" s="46"/>
      <c r="HN50" s="46"/>
      <c r="HO50" s="46"/>
      <c r="HP50" s="46"/>
      <c r="HQ50" s="46"/>
      <c r="HR50" s="46"/>
      <c r="HS50" s="46"/>
      <c r="HT50" s="46"/>
      <c r="HU50" s="46"/>
      <c r="HV50" s="46"/>
      <c r="HW50" s="46"/>
      <c r="HX50" s="46"/>
      <c r="HY50" s="46"/>
      <c r="HZ50" s="46"/>
      <c r="IA50" s="46"/>
      <c r="IB50" s="46"/>
      <c r="IC50" s="46"/>
      <c r="ID50" s="46"/>
      <c r="IE50" s="46"/>
      <c r="IF50" s="46"/>
      <c r="IG50" s="46"/>
      <c r="IH50" s="46"/>
      <c r="II50" s="46"/>
      <c r="IJ50" s="46"/>
      <c r="IK50" s="46"/>
      <c r="IL50" s="46"/>
      <c r="IM50" s="46"/>
      <c r="IN50" s="46"/>
      <c r="IO50" s="46"/>
      <c r="IP50" s="46"/>
      <c r="IQ50" s="46"/>
      <c r="IR50" s="46"/>
      <c r="IS50" s="46"/>
      <c r="IT50" s="46"/>
      <c r="IU50" s="46"/>
      <c r="IV50" s="46"/>
      <c r="IW50" s="46"/>
      <c r="IX50" s="46"/>
      <c r="IY50" s="46"/>
      <c r="IZ50" s="46"/>
      <c r="JA50" s="46"/>
      <c r="JB50" s="46"/>
      <c r="JC50" s="46"/>
      <c r="JD50" s="46"/>
      <c r="JE50" s="46"/>
      <c r="JF50" s="46"/>
      <c r="JG50" s="46"/>
      <c r="JH50" s="46"/>
      <c r="JI50" s="46"/>
      <c r="JJ50" s="46"/>
      <c r="JK50" s="46"/>
      <c r="JL50" s="46"/>
      <c r="JM50" s="46"/>
      <c r="JN50" s="46"/>
      <c r="JO50" s="46"/>
      <c r="JP50" s="46"/>
      <c r="JQ50" s="46"/>
      <c r="JR50" s="46"/>
      <c r="JS50" s="46"/>
      <c r="JT50" s="46"/>
      <c r="JU50" s="46"/>
      <c r="JV50" s="46"/>
      <c r="JW50" s="46"/>
      <c r="JX50" s="46"/>
      <c r="JY50" s="46"/>
      <c r="JZ50" s="46"/>
      <c r="KA50" s="46"/>
      <c r="KB50" s="46"/>
      <c r="KC50" s="46"/>
      <c r="KD50" s="46"/>
      <c r="KE50" s="46"/>
      <c r="KF50" s="46"/>
      <c r="KG50" s="46"/>
      <c r="KH50" s="46"/>
      <c r="KI50" s="46"/>
      <c r="KJ50" s="46"/>
      <c r="KK50" s="46"/>
      <c r="KL50" s="46"/>
      <c r="KM50" s="46"/>
      <c r="KN50" s="46"/>
      <c r="KO50" s="46"/>
      <c r="KP50" s="46"/>
      <c r="KQ50" s="46"/>
      <c r="KR50" s="46"/>
      <c r="KS50" s="46"/>
      <c r="KT50" s="46"/>
      <c r="KU50" s="46"/>
      <c r="KV50" s="46"/>
      <c r="KW50" s="46"/>
      <c r="KX50" s="46"/>
      <c r="KY50" s="46"/>
      <c r="KZ50" s="46"/>
      <c r="LA50" s="46"/>
      <c r="LB50" s="46"/>
      <c r="LC50" s="46"/>
      <c r="LD50" s="46"/>
      <c r="LE50" s="46"/>
      <c r="LF50" s="46"/>
      <c r="LG50" s="46"/>
      <c r="LH50" s="46"/>
      <c r="LI50" s="46"/>
      <c r="LJ50" s="46"/>
      <c r="LK50" s="46"/>
      <c r="LL50" s="46"/>
      <c r="LM50" s="46"/>
      <c r="LN50" s="46"/>
      <c r="LO50" s="46"/>
      <c r="LP50" s="46"/>
      <c r="LQ50" s="46"/>
      <c r="LR50" s="46"/>
      <c r="LS50" s="46"/>
      <c r="LT50" s="46"/>
      <c r="LU50" s="46"/>
      <c r="LV50" s="46"/>
      <c r="LW50" s="46"/>
      <c r="LX50" s="46"/>
      <c r="LY50" s="46"/>
      <c r="LZ50" s="46"/>
      <c r="MA50" s="46"/>
      <c r="MB50" s="46"/>
      <c r="MC50" s="46"/>
      <c r="MD50" s="46"/>
      <c r="ME50" s="46"/>
      <c r="MF50" s="46"/>
      <c r="MG50" s="46"/>
      <c r="MH50" s="46"/>
      <c r="MI50" s="46"/>
      <c r="MJ50" s="46"/>
      <c r="MK50" s="46"/>
      <c r="ML50" s="46"/>
      <c r="MM50" s="46"/>
      <c r="MN50" s="46"/>
      <c r="MO50" s="46"/>
      <c r="MP50" s="46"/>
      <c r="MQ50" s="46"/>
      <c r="MR50" s="46"/>
      <c r="MS50" s="46"/>
      <c r="MT50" s="46"/>
      <c r="MU50" s="46"/>
      <c r="MV50" s="46"/>
      <c r="MW50" s="46"/>
      <c r="MX50" s="46"/>
      <c r="MY50" s="46"/>
      <c r="MZ50" s="46"/>
      <c r="NA50" s="46"/>
      <c r="NB50" s="46"/>
    </row>
    <row r="51" spans="1:367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62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  <c r="IU51" s="18"/>
      <c r="IV51" s="18"/>
      <c r="IW51" s="18"/>
      <c r="IX51" s="18"/>
      <c r="IY51" s="18"/>
      <c r="IZ51" s="18"/>
      <c r="JA51" s="18"/>
      <c r="JB51" s="18"/>
      <c r="JC51" s="18"/>
      <c r="JD51" s="18"/>
      <c r="JE51" s="18"/>
      <c r="JF51" s="18"/>
      <c r="JG51" s="18"/>
      <c r="JH51" s="18"/>
      <c r="JI51" s="18"/>
      <c r="JJ51" s="18"/>
      <c r="JK51" s="18"/>
      <c r="JL51" s="18"/>
      <c r="JM51" s="18"/>
      <c r="JN51" s="18"/>
      <c r="JO51" s="18"/>
      <c r="JP51" s="18"/>
      <c r="JQ51" s="18"/>
      <c r="JR51" s="18"/>
      <c r="JS51" s="18"/>
      <c r="JT51" s="18"/>
      <c r="JU51" s="18"/>
      <c r="JV51" s="18"/>
      <c r="JW51" s="18"/>
      <c r="JX51" s="18"/>
      <c r="JY51" s="18"/>
      <c r="JZ51" s="18"/>
      <c r="KA51" s="18"/>
      <c r="KB51" s="18"/>
      <c r="KC51" s="18"/>
      <c r="KD51" s="18"/>
      <c r="KE51" s="18"/>
      <c r="KF51" s="18"/>
      <c r="KG51" s="18"/>
      <c r="KH51" s="18"/>
      <c r="KI51" s="18"/>
      <c r="KJ51" s="18"/>
      <c r="KK51" s="18"/>
      <c r="KL51" s="18"/>
      <c r="KM51" s="18"/>
      <c r="KN51" s="18"/>
      <c r="KO51" s="18"/>
      <c r="KP51" s="18"/>
      <c r="KQ51" s="18"/>
      <c r="KR51" s="18"/>
      <c r="KS51" s="18"/>
      <c r="KT51" s="18"/>
      <c r="KU51" s="18"/>
      <c r="KV51" s="18"/>
      <c r="KW51" s="18"/>
      <c r="KX51" s="18"/>
      <c r="KY51" s="18"/>
      <c r="KZ51" s="18"/>
      <c r="LA51" s="18"/>
      <c r="LB51" s="18"/>
      <c r="LC51" s="18"/>
      <c r="LD51" s="18"/>
      <c r="LE51" s="18"/>
      <c r="LF51" s="18"/>
      <c r="LG51" s="18"/>
      <c r="LH51" s="18"/>
      <c r="LI51" s="18"/>
      <c r="LJ51" s="18"/>
      <c r="LK51" s="18"/>
      <c r="LL51" s="18"/>
      <c r="LM51" s="18"/>
      <c r="LN51" s="18"/>
      <c r="LO51" s="18"/>
      <c r="LP51" s="18"/>
      <c r="LQ51" s="18"/>
      <c r="LR51" s="18"/>
      <c r="LS51" s="18"/>
      <c r="LT51" s="18"/>
      <c r="LU51" s="18"/>
      <c r="LV51" s="18"/>
      <c r="LW51" s="18"/>
      <c r="LX51" s="18"/>
      <c r="LY51" s="18"/>
      <c r="LZ51" s="18"/>
      <c r="MA51" s="18"/>
      <c r="MB51" s="18"/>
      <c r="MC51" s="18"/>
      <c r="MD51" s="18"/>
      <c r="ME51" s="18"/>
      <c r="MF51" s="18"/>
      <c r="MG51" s="18"/>
      <c r="MH51" s="18"/>
      <c r="MI51" s="18"/>
      <c r="MJ51" s="18"/>
      <c r="MK51" s="18"/>
      <c r="ML51" s="18"/>
      <c r="MM51" s="18"/>
      <c r="MN51" s="18"/>
      <c r="MO51" s="18"/>
      <c r="MP51" s="18"/>
      <c r="MQ51" s="18"/>
      <c r="MR51" s="18"/>
      <c r="MS51" s="18"/>
      <c r="MT51" s="18"/>
      <c r="MU51" s="18"/>
      <c r="MV51" s="18"/>
      <c r="MW51" s="18"/>
      <c r="MX51" s="18"/>
      <c r="MY51" s="18"/>
      <c r="MZ51" s="18"/>
      <c r="NA51" s="18"/>
      <c r="NB51" s="18"/>
    </row>
    <row r="52" spans="1:367" x14ac:dyDescent="0.25">
      <c r="A52" s="97" t="s">
        <v>183</v>
      </c>
      <c r="B52" s="98"/>
      <c r="C52" s="98"/>
      <c r="D52" s="99">
        <v>6358.57</v>
      </c>
      <c r="E52" s="99">
        <v>6518.36</v>
      </c>
      <c r="F52" s="99">
        <v>6618.03</v>
      </c>
      <c r="G52" s="99">
        <v>6577.79</v>
      </c>
      <c r="H52" s="98">
        <v>6577.79</v>
      </c>
      <c r="I52" s="98"/>
      <c r="J52" s="98"/>
      <c r="K52" s="98">
        <v>6226.51</v>
      </c>
      <c r="L52" s="98">
        <v>6508.92</v>
      </c>
      <c r="M52" s="98">
        <v>6422.46</v>
      </c>
      <c r="N52" s="98">
        <v>6274.2060000000001</v>
      </c>
      <c r="O52" s="98">
        <v>6119.6980000000003</v>
      </c>
      <c r="P52" s="98"/>
      <c r="Q52" s="98"/>
      <c r="R52" s="98">
        <v>6091.3639999999996</v>
      </c>
      <c r="S52" s="98">
        <v>6092.1279999999997</v>
      </c>
      <c r="T52" s="98">
        <v>6227.45</v>
      </c>
      <c r="U52" s="98">
        <v>6312.3</v>
      </c>
      <c r="V52" s="98">
        <v>6351.08</v>
      </c>
      <c r="W52" s="98"/>
      <c r="X52" s="98"/>
      <c r="Y52" s="98">
        <v>6330.7209999999995</v>
      </c>
      <c r="Z52" s="98">
        <v>6359.17</v>
      </c>
      <c r="AA52" s="98">
        <v>6359.17</v>
      </c>
      <c r="AB52" s="114">
        <v>6342.4449999999997</v>
      </c>
      <c r="AC52" s="114">
        <v>6404.3980000000001</v>
      </c>
      <c r="AD52" s="114"/>
      <c r="AE52" s="114"/>
      <c r="AF52" s="114">
        <v>6335.9030000000002</v>
      </c>
      <c r="AG52" s="114">
        <v>6320.22</v>
      </c>
      <c r="AH52" s="114">
        <v>6356.1890000000003</v>
      </c>
      <c r="AI52" s="114">
        <v>6352.4340000000002</v>
      </c>
      <c r="AJ52" s="114">
        <v>6389.0479999999998</v>
      </c>
      <c r="AK52" s="114"/>
      <c r="AL52" s="114"/>
      <c r="AM52" s="114">
        <v>6421.232</v>
      </c>
      <c r="AN52" s="114">
        <v>6258.1719999999996</v>
      </c>
      <c r="AO52" s="114">
        <v>6382.1360000000004</v>
      </c>
      <c r="AP52" s="114">
        <v>6379.0770000000002</v>
      </c>
      <c r="AQ52" s="114">
        <v>6438.6350000000002</v>
      </c>
      <c r="AR52" s="114"/>
      <c r="AS52" s="114"/>
      <c r="AT52" s="114">
        <v>6475.2079999999996</v>
      </c>
      <c r="AU52" s="114">
        <v>6544.1610000000001</v>
      </c>
      <c r="AV52" s="114">
        <v>6858.63</v>
      </c>
      <c r="AW52" s="114">
        <v>6813</v>
      </c>
      <c r="AX52" s="114">
        <v>6649.884</v>
      </c>
      <c r="AY52" s="114"/>
      <c r="AZ52" s="114"/>
      <c r="BA52" s="114">
        <v>6649.884</v>
      </c>
      <c r="BB52" s="114">
        <v>6761.2420000000002</v>
      </c>
      <c r="BC52" s="114">
        <v>6682.9560000000001</v>
      </c>
      <c r="BD52" s="114">
        <v>6912.4049999999997</v>
      </c>
      <c r="BE52" s="114">
        <v>6912.4049999999997</v>
      </c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</row>
    <row r="53" spans="1:367" x14ac:dyDescent="0.25">
      <c r="A53" s="100" t="s">
        <v>184</v>
      </c>
      <c r="B53" s="101"/>
      <c r="C53" s="101"/>
      <c r="D53" s="102">
        <f>AVERAGE(6450,6500)</f>
        <v>6475</v>
      </c>
      <c r="E53" s="102">
        <f>AVERAGE(6450,6500)</f>
        <v>6475</v>
      </c>
      <c r="F53" s="103">
        <f>AVERAGE(6600,6740)</f>
        <v>6670</v>
      </c>
      <c r="G53" s="104">
        <v>6743</v>
      </c>
      <c r="H53" s="104">
        <f>AVERAGE(6743,6763)</f>
        <v>6753</v>
      </c>
      <c r="I53" s="104"/>
      <c r="J53" s="104"/>
      <c r="K53" s="104">
        <f>AVERAGE(6743,6763)</f>
        <v>6753</v>
      </c>
      <c r="L53" s="104">
        <f>AVERAGE(6743,6763)</f>
        <v>6753</v>
      </c>
      <c r="M53" s="104">
        <f>AVERAGE(6640,6660)</f>
        <v>6650</v>
      </c>
      <c r="N53" s="104">
        <f>AVERAGE(6640,6660)</f>
        <v>6650</v>
      </c>
      <c r="O53" s="104">
        <f>AVERAGE(6550,6650)</f>
        <v>6600</v>
      </c>
      <c r="P53" s="104"/>
      <c r="Q53" s="104"/>
      <c r="R53" s="104">
        <f>AVERAGE(6550,6650)</f>
        <v>6600</v>
      </c>
      <c r="S53" s="104">
        <f>AVERAGE(6550,6650)</f>
        <v>6600</v>
      </c>
      <c r="T53" s="104">
        <f>AVERAGE(6550,6650)</f>
        <v>6600</v>
      </c>
      <c r="U53" s="104">
        <f>AVERAGE(6550,6650)</f>
        <v>6600</v>
      </c>
      <c r="V53" s="104">
        <f>AVERAGE(6550,6650)</f>
        <v>6600</v>
      </c>
      <c r="W53" s="104"/>
      <c r="X53" s="104"/>
      <c r="Y53" s="104">
        <f>AVERAGE(6400,6650)</f>
        <v>6525</v>
      </c>
      <c r="Z53" s="104">
        <f>AVERAGE(6400,6650)</f>
        <v>6525</v>
      </c>
      <c r="AA53" s="104">
        <f>AVERAGE(6400,6650)</f>
        <v>6525</v>
      </c>
      <c r="AB53" s="104">
        <f>AVERAGE(6365,6665)</f>
        <v>6515</v>
      </c>
      <c r="AC53" s="104">
        <f>AVERAGE(6365,6665)</f>
        <v>6515</v>
      </c>
      <c r="AD53" s="104"/>
      <c r="AE53" s="104"/>
      <c r="AF53" s="104">
        <f>AVERAGE(6365,6680)</f>
        <v>6522.5</v>
      </c>
      <c r="AG53" s="104">
        <f>AVERAGE(6365,6680)</f>
        <v>6522.5</v>
      </c>
      <c r="AH53" s="104">
        <f>AVERAGE(6365,6680)</f>
        <v>6522.5</v>
      </c>
      <c r="AI53" s="104">
        <f>AVERAGE(6365,6680)</f>
        <v>6522.5</v>
      </c>
      <c r="AJ53" s="104">
        <f>AVERAGE(6365,6730)</f>
        <v>6547.5</v>
      </c>
      <c r="AK53" s="104"/>
      <c r="AL53" s="104"/>
      <c r="AM53" s="104">
        <f>AVERAGE(6688,6788)</f>
        <v>6738</v>
      </c>
      <c r="AN53" s="104">
        <f>AVERAGE(6688,6788)</f>
        <v>6738</v>
      </c>
      <c r="AO53" s="104">
        <f>AVERAGE(6540,6560)</f>
        <v>6550</v>
      </c>
      <c r="AP53" s="104">
        <f>AVERAGE(6772,6792)</f>
        <v>6782</v>
      </c>
      <c r="AQ53" s="104">
        <f>AVERAGE(6772,6792)</f>
        <v>6782</v>
      </c>
      <c r="AR53" s="104"/>
      <c r="AS53" s="104"/>
      <c r="AT53" s="104">
        <f>AVERAGE(6772,6792)</f>
        <v>6782</v>
      </c>
      <c r="AU53" s="104">
        <f>AVERAGE(6772,6792)</f>
        <v>6782</v>
      </c>
      <c r="AV53" s="104">
        <f>AVERAGE(6598,6748)</f>
        <v>6673</v>
      </c>
      <c r="AW53" s="104">
        <f>AVERAGE(6598,6748)</f>
        <v>6673</v>
      </c>
      <c r="AX53" s="104">
        <f>AVERAGE(6770,6840)</f>
        <v>6805</v>
      </c>
      <c r="AY53" s="104"/>
      <c r="AZ53" s="104"/>
      <c r="BA53" s="104">
        <f>AVERAGE(6700,6850)</f>
        <v>6775</v>
      </c>
      <c r="BB53" s="104">
        <f>AVERAGE(6850,7100)</f>
        <v>6975</v>
      </c>
      <c r="BC53" s="104">
        <f>AVERAGE(6696,6769)</f>
        <v>6732.5</v>
      </c>
      <c r="BD53" s="104">
        <f>AVERAGE(6796,6946)</f>
        <v>6871</v>
      </c>
      <c r="BE53" s="104">
        <f>AVERAGE(6796,6806)</f>
        <v>6801</v>
      </c>
      <c r="BF53" s="104"/>
      <c r="BG53" s="104"/>
      <c r="BH53" s="104">
        <f>AVERAGE(6796,6806)</f>
        <v>6801</v>
      </c>
      <c r="BI53" s="104">
        <f>AVERAGE(6796,6806)</f>
        <v>6801</v>
      </c>
      <c r="BJ53" s="104">
        <f>AVERAGE(6796,6806)</f>
        <v>6801</v>
      </c>
      <c r="BK53" s="104">
        <f>AVERAGE(6796,7435)</f>
        <v>7115.5</v>
      </c>
      <c r="BL53" s="104">
        <f>AVERAGE(6846,6856)</f>
        <v>6851</v>
      </c>
      <c r="BM53" s="104"/>
      <c r="BN53" s="104"/>
      <c r="BO53" s="104">
        <f>AVERAGE(7256,7500)</f>
        <v>7378</v>
      </c>
      <c r="BP53" s="104">
        <f>AVERAGE(7256,7500)</f>
        <v>7378</v>
      </c>
      <c r="BQ53" s="104">
        <f>AVERAGE(7256,7373)</f>
        <v>7314.5</v>
      </c>
      <c r="BR53" s="104">
        <f>AVERAGE(7256,7373)</f>
        <v>7314.5</v>
      </c>
      <c r="BS53" s="104">
        <f>AVERAGE(7196,7206)</f>
        <v>7201</v>
      </c>
      <c r="BT53" s="104"/>
      <c r="BU53" s="104"/>
      <c r="BV53" s="104">
        <f>AVERAGE(7301,7348)</f>
        <v>7324.5</v>
      </c>
      <c r="BW53" s="104">
        <f>AVERAGE(7324,7358)</f>
        <v>7341</v>
      </c>
      <c r="BX53" s="104">
        <f>AVERAGE(7324,7358)</f>
        <v>7341</v>
      </c>
      <c r="BY53" s="104">
        <f>AVERAGE(7324,7348)</f>
        <v>7336</v>
      </c>
      <c r="BZ53" s="104">
        <f>AVERAGE(7324,7348)</f>
        <v>7336</v>
      </c>
      <c r="CA53" s="104"/>
      <c r="CB53" s="104"/>
      <c r="CC53" s="104">
        <f>AVERAGE(7215,7315)</f>
        <v>7265</v>
      </c>
      <c r="CD53" s="104">
        <f>AVERAGE(7215,7315)</f>
        <v>7265</v>
      </c>
      <c r="CE53" s="104">
        <f>AVERAGE(7215,7241)</f>
        <v>7228</v>
      </c>
      <c r="CF53" s="104">
        <f>AVERAGE(7189,7215)</f>
        <v>7202</v>
      </c>
      <c r="CG53" s="104">
        <f>AVERAGE(7015,7215)</f>
        <v>7115</v>
      </c>
      <c r="CH53" s="104"/>
      <c r="CI53" s="104"/>
      <c r="CJ53" s="104">
        <f>AVERAGE(7097,7147)</f>
        <v>7122</v>
      </c>
      <c r="CK53" s="104">
        <f>AVERAGE(6952,7002)</f>
        <v>6977</v>
      </c>
      <c r="CL53" s="104">
        <f>AVERAGE(6915,7015)</f>
        <v>6965</v>
      </c>
      <c r="CM53" s="104">
        <f>AVERAGE(6915,7015)</f>
        <v>6965</v>
      </c>
      <c r="CN53" s="104">
        <f>AVERAGE(6865,6875)</f>
        <v>6870</v>
      </c>
      <c r="CO53" s="104"/>
      <c r="CP53" s="104"/>
      <c r="CQ53" s="104">
        <f>AVERAGE(6615,6815)</f>
        <v>6715</v>
      </c>
      <c r="CR53" s="104">
        <f>AVERAGE(6497,6697)</f>
        <v>6597</v>
      </c>
      <c r="CS53" s="104">
        <f>AVERAGE(6497,6697)</f>
        <v>6597</v>
      </c>
      <c r="CT53" s="104">
        <f>AVERAGE(6592,6602)</f>
        <v>6597</v>
      </c>
      <c r="CU53" s="104">
        <f>AVERAGE(6592,6602)</f>
        <v>6597</v>
      </c>
      <c r="CV53" s="104"/>
      <c r="CW53" s="104"/>
      <c r="CX53" s="104">
        <v>6597</v>
      </c>
      <c r="CY53" s="104">
        <v>6597</v>
      </c>
      <c r="CZ53" s="104">
        <v>6597</v>
      </c>
      <c r="DA53" s="104">
        <v>6597</v>
      </c>
      <c r="DB53" s="104">
        <v>6597</v>
      </c>
      <c r="DC53" s="104"/>
      <c r="DD53" s="104"/>
      <c r="DE53" s="104">
        <v>6597</v>
      </c>
      <c r="DF53" s="104">
        <v>6597</v>
      </c>
      <c r="DG53" s="104">
        <v>6597</v>
      </c>
      <c r="DH53" s="104">
        <v>6597</v>
      </c>
      <c r="DI53" s="104">
        <v>6597</v>
      </c>
      <c r="DJ53" s="105"/>
      <c r="DK53" s="105"/>
      <c r="DL53" s="104">
        <v>6597</v>
      </c>
      <c r="DM53" s="104">
        <f>AVERAGE(7177,7252)</f>
        <v>7214.5</v>
      </c>
      <c r="DN53" s="104">
        <f>AVERAGE(7484,7504)</f>
        <v>7494</v>
      </c>
      <c r="DO53" s="104">
        <f>AVERAGE(7484,7604)</f>
        <v>7544</v>
      </c>
      <c r="DP53" s="104">
        <f>AVERAGE(7484,7604)</f>
        <v>7544</v>
      </c>
      <c r="DQ53" s="105"/>
      <c r="DR53" s="105"/>
      <c r="DS53" s="104">
        <f>AVERAGE(7244,7494)</f>
        <v>7369</v>
      </c>
      <c r="DT53" s="104">
        <f>AVERAGE(7447,7457)</f>
        <v>7452</v>
      </c>
      <c r="DU53" s="104">
        <f>AVERAGE(7552,7602)</f>
        <v>7577</v>
      </c>
      <c r="DV53" s="104">
        <f>AVERAGE(7709,7719)</f>
        <v>7714</v>
      </c>
      <c r="DW53" s="104">
        <f>AVERAGE(7527,7587)</f>
        <v>7557</v>
      </c>
      <c r="DX53" s="105"/>
      <c r="DY53" s="105"/>
      <c r="DZ53" s="104">
        <f>AVERAGE(7544,7652)</f>
        <v>7598</v>
      </c>
      <c r="EA53" s="104">
        <f>AVERAGE(7652,7677)</f>
        <v>7664.5</v>
      </c>
      <c r="EB53" s="104">
        <f>AVERAGE(7652,7677)</f>
        <v>7664.5</v>
      </c>
      <c r="EC53" s="104">
        <f>AVERAGE(7744,7752)</f>
        <v>7748</v>
      </c>
      <c r="ED53" s="104">
        <f>AVERAGE(7727,7882)</f>
        <v>7804.5</v>
      </c>
      <c r="EE53" s="105"/>
      <c r="EF53" s="105"/>
      <c r="EG53" s="104">
        <f>AVERAGE(7637,7687)</f>
        <v>7662</v>
      </c>
      <c r="EH53" s="104">
        <f>AVERAGE(7752,7802)</f>
        <v>7777</v>
      </c>
      <c r="EI53" s="104">
        <f>AVERAGE(7587,7727)</f>
        <v>7657</v>
      </c>
      <c r="EJ53" s="104">
        <f>AVERAGE(7487,7602)</f>
        <v>7544.5</v>
      </c>
      <c r="EK53" s="104">
        <f>AVERAGE(7302,7594)</f>
        <v>7448</v>
      </c>
      <c r="EL53" s="105"/>
      <c r="EM53" s="105"/>
      <c r="EN53" s="104">
        <f>AVERAGE(7302,7594)</f>
        <v>7448</v>
      </c>
      <c r="EO53" s="104">
        <f>AVERAGE(7142,7194)</f>
        <v>7168</v>
      </c>
      <c r="EP53" s="104">
        <f>AVERAGE(6887,7145)</f>
        <v>7016</v>
      </c>
      <c r="EQ53" s="104">
        <f>AVERAGE(7089,7100)</f>
        <v>7094.5</v>
      </c>
      <c r="ER53" s="104">
        <f>AVERAGE(6860,6960)</f>
        <v>6910</v>
      </c>
      <c r="ES53" s="105"/>
      <c r="ET53" s="105"/>
      <c r="EU53" s="104">
        <f>AVERAGE(6860,6960)</f>
        <v>6910</v>
      </c>
      <c r="EV53" s="104">
        <f>AVERAGE(6939,7060)</f>
        <v>6999.5</v>
      </c>
      <c r="EW53" s="104">
        <f>AVERAGE(6939,7060)</f>
        <v>6999.5</v>
      </c>
      <c r="EX53" s="104">
        <f>AVERAGE(6837,7087)</f>
        <v>6962</v>
      </c>
      <c r="EY53" s="104">
        <f>AVERAGE(7134,7144)</f>
        <v>7139</v>
      </c>
      <c r="EZ53" s="105"/>
      <c r="FA53" s="105"/>
      <c r="FB53" s="104">
        <f>AVERAGE(7232,7242)</f>
        <v>7237</v>
      </c>
      <c r="FC53" s="104">
        <f>AVERAGE(7060,7089)</f>
        <v>7074.5</v>
      </c>
      <c r="FD53" s="104">
        <f>AVERAGE(6960,7189)</f>
        <v>7074.5</v>
      </c>
      <c r="FE53" s="104">
        <f>AVERAGE(7184,7194)</f>
        <v>7189</v>
      </c>
      <c r="FF53" s="104">
        <f>AVERAGE(7184,7194)</f>
        <v>7189</v>
      </c>
      <c r="FG53" s="105"/>
      <c r="FH53" s="105"/>
      <c r="FI53" s="104">
        <f>AVERAGE(7114,7130)</f>
        <v>7122</v>
      </c>
      <c r="FJ53" s="104">
        <f>AVERAGE(6710,7114)</f>
        <v>6912</v>
      </c>
      <c r="FK53" s="104">
        <f>AVERAGE(7060,7089)</f>
        <v>7074.5</v>
      </c>
      <c r="FL53" s="104">
        <f>AVERAGE(7060,7089)</f>
        <v>7074.5</v>
      </c>
      <c r="FM53" s="104">
        <f>AVERAGE(7060,7089)</f>
        <v>7074.5</v>
      </c>
      <c r="FN53" s="105"/>
      <c r="FO53" s="105"/>
      <c r="FP53" s="104">
        <f>AVERAGE(7060,7089)</f>
        <v>7074.5</v>
      </c>
      <c r="FQ53" s="104">
        <f>AVERAGE(7060,7089)</f>
        <v>7074.5</v>
      </c>
      <c r="FR53" s="104">
        <f>AVERAGE(6906,6916)</f>
        <v>6911</v>
      </c>
      <c r="FS53" s="104">
        <f>AVERAGE(6545,6561)</f>
        <v>6553</v>
      </c>
      <c r="FT53" s="104">
        <f>AVERAGE(6495,6591)</f>
        <v>6543</v>
      </c>
      <c r="FU53" s="105"/>
      <c r="FV53" s="105"/>
      <c r="FW53" s="104">
        <f>AVERAGE(6556,6566)</f>
        <v>6561</v>
      </c>
      <c r="FX53" s="104">
        <f>AVERAGE(6511,6611)</f>
        <v>6561</v>
      </c>
      <c r="FY53" s="104">
        <f>AVERAGE(6511,6658)</f>
        <v>6584.5</v>
      </c>
      <c r="FZ53" s="104">
        <f>AVERAGE(6511,6658)</f>
        <v>6584.5</v>
      </c>
      <c r="GA53" s="104">
        <f>AVERAGE(6511,6658)</f>
        <v>6584.5</v>
      </c>
      <c r="GB53" s="105"/>
      <c r="GC53" s="105"/>
      <c r="GD53" s="104">
        <f>AVERAGE(6511,6658)</f>
        <v>6584.5</v>
      </c>
      <c r="GE53" s="104">
        <f>AVERAGE(6511,6658)</f>
        <v>6584.5</v>
      </c>
      <c r="GF53" s="104">
        <f>(6172+6182)/2</f>
        <v>6177</v>
      </c>
      <c r="GG53" s="104">
        <f>(6141+6231)/2</f>
        <v>6186</v>
      </c>
      <c r="GH53" s="104">
        <v>6201</v>
      </c>
      <c r="GI53" s="105"/>
      <c r="GJ53" s="105"/>
      <c r="GK53" s="120">
        <f>(6111+6211)/2</f>
        <v>6161</v>
      </c>
      <c r="GL53" s="120">
        <v>6411</v>
      </c>
      <c r="GM53" s="120">
        <v>6049</v>
      </c>
      <c r="GN53" s="120">
        <v>6045</v>
      </c>
      <c r="GO53" s="120">
        <v>6053</v>
      </c>
      <c r="GP53" s="120"/>
      <c r="GQ53" s="120"/>
      <c r="GR53" s="120">
        <v>6103</v>
      </c>
      <c r="GS53" s="120">
        <v>6130</v>
      </c>
      <c r="GT53" s="120">
        <v>6643</v>
      </c>
      <c r="GU53" s="120">
        <v>5961</v>
      </c>
      <c r="GV53" s="120">
        <v>5961</v>
      </c>
      <c r="GW53" s="105"/>
      <c r="GX53" s="105"/>
      <c r="GY53" s="120">
        <v>5961</v>
      </c>
      <c r="GZ53" s="120">
        <v>5990</v>
      </c>
      <c r="HA53" s="120">
        <f>(5940+6097)/2</f>
        <v>6018.5</v>
      </c>
      <c r="HB53" s="120">
        <v>5990</v>
      </c>
      <c r="HC53" s="120">
        <v>5990</v>
      </c>
      <c r="HD53" s="120"/>
      <c r="HE53" s="120"/>
      <c r="HF53" s="120">
        <v>5926</v>
      </c>
      <c r="HG53" s="120">
        <f>AVERAGE(5790,6061)</f>
        <v>5925.5</v>
      </c>
      <c r="HH53" s="120">
        <v>6111</v>
      </c>
      <c r="HI53" s="120">
        <v>6111</v>
      </c>
      <c r="HJ53" s="120">
        <v>5750</v>
      </c>
      <c r="HK53" s="120"/>
      <c r="HL53" s="120"/>
      <c r="HM53" s="120">
        <v>5897</v>
      </c>
      <c r="HN53" s="120">
        <v>5897</v>
      </c>
      <c r="HO53" s="120">
        <v>5865</v>
      </c>
      <c r="HP53" s="120">
        <v>5927</v>
      </c>
      <c r="HQ53" s="120">
        <v>5927</v>
      </c>
      <c r="HR53" s="120"/>
      <c r="HS53" s="120"/>
      <c r="HT53" s="120">
        <v>6091</v>
      </c>
      <c r="HU53" s="120">
        <v>6091</v>
      </c>
      <c r="HV53" s="120">
        <v>6091</v>
      </c>
      <c r="HW53" s="120">
        <v>5980</v>
      </c>
      <c r="HX53" s="120">
        <v>5980</v>
      </c>
      <c r="HY53" s="120"/>
      <c r="HZ53" s="120"/>
      <c r="IA53" s="120">
        <v>5980</v>
      </c>
      <c r="IB53" s="120">
        <v>5980</v>
      </c>
      <c r="IC53" s="120">
        <v>5980</v>
      </c>
      <c r="ID53" s="120">
        <v>5845</v>
      </c>
      <c r="IE53" s="120">
        <v>6011</v>
      </c>
      <c r="IF53" s="105"/>
      <c r="IG53" s="105"/>
      <c r="IH53" s="120">
        <v>6011</v>
      </c>
      <c r="II53" s="120">
        <v>6011</v>
      </c>
      <c r="IJ53" s="120">
        <v>6115</v>
      </c>
      <c r="IK53" s="120">
        <v>6211</v>
      </c>
      <c r="IL53" s="120">
        <v>6010</v>
      </c>
      <c r="IM53" s="120"/>
      <c r="IN53" s="120"/>
      <c r="IO53" s="120">
        <v>6010</v>
      </c>
      <c r="IP53" s="120">
        <v>6010</v>
      </c>
      <c r="IQ53" s="120">
        <v>6010</v>
      </c>
      <c r="IR53" s="120">
        <v>5729</v>
      </c>
      <c r="IS53" s="120">
        <v>5750</v>
      </c>
      <c r="IT53" s="120"/>
      <c r="IU53" s="120"/>
      <c r="IV53" s="120">
        <v>5665</v>
      </c>
      <c r="IW53" s="120">
        <v>5665</v>
      </c>
      <c r="IX53" s="120">
        <v>5665</v>
      </c>
      <c r="IY53" s="120">
        <v>5665</v>
      </c>
      <c r="IZ53" s="120">
        <v>5665</v>
      </c>
      <c r="JA53" s="120"/>
      <c r="JB53" s="120"/>
      <c r="JC53" s="120">
        <v>5665</v>
      </c>
      <c r="JD53" s="120">
        <v>5648</v>
      </c>
      <c r="JE53" s="120">
        <v>5658</v>
      </c>
      <c r="JF53" s="120">
        <v>5658</v>
      </c>
      <c r="JG53" s="120">
        <v>5498</v>
      </c>
      <c r="JH53" s="105"/>
      <c r="JI53" s="105"/>
      <c r="JJ53" s="120">
        <v>5448</v>
      </c>
      <c r="JK53" s="125">
        <v>5448</v>
      </c>
      <c r="JL53" s="125">
        <v>5448</v>
      </c>
      <c r="JM53" s="120">
        <v>5044</v>
      </c>
      <c r="JN53" s="120">
        <v>5044</v>
      </c>
      <c r="JO53" s="120"/>
      <c r="JP53" s="120"/>
      <c r="JQ53" s="120">
        <v>5698</v>
      </c>
      <c r="JR53" s="120">
        <v>5197</v>
      </c>
      <c r="JS53" s="120">
        <v>5416</v>
      </c>
      <c r="JT53" s="120">
        <v>5616</v>
      </c>
      <c r="JU53" s="120">
        <v>5616</v>
      </c>
      <c r="JV53" s="120"/>
      <c r="JW53" s="120"/>
      <c r="JX53" s="120">
        <v>5548</v>
      </c>
      <c r="JY53" s="120">
        <v>5766</v>
      </c>
      <c r="JZ53" s="120">
        <v>5766</v>
      </c>
      <c r="KA53" s="120">
        <v>5766</v>
      </c>
      <c r="KB53" s="120">
        <v>5560</v>
      </c>
      <c r="KC53" s="120"/>
      <c r="KD53" s="120"/>
      <c r="KE53" s="120">
        <v>5926</v>
      </c>
      <c r="KF53" s="120">
        <v>5946</v>
      </c>
      <c r="KG53" s="120">
        <v>6066</v>
      </c>
      <c r="KH53" s="120">
        <v>6066</v>
      </c>
      <c r="KI53" s="120">
        <v>6066</v>
      </c>
      <c r="KJ53" s="120"/>
      <c r="KK53" s="120"/>
      <c r="KL53" s="120">
        <v>6066</v>
      </c>
      <c r="KM53" s="120">
        <v>6066</v>
      </c>
      <c r="KN53" s="120">
        <v>6316</v>
      </c>
      <c r="KO53" s="120">
        <v>6316</v>
      </c>
      <c r="KP53" s="120">
        <v>6316</v>
      </c>
      <c r="KQ53" s="105"/>
      <c r="KR53" s="105"/>
      <c r="KS53" s="120">
        <v>6480</v>
      </c>
      <c r="KT53" s="120">
        <v>6516</v>
      </c>
      <c r="KU53" s="120">
        <v>6516</v>
      </c>
      <c r="KV53" s="120">
        <v>6516</v>
      </c>
      <c r="KW53" s="120">
        <v>6516</v>
      </c>
      <c r="KX53" s="120"/>
      <c r="KY53" s="120"/>
      <c r="KZ53" s="120">
        <v>6516</v>
      </c>
      <c r="LA53" s="120">
        <v>6516</v>
      </c>
      <c r="LB53" s="120">
        <v>6466</v>
      </c>
      <c r="LC53" s="120">
        <v>6495</v>
      </c>
      <c r="LD53" s="120">
        <v>6495</v>
      </c>
      <c r="LE53" s="120"/>
      <c r="LF53" s="120"/>
      <c r="LG53" s="120">
        <v>6503</v>
      </c>
      <c r="LH53" s="120">
        <v>6503</v>
      </c>
      <c r="LI53" s="120">
        <v>6503</v>
      </c>
      <c r="LJ53" s="120">
        <v>6145</v>
      </c>
      <c r="LK53" s="120">
        <v>6416</v>
      </c>
      <c r="LL53" s="120"/>
      <c r="LM53" s="120"/>
      <c r="LN53" s="120">
        <v>6416</v>
      </c>
      <c r="LO53" s="120">
        <v>6287</v>
      </c>
      <c r="LP53" s="120">
        <v>6287</v>
      </c>
      <c r="LQ53" s="120"/>
      <c r="LR53" s="120"/>
      <c r="LS53" s="120"/>
      <c r="LT53" s="120"/>
      <c r="LU53" s="120">
        <v>6287</v>
      </c>
      <c r="LV53" s="120">
        <v>6466</v>
      </c>
      <c r="LW53" s="125">
        <v>6466</v>
      </c>
      <c r="LX53" s="120">
        <v>6148</v>
      </c>
      <c r="LY53" s="120">
        <v>6416</v>
      </c>
      <c r="LZ53" s="120"/>
      <c r="MA53" s="105"/>
      <c r="MB53" s="120">
        <v>5737</v>
      </c>
      <c r="MC53" s="120">
        <v>5737</v>
      </c>
      <c r="MD53" s="120">
        <v>5737</v>
      </c>
      <c r="ME53" s="120">
        <v>5716</v>
      </c>
      <c r="MF53" s="120">
        <v>5716</v>
      </c>
      <c r="MG53" s="120"/>
      <c r="MH53" s="120"/>
      <c r="MI53" s="120">
        <v>5687</v>
      </c>
      <c r="MJ53" s="120">
        <v>5687</v>
      </c>
      <c r="MK53" s="120">
        <v>5894</v>
      </c>
      <c r="ML53" s="120">
        <v>5894</v>
      </c>
      <c r="MM53" s="120">
        <v>5716</v>
      </c>
      <c r="MN53" s="120"/>
      <c r="MO53" s="120"/>
      <c r="MP53" s="120">
        <v>5716</v>
      </c>
      <c r="MQ53" s="120">
        <v>5716</v>
      </c>
      <c r="MR53" s="120">
        <v>5716</v>
      </c>
      <c r="MS53" s="120">
        <v>5716</v>
      </c>
      <c r="MT53" s="120">
        <v>5716</v>
      </c>
      <c r="MU53" s="120"/>
      <c r="MV53" s="120"/>
      <c r="MW53" s="120">
        <v>5716</v>
      </c>
      <c r="MX53" s="120">
        <v>5716</v>
      </c>
      <c r="MY53" s="120">
        <v>5716</v>
      </c>
      <c r="MZ53" s="120">
        <v>5716</v>
      </c>
      <c r="NA53" s="120">
        <v>5716</v>
      </c>
      <c r="NB53" s="120"/>
      <c r="NC53" s="127"/>
    </row>
    <row r="54" spans="1:367" x14ac:dyDescent="0.25">
      <c r="A54" s="106" t="s">
        <v>185</v>
      </c>
      <c r="B54" s="107"/>
      <c r="C54" s="107"/>
      <c r="D54" s="108">
        <f>AVERAGE(6350,6450)</f>
        <v>6400</v>
      </c>
      <c r="E54" s="108">
        <f>AVERAGE(6350,6450)</f>
        <v>6400</v>
      </c>
      <c r="F54" s="109">
        <f>AVERAGE(6735,6755)</f>
        <v>6745</v>
      </c>
      <c r="G54" s="110">
        <v>6695</v>
      </c>
      <c r="H54" s="110">
        <f>AVERAGE(6600,6790)</f>
        <v>6695</v>
      </c>
      <c r="I54" s="111"/>
      <c r="J54" s="111"/>
      <c r="K54" s="113">
        <f>AVERAGE(6780,6800)</f>
        <v>6790</v>
      </c>
      <c r="L54" s="113">
        <f>AVERAGE(6780,6800)</f>
        <v>6790</v>
      </c>
      <c r="M54" s="113">
        <f>AVERAGE(6780,6800)</f>
        <v>6790</v>
      </c>
      <c r="N54" s="113">
        <f>AVERAGE(6780,6800)</f>
        <v>6790</v>
      </c>
      <c r="O54" s="113">
        <f>AVERAGE(6500,6550)</f>
        <v>6525</v>
      </c>
      <c r="P54" s="111"/>
      <c r="Q54" s="111"/>
      <c r="R54" s="98">
        <f>AVERAGE(6500,6550)</f>
        <v>6525</v>
      </c>
      <c r="S54" s="98">
        <f>AVERAGE(6500,6550)</f>
        <v>6525</v>
      </c>
      <c r="T54" s="98">
        <f>AVERAGE(6500,6550)</f>
        <v>6525</v>
      </c>
      <c r="U54" s="98">
        <f>AVERAGE(6500,6550)</f>
        <v>6525</v>
      </c>
      <c r="V54" s="98">
        <f>AVERAGE(6500,6550)</f>
        <v>6525</v>
      </c>
      <c r="W54" s="111"/>
      <c r="X54" s="111"/>
      <c r="Y54" s="98">
        <f>AVERAGE(6490,6740)</f>
        <v>6615</v>
      </c>
      <c r="Z54" s="98">
        <f>AVERAGE(6490,6740)</f>
        <v>6615</v>
      </c>
      <c r="AA54" s="98">
        <f>AVERAGE(6490,6740)</f>
        <v>6615</v>
      </c>
      <c r="AB54" s="98">
        <f>AVERAGE(6464,6765)</f>
        <v>6614.5</v>
      </c>
      <c r="AC54" s="98">
        <f>AVERAGE(6465,6765)</f>
        <v>6615</v>
      </c>
      <c r="AD54" s="111"/>
      <c r="AE54" s="111"/>
      <c r="AF54" s="98">
        <f>AVERAGE(6465,6770)</f>
        <v>6617.5</v>
      </c>
      <c r="AG54" s="98">
        <f>AVERAGE(6465,6770)</f>
        <v>6617.5</v>
      </c>
      <c r="AH54" s="98">
        <f>AVERAGE(6465,6770)</f>
        <v>6617.5</v>
      </c>
      <c r="AI54" s="98">
        <f>AVERAGE(6465,6770)</f>
        <v>6617.5</v>
      </c>
      <c r="AJ54" s="98">
        <f>AVERAGE(6830,6850)</f>
        <v>6840</v>
      </c>
      <c r="AK54" s="111"/>
      <c r="AL54" s="98"/>
      <c r="AM54" s="98">
        <f>AVERAGE(6965,6985)</f>
        <v>6975</v>
      </c>
      <c r="AN54" s="98">
        <f>AVERAGE(6965,6985)</f>
        <v>6975</v>
      </c>
      <c r="AO54" s="98">
        <f>AVERAGE(6610,6630)</f>
        <v>6620</v>
      </c>
      <c r="AP54" s="98">
        <f>AVERAGE(6816,6836)</f>
        <v>6826</v>
      </c>
      <c r="AQ54" s="98">
        <f>AVERAGE(6800,6870)</f>
        <v>6835</v>
      </c>
      <c r="AR54" s="111"/>
      <c r="AS54" s="111"/>
      <c r="AT54" s="98">
        <f>AVERAGE(6800,6870)</f>
        <v>6835</v>
      </c>
      <c r="AU54" s="98">
        <f>AVERAGE(6800,6870)</f>
        <v>6835</v>
      </c>
      <c r="AV54" s="98">
        <f>AVERAGE(6730,6750)</f>
        <v>6740</v>
      </c>
      <c r="AW54" s="98">
        <f>AVERAGE(6730,6750)</f>
        <v>6740</v>
      </c>
      <c r="AX54" s="98">
        <f>AVERAGE(6776,6778)</f>
        <v>6777</v>
      </c>
      <c r="AY54" s="111"/>
      <c r="AZ54" s="111"/>
      <c r="BA54" s="98">
        <f>AVERAGE(6714,6830)</f>
        <v>6772</v>
      </c>
      <c r="BB54" s="98">
        <f>AVERAGE(6714,6830)</f>
        <v>6772</v>
      </c>
      <c r="BC54" s="98">
        <f>AVERAGE(6826,6890)</f>
        <v>6858</v>
      </c>
      <c r="BD54" s="98">
        <f>AVERAGE(6826,6976)</f>
        <v>6901</v>
      </c>
      <c r="BE54" s="98">
        <f>AVERAGE(6885,6895)</f>
        <v>6890</v>
      </c>
      <c r="BF54" s="111"/>
      <c r="BG54" s="111"/>
      <c r="BH54" s="98">
        <f>AVERAGE(6885,6895)</f>
        <v>6890</v>
      </c>
      <c r="BI54" s="98">
        <f>AVERAGE(6885,6895)</f>
        <v>6890</v>
      </c>
      <c r="BJ54" s="98">
        <f>AVERAGE(6885,6930)</f>
        <v>6907.5</v>
      </c>
      <c r="BK54" s="98">
        <f>AVERAGE(6900,7030)</f>
        <v>6965</v>
      </c>
      <c r="BL54" s="98">
        <f>AVERAGE(6940,7170)</f>
        <v>7055</v>
      </c>
      <c r="BM54" s="111"/>
      <c r="BN54" s="111"/>
      <c r="BO54" s="98">
        <f>AVERAGE(7350,7450)</f>
        <v>7400</v>
      </c>
      <c r="BP54" s="98">
        <f>AVERAGE(7405,7415)</f>
        <v>7410</v>
      </c>
      <c r="BQ54" s="98">
        <f>AVERAGE(7495,7505)</f>
        <v>7500</v>
      </c>
      <c r="BR54" s="98">
        <f>AVERAGE(7495,7505)</f>
        <v>7500</v>
      </c>
      <c r="BS54" s="98">
        <f>AVERAGE(7285,7295)</f>
        <v>7290</v>
      </c>
      <c r="BT54" s="111"/>
      <c r="BU54" s="111"/>
      <c r="BV54" s="98">
        <f>AVERAGE(7390,7520)</f>
        <v>7455</v>
      </c>
      <c r="BW54" s="98">
        <f>AVERAGE(7450,7530)</f>
        <v>7490</v>
      </c>
      <c r="BX54" s="98">
        <f>AVERAGE(7450,7530)</f>
        <v>7490</v>
      </c>
      <c r="BY54" s="98">
        <f>AVERAGE(7450,7520)</f>
        <v>7485</v>
      </c>
      <c r="BZ54" s="98">
        <f>AVERAGE(7450,7697)</f>
        <v>7573.5</v>
      </c>
      <c r="CA54" s="111"/>
      <c r="CB54" s="111"/>
      <c r="CC54" s="98">
        <f>AVERAGE(7315,7415)</f>
        <v>7365</v>
      </c>
      <c r="CD54" s="98">
        <f>AVERAGE(7450,7545)</f>
        <v>7497.5</v>
      </c>
      <c r="CE54" s="98">
        <f>AVERAGE(7231,7326)</f>
        <v>7278.5</v>
      </c>
      <c r="CF54" s="98">
        <f>AVERAGE(7220,7315)</f>
        <v>7267.5</v>
      </c>
      <c r="CG54" s="98">
        <f>AVERAGE(7115,7315)</f>
        <v>7215</v>
      </c>
      <c r="CH54" s="111"/>
      <c r="CI54" s="111"/>
      <c r="CJ54" s="98">
        <f>AVERAGE(7245,7255)</f>
        <v>7250</v>
      </c>
      <c r="CK54" s="98">
        <f>AVERAGE(7240,7260)</f>
        <v>7250</v>
      </c>
      <c r="CL54" s="98">
        <f>AVERAGE(7015,7115)</f>
        <v>7065</v>
      </c>
      <c r="CM54" s="98">
        <f>AVERAGE(7015,7115)</f>
        <v>7065</v>
      </c>
      <c r="CN54" s="98">
        <f>AVERAGE(6915,7015)</f>
        <v>6965</v>
      </c>
      <c r="CO54" s="111"/>
      <c r="CP54" s="111"/>
      <c r="CQ54" s="98">
        <f>AVERAGE(6715,6915)</f>
        <v>6815</v>
      </c>
      <c r="CR54" s="98">
        <f>AVERAGE(6682,6692)</f>
        <v>6687</v>
      </c>
      <c r="CS54" s="98">
        <f>AVERAGE(6682,6692)</f>
        <v>6687</v>
      </c>
      <c r="CT54" s="98">
        <f>AVERAGE(6626,6636)</f>
        <v>6631</v>
      </c>
      <c r="CU54" s="98">
        <f>AVERAGE(6495,6505)</f>
        <v>6500</v>
      </c>
      <c r="CV54" s="111"/>
      <c r="CW54" s="111"/>
      <c r="CX54" s="98">
        <f>AVERAGE(6495,6505)</f>
        <v>6500</v>
      </c>
      <c r="CY54" s="98">
        <f>AVERAGE(6495,6505)</f>
        <v>6500</v>
      </c>
      <c r="CZ54" s="98">
        <f>AVERAGE(6495,6505)</f>
        <v>6500</v>
      </c>
      <c r="DA54" s="98">
        <f>AVERAGE(6495,6505)</f>
        <v>6500</v>
      </c>
      <c r="DB54" s="98">
        <f>AVERAGE(6495,6505)</f>
        <v>6500</v>
      </c>
      <c r="DC54" s="111"/>
      <c r="DD54" s="111"/>
      <c r="DE54" s="98">
        <f>AVERAGE(6495,6505)</f>
        <v>6500</v>
      </c>
      <c r="DF54" s="98">
        <f>AVERAGE(6495,6505)</f>
        <v>6500</v>
      </c>
      <c r="DG54" s="98">
        <f>AVERAGE(6495,6505)</f>
        <v>6500</v>
      </c>
      <c r="DH54" s="98">
        <f>AVERAGE(6495,6505)</f>
        <v>6500</v>
      </c>
      <c r="DI54" s="98">
        <f>AVERAGE(6495,6505)</f>
        <v>6500</v>
      </c>
      <c r="DJ54" s="111"/>
      <c r="DK54" s="111"/>
      <c r="DL54" s="98">
        <f>AVERAGE(6495,6505)</f>
        <v>6500</v>
      </c>
      <c r="DM54" s="98">
        <f>AVERAGE(7307,7347)</f>
        <v>7327</v>
      </c>
      <c r="DN54" s="98">
        <f>AVERAGE(7490,7547)</f>
        <v>7518.5</v>
      </c>
      <c r="DO54" s="98">
        <f>AVERAGE(7490,7697)</f>
        <v>7593.5</v>
      </c>
      <c r="DP54" s="98">
        <f>AVERAGE(7490,7697)</f>
        <v>7593.5</v>
      </c>
      <c r="DQ54" s="111"/>
      <c r="DR54" s="111"/>
      <c r="DS54" s="98">
        <f>AVERAGE(7337,7587)</f>
        <v>7462</v>
      </c>
      <c r="DT54" s="98">
        <f>AVERAGE(7337,7587)</f>
        <v>7462</v>
      </c>
      <c r="DU54" s="98">
        <f>AVERAGE(7195,7205)</f>
        <v>7200</v>
      </c>
      <c r="DV54" s="98">
        <f>AVERAGE(7695,7705)</f>
        <v>7700</v>
      </c>
      <c r="DW54" s="98">
        <f>AVERAGE(7745,7755)</f>
        <v>7750</v>
      </c>
      <c r="DX54" s="111"/>
      <c r="DY54" s="111"/>
      <c r="DZ54" s="98">
        <f>AVERAGE(7617,7627)</f>
        <v>7622</v>
      </c>
      <c r="EA54" s="98">
        <f>AVERAGE(7630,7640)</f>
        <v>7635</v>
      </c>
      <c r="EB54" s="98">
        <f>AVERAGE(7450,7535)</f>
        <v>7492.5</v>
      </c>
      <c r="EC54" s="98">
        <f>AVERAGE(7792,7802)</f>
        <v>7797</v>
      </c>
      <c r="ED54" s="98">
        <f>AVERAGE(7445)</f>
        <v>7445</v>
      </c>
      <c r="EE54" s="111"/>
      <c r="EF54" s="111"/>
      <c r="EG54" s="98">
        <f>AVERAGE(7635,7805)</f>
        <v>7720</v>
      </c>
      <c r="EH54" s="98">
        <f>AVERAGE(7896,7946)</f>
        <v>7921</v>
      </c>
      <c r="EI54" s="98">
        <f>AVERAGE(7550,7600)</f>
        <v>7575</v>
      </c>
      <c r="EJ54" s="98">
        <f>AVERAGE(7630,7640)</f>
        <v>7635</v>
      </c>
      <c r="EK54" s="98">
        <f>AVERAGE(7470,7647)</f>
        <v>7558.5</v>
      </c>
      <c r="EL54" s="111"/>
      <c r="EM54" s="111"/>
      <c r="EN54" s="98">
        <f>AVERAGE(7470,7647)</f>
        <v>7558.5</v>
      </c>
      <c r="EO54" s="98">
        <f>AVERAGE(7242,7252)</f>
        <v>7247</v>
      </c>
      <c r="EP54" s="98">
        <f>AVERAGE(7115,7274)</f>
        <v>7194.5</v>
      </c>
      <c r="EQ54" s="98">
        <f>AVERAGE(7169,7179)</f>
        <v>7174</v>
      </c>
      <c r="ER54" s="98">
        <f>AVERAGE(6941,6951)</f>
        <v>6946</v>
      </c>
      <c r="ES54" s="111"/>
      <c r="ET54" s="111"/>
      <c r="EU54" s="98">
        <f>AVERAGE(6941,6951)</f>
        <v>6946</v>
      </c>
      <c r="EV54" s="98">
        <f>AVERAGE(7024,7074)</f>
        <v>7049</v>
      </c>
      <c r="EW54" s="98">
        <f>AVERAGE(7065,7075)</f>
        <v>7070</v>
      </c>
      <c r="EX54" s="98">
        <f>AVERAGE(6959,7209)</f>
        <v>7084</v>
      </c>
      <c r="EY54" s="98">
        <f>AVERAGE(7219,7229)</f>
        <v>7224</v>
      </c>
      <c r="EZ54" s="111"/>
      <c r="FA54" s="111"/>
      <c r="FB54" s="98">
        <f>AVERAGE(7354,7364)</f>
        <v>7359</v>
      </c>
      <c r="FC54" s="98">
        <f>AVERAGE(7169,7179)</f>
        <v>7174</v>
      </c>
      <c r="FD54" s="98">
        <f>AVERAGE(7269,7279)</f>
        <v>7274</v>
      </c>
      <c r="FE54" s="98">
        <f>AVERAGE(7269,7279)</f>
        <v>7274</v>
      </c>
      <c r="FF54" s="98">
        <f>AVERAGE(7269,7279)</f>
        <v>7274</v>
      </c>
      <c r="FG54" s="111"/>
      <c r="FH54" s="111"/>
      <c r="FI54" s="98">
        <f>AVERAGE(7194,7204)</f>
        <v>7199</v>
      </c>
      <c r="FJ54" s="98">
        <f>AVERAGE(6796,7199)</f>
        <v>6997.5</v>
      </c>
      <c r="FK54" s="98">
        <f>AVERAGE(7174,7202)</f>
        <v>7188</v>
      </c>
      <c r="FL54" s="98">
        <f>AVERAGE(7174,7202)</f>
        <v>7188</v>
      </c>
      <c r="FM54" s="98">
        <f>AVERAGE(7174,7202)</f>
        <v>7188</v>
      </c>
      <c r="FN54" s="111"/>
      <c r="FO54" s="111"/>
      <c r="FP54" s="98">
        <f>AVERAGE(7174,7202)</f>
        <v>7188</v>
      </c>
      <c r="FQ54" s="98">
        <f>AVERAGE(7174,7202)</f>
        <v>7188</v>
      </c>
      <c r="FR54" s="98">
        <f>AVERAGE(7081,7091)</f>
        <v>7086</v>
      </c>
      <c r="FS54" s="98">
        <f>AVERAGE(6604,6736)</f>
        <v>6670</v>
      </c>
      <c r="FT54" s="98">
        <f>AVERAGE(6549,6559)</f>
        <v>6554</v>
      </c>
      <c r="FU54" s="111"/>
      <c r="FV54" s="111"/>
      <c r="FW54" s="98">
        <f>AVERAGE(6731,6741)</f>
        <v>6736</v>
      </c>
      <c r="FX54" s="98">
        <f>AVERAGE(6686,6786)</f>
        <v>6736</v>
      </c>
      <c r="FY54" s="98">
        <f>AVERAGE(6694,6714)</f>
        <v>6704</v>
      </c>
      <c r="FZ54" s="98">
        <f>AVERAGE(6694,6714)</f>
        <v>6704</v>
      </c>
      <c r="GA54" s="98">
        <f>AVERAGE(6694,6714)</f>
        <v>6704</v>
      </c>
      <c r="GB54" s="111"/>
      <c r="GC54" s="111"/>
      <c r="GD54" s="98">
        <f>AVERAGE(6694,6714)</f>
        <v>6704</v>
      </c>
      <c r="GE54" s="98">
        <f>AVERAGE(6694,6714)</f>
        <v>6704</v>
      </c>
      <c r="GF54" s="98">
        <f>(6374+6384)/2</f>
        <v>6379</v>
      </c>
      <c r="GG54" s="98">
        <f>(6316+6406)/2</f>
        <v>6361</v>
      </c>
      <c r="GH54" s="98">
        <v>6304</v>
      </c>
      <c r="GI54" s="111"/>
      <c r="GJ54" s="111"/>
      <c r="GK54" s="121">
        <f>(6286+6386)/2</f>
        <v>6336</v>
      </c>
      <c r="GL54" s="121">
        <v>6586</v>
      </c>
      <c r="GM54" s="121">
        <v>6224</v>
      </c>
      <c r="GN54" s="121">
        <v>6204</v>
      </c>
      <c r="GO54" s="121">
        <v>6154</v>
      </c>
      <c r="GP54" s="121"/>
      <c r="GQ54" s="121"/>
      <c r="GR54" s="121">
        <v>6248</v>
      </c>
      <c r="GS54" s="121">
        <v>6250</v>
      </c>
      <c r="GT54" s="121">
        <v>6787</v>
      </c>
      <c r="GU54" s="121">
        <v>6022</v>
      </c>
      <c r="GV54" s="121">
        <v>6022</v>
      </c>
      <c r="GW54" s="121"/>
      <c r="GX54" s="121"/>
      <c r="GY54" s="121">
        <v>6022</v>
      </c>
      <c r="GZ54" s="121">
        <v>6120</v>
      </c>
      <c r="HA54" s="121">
        <f>(5990+6192)/2</f>
        <v>6091</v>
      </c>
      <c r="HB54" s="121">
        <v>6120</v>
      </c>
      <c r="HC54" s="121">
        <v>6120</v>
      </c>
      <c r="HD54" s="121"/>
      <c r="HE54" s="121"/>
      <c r="HF54" s="121">
        <v>6021</v>
      </c>
      <c r="HG54" s="121">
        <v>6124</v>
      </c>
      <c r="HH54" s="121">
        <v>6041</v>
      </c>
      <c r="HI54" s="121">
        <f>AVERAGE(5910,6172)</f>
        <v>6041</v>
      </c>
      <c r="HJ54" s="121">
        <v>5880</v>
      </c>
      <c r="HK54" s="121"/>
      <c r="HL54" s="121"/>
      <c r="HM54" s="121">
        <v>5850</v>
      </c>
      <c r="HN54" s="121">
        <v>5850</v>
      </c>
      <c r="HO54" s="121">
        <v>6001</v>
      </c>
      <c r="HP54" s="121">
        <v>6041</v>
      </c>
      <c r="HQ54" s="121">
        <v>6041</v>
      </c>
      <c r="HR54" s="121"/>
      <c r="HS54" s="121"/>
      <c r="HT54" s="121">
        <v>6152</v>
      </c>
      <c r="HU54" s="121">
        <v>6152</v>
      </c>
      <c r="HV54" s="121">
        <v>6152</v>
      </c>
      <c r="HW54" s="121">
        <v>6110</v>
      </c>
      <c r="HX54" s="121">
        <v>6110</v>
      </c>
      <c r="HY54" s="121"/>
      <c r="HZ54" s="121"/>
      <c r="IA54" s="121">
        <v>6110</v>
      </c>
      <c r="IB54" s="121">
        <v>6110</v>
      </c>
      <c r="IC54" s="121">
        <v>6110</v>
      </c>
      <c r="ID54" s="121">
        <v>5890</v>
      </c>
      <c r="IE54" s="121">
        <v>6065</v>
      </c>
      <c r="IF54" s="111"/>
      <c r="IG54" s="111"/>
      <c r="IH54" s="121">
        <v>6066</v>
      </c>
      <c r="II54" s="121">
        <v>6066</v>
      </c>
      <c r="IJ54" s="121">
        <v>6217</v>
      </c>
      <c r="IK54" s="121">
        <v>6266</v>
      </c>
      <c r="IL54" s="121">
        <v>6058</v>
      </c>
      <c r="IM54" s="121"/>
      <c r="IN54" s="121"/>
      <c r="IO54" s="121">
        <v>6058</v>
      </c>
      <c r="IP54" s="121">
        <v>6058</v>
      </c>
      <c r="IQ54" s="121">
        <v>6058</v>
      </c>
      <c r="IR54" s="121">
        <v>5842</v>
      </c>
      <c r="IS54" s="121">
        <v>5905</v>
      </c>
      <c r="IT54" s="121"/>
      <c r="IU54" s="121"/>
      <c r="IV54" s="121">
        <v>5791</v>
      </c>
      <c r="IW54" s="121">
        <v>5791</v>
      </c>
      <c r="IX54" s="121">
        <v>5791</v>
      </c>
      <c r="IY54" s="121">
        <v>5791</v>
      </c>
      <c r="IZ54" s="121">
        <v>5791</v>
      </c>
      <c r="JA54" s="121"/>
      <c r="JB54" s="121"/>
      <c r="JC54" s="121">
        <v>5791</v>
      </c>
      <c r="JD54" s="121">
        <v>5755</v>
      </c>
      <c r="JE54" s="121">
        <v>5771</v>
      </c>
      <c r="JF54" s="121">
        <v>5771</v>
      </c>
      <c r="JG54" s="121">
        <v>5625</v>
      </c>
      <c r="JH54" s="111"/>
      <c r="JI54" s="111"/>
      <c r="JJ54" s="121">
        <v>5555</v>
      </c>
      <c r="JK54" s="126">
        <v>5555</v>
      </c>
      <c r="JL54" s="126">
        <v>5555</v>
      </c>
      <c r="JM54" s="121">
        <v>5163</v>
      </c>
      <c r="JN54" s="121">
        <v>5613</v>
      </c>
      <c r="JO54" s="121"/>
      <c r="JP54" s="121"/>
      <c r="JQ54" s="121">
        <v>5805</v>
      </c>
      <c r="JR54" s="121">
        <v>5345</v>
      </c>
      <c r="JS54" s="121">
        <v>5444</v>
      </c>
      <c r="JT54" s="121">
        <v>5671</v>
      </c>
      <c r="JU54" s="121">
        <v>5671</v>
      </c>
      <c r="JV54" s="121"/>
      <c r="JW54" s="121"/>
      <c r="JX54" s="121">
        <v>5655</v>
      </c>
      <c r="JY54" s="121">
        <v>5532</v>
      </c>
      <c r="JZ54" s="121">
        <v>5532</v>
      </c>
      <c r="KA54" s="121">
        <v>5532</v>
      </c>
      <c r="KB54" s="121">
        <v>5659</v>
      </c>
      <c r="KC54" s="121"/>
      <c r="KD54" s="121"/>
      <c r="KE54" s="121">
        <v>5981</v>
      </c>
      <c r="KF54" s="121">
        <v>6001</v>
      </c>
      <c r="KG54" s="121">
        <v>6137</v>
      </c>
      <c r="KH54" s="121">
        <v>6137</v>
      </c>
      <c r="KI54" s="121">
        <v>6137</v>
      </c>
      <c r="KJ54" s="121"/>
      <c r="KK54" s="121"/>
      <c r="KL54" s="121">
        <v>6137</v>
      </c>
      <c r="KM54" s="121">
        <v>6137</v>
      </c>
      <c r="KN54" s="121">
        <v>6378</v>
      </c>
      <c r="KO54" s="121">
        <v>6378</v>
      </c>
      <c r="KP54" s="121">
        <v>6378</v>
      </c>
      <c r="KQ54" s="111"/>
      <c r="KR54" s="111"/>
      <c r="KS54" s="121">
        <v>6262</v>
      </c>
      <c r="KT54" s="121">
        <v>6578</v>
      </c>
      <c r="KU54" s="121">
        <v>6578</v>
      </c>
      <c r="KV54" s="121">
        <v>6578</v>
      </c>
      <c r="KW54" s="121">
        <v>6578</v>
      </c>
      <c r="KX54" s="121"/>
      <c r="KY54" s="121"/>
      <c r="KZ54" s="121">
        <v>6578</v>
      </c>
      <c r="LA54" s="121">
        <v>6578</v>
      </c>
      <c r="LB54" s="121">
        <v>6528</v>
      </c>
      <c r="LC54" s="121">
        <v>6606</v>
      </c>
      <c r="LD54" s="121">
        <v>6590</v>
      </c>
      <c r="LE54" s="121"/>
      <c r="LF54" s="121"/>
      <c r="LG54" s="121">
        <v>6568</v>
      </c>
      <c r="LH54" s="121">
        <v>6568</v>
      </c>
      <c r="LI54" s="121">
        <v>6568</v>
      </c>
      <c r="LJ54" s="121">
        <v>6274</v>
      </c>
      <c r="LK54" s="121">
        <v>6478</v>
      </c>
      <c r="LL54" s="121"/>
      <c r="LM54" s="121"/>
      <c r="LN54" s="121">
        <v>6478</v>
      </c>
      <c r="LO54" s="121">
        <v>6373</v>
      </c>
      <c r="LP54" s="121">
        <v>6373</v>
      </c>
      <c r="LQ54" s="121"/>
      <c r="LR54" s="121"/>
      <c r="LS54" s="121"/>
      <c r="LT54" s="121"/>
      <c r="LU54" s="121">
        <v>6373</v>
      </c>
      <c r="LV54" s="121">
        <v>6515</v>
      </c>
      <c r="LW54" s="126">
        <v>6515</v>
      </c>
      <c r="LX54" s="121">
        <v>6199</v>
      </c>
      <c r="LY54" s="121">
        <v>5823</v>
      </c>
      <c r="LZ54" s="121"/>
      <c r="MA54" s="111"/>
      <c r="MB54" s="121">
        <v>5823</v>
      </c>
      <c r="MC54" s="121">
        <v>5823</v>
      </c>
      <c r="MD54" s="121">
        <v>5823</v>
      </c>
      <c r="ME54" s="121">
        <v>5765</v>
      </c>
      <c r="MF54" s="121">
        <v>5765</v>
      </c>
      <c r="MG54" s="121"/>
      <c r="MH54" s="121"/>
      <c r="MI54" s="121">
        <v>5773</v>
      </c>
      <c r="MJ54" s="121">
        <v>5773</v>
      </c>
      <c r="MK54" s="121">
        <v>6016</v>
      </c>
      <c r="ML54" s="121">
        <v>6016</v>
      </c>
      <c r="MM54" s="121">
        <v>5765</v>
      </c>
      <c r="MN54" s="121"/>
      <c r="MO54" s="121"/>
      <c r="MP54" s="121">
        <v>5765</v>
      </c>
      <c r="MQ54" s="121">
        <v>5940</v>
      </c>
      <c r="MR54" s="121">
        <v>5940</v>
      </c>
      <c r="MS54" s="121">
        <v>5940</v>
      </c>
      <c r="MT54" s="121">
        <v>5940</v>
      </c>
      <c r="MU54" s="121"/>
      <c r="MV54" s="121"/>
      <c r="MW54" s="121">
        <v>5940</v>
      </c>
      <c r="MX54" s="121">
        <v>5940</v>
      </c>
      <c r="MY54" s="121">
        <v>5940</v>
      </c>
      <c r="MZ54" s="121">
        <v>5940</v>
      </c>
      <c r="NA54" s="121">
        <v>5940</v>
      </c>
      <c r="NB54" s="128"/>
      <c r="NC54" s="127"/>
    </row>
    <row r="55" spans="1:367" s="57" customFormat="1" x14ac:dyDescent="0.25">
      <c r="A55" s="78" t="s">
        <v>186</v>
      </c>
      <c r="B55" s="78"/>
      <c r="C55" s="78"/>
      <c r="D55" s="22">
        <v>6767</v>
      </c>
      <c r="E55" s="22">
        <v>6767</v>
      </c>
      <c r="F55" s="22">
        <v>6767</v>
      </c>
      <c r="G55" s="22">
        <v>6767</v>
      </c>
      <c r="H55" s="22">
        <v>6700</v>
      </c>
      <c r="I55" s="22"/>
      <c r="J55" s="22"/>
      <c r="K55" s="22">
        <v>6700</v>
      </c>
      <c r="L55" s="22">
        <v>6700</v>
      </c>
      <c r="M55" s="22">
        <v>6700</v>
      </c>
      <c r="N55" s="22">
        <v>6675</v>
      </c>
      <c r="O55" s="22">
        <v>6675</v>
      </c>
      <c r="P55" s="22"/>
      <c r="Q55" s="22"/>
      <c r="R55" s="22">
        <v>6675</v>
      </c>
      <c r="S55" s="22">
        <v>6675</v>
      </c>
      <c r="T55" s="22">
        <v>6670</v>
      </c>
      <c r="U55" s="22">
        <v>6680</v>
      </c>
      <c r="V55" s="22">
        <v>6680</v>
      </c>
      <c r="W55" s="22"/>
      <c r="X55" s="22"/>
      <c r="Y55" s="22">
        <v>6680</v>
      </c>
      <c r="Z55" s="22">
        <v>6680</v>
      </c>
      <c r="AA55" s="22">
        <v>6680</v>
      </c>
      <c r="AB55" s="22">
        <v>6680</v>
      </c>
      <c r="AC55" s="22">
        <v>6675</v>
      </c>
      <c r="AD55" s="22"/>
      <c r="AE55" s="22"/>
      <c r="AF55" s="22">
        <v>6705</v>
      </c>
      <c r="AG55" s="22">
        <v>6705</v>
      </c>
      <c r="AH55" s="22">
        <v>6727</v>
      </c>
      <c r="AI55" s="22">
        <v>6749</v>
      </c>
      <c r="AJ55" s="22">
        <v>6765</v>
      </c>
      <c r="AK55" s="22"/>
      <c r="AL55" s="22"/>
      <c r="AM55" s="22">
        <v>6660</v>
      </c>
      <c r="AN55" s="22">
        <v>6820</v>
      </c>
      <c r="AO55" s="22">
        <v>6600</v>
      </c>
      <c r="AP55" s="22">
        <v>6765</v>
      </c>
      <c r="AQ55" s="22">
        <v>6765</v>
      </c>
      <c r="AR55" s="22"/>
      <c r="AS55" s="22"/>
      <c r="AT55" s="22">
        <v>6870</v>
      </c>
      <c r="AU55" s="22">
        <v>6770</v>
      </c>
      <c r="AV55" s="22">
        <v>6740</v>
      </c>
      <c r="AW55" s="22">
        <v>6760</v>
      </c>
      <c r="AX55" s="22">
        <v>6760</v>
      </c>
      <c r="AY55" s="22"/>
      <c r="AZ55" s="22"/>
      <c r="BA55" s="22">
        <v>6645</v>
      </c>
      <c r="BB55" s="22">
        <v>6645</v>
      </c>
      <c r="BC55" s="22">
        <v>6910</v>
      </c>
      <c r="BD55" s="22">
        <v>6910</v>
      </c>
      <c r="BE55" s="22">
        <v>7203</v>
      </c>
      <c r="BF55" s="22"/>
      <c r="BG55" s="78"/>
      <c r="BH55" s="22">
        <v>7203</v>
      </c>
      <c r="BI55" s="22">
        <v>7203</v>
      </c>
      <c r="BJ55" s="22">
        <v>7203</v>
      </c>
      <c r="BK55" s="22">
        <v>7083</v>
      </c>
      <c r="BL55" s="22">
        <v>6920</v>
      </c>
      <c r="BM55" s="22"/>
      <c r="BN55" s="22"/>
      <c r="BO55" s="22">
        <v>7505</v>
      </c>
      <c r="BP55" s="22">
        <v>7295</v>
      </c>
      <c r="BQ55" s="22">
        <v>7295</v>
      </c>
      <c r="BR55" s="22">
        <v>7375</v>
      </c>
      <c r="BS55" s="22">
        <v>7325</v>
      </c>
      <c r="BT55" s="22"/>
      <c r="BU55" s="22"/>
      <c r="BV55" s="22">
        <v>7445</v>
      </c>
      <c r="BW55" s="22">
        <v>7445</v>
      </c>
      <c r="BX55" s="22">
        <v>7475</v>
      </c>
      <c r="BY55" s="22">
        <v>7475</v>
      </c>
      <c r="BZ55" s="22">
        <v>7335</v>
      </c>
      <c r="CA55" s="22"/>
      <c r="CB55" s="22"/>
      <c r="CC55" s="22">
        <v>7335</v>
      </c>
      <c r="CD55" s="22">
        <v>7335</v>
      </c>
      <c r="CE55" s="22">
        <v>7055</v>
      </c>
      <c r="CF55" s="22">
        <v>7055</v>
      </c>
      <c r="CG55" s="22">
        <v>7065</v>
      </c>
      <c r="CH55" s="22"/>
      <c r="CI55" s="22"/>
      <c r="CJ55" s="22">
        <v>7065</v>
      </c>
      <c r="CK55" s="22">
        <v>6880</v>
      </c>
      <c r="CL55" s="22">
        <v>6880</v>
      </c>
      <c r="CM55" s="22">
        <v>6763</v>
      </c>
      <c r="CN55" s="22">
        <v>6763</v>
      </c>
      <c r="CO55" s="22"/>
      <c r="CP55" s="22"/>
      <c r="CQ55" s="22">
        <v>6655</v>
      </c>
      <c r="CR55" s="22">
        <v>6655</v>
      </c>
      <c r="CS55" s="22">
        <v>6685</v>
      </c>
      <c r="CT55" s="22">
        <v>6685</v>
      </c>
      <c r="CU55" s="22">
        <v>6525</v>
      </c>
      <c r="CV55" s="22"/>
      <c r="CW55" s="22"/>
      <c r="CX55" s="22">
        <v>6525</v>
      </c>
      <c r="CY55" s="22">
        <v>6590</v>
      </c>
      <c r="CZ55" s="22">
        <v>6585</v>
      </c>
      <c r="DA55" s="22">
        <v>7185</v>
      </c>
      <c r="DB55" s="22">
        <v>7185</v>
      </c>
      <c r="DC55" s="22"/>
      <c r="DD55" s="22"/>
      <c r="DE55" s="22">
        <v>6910</v>
      </c>
      <c r="DF55" s="22">
        <v>6960</v>
      </c>
      <c r="DG55" s="22">
        <v>6960</v>
      </c>
      <c r="DH55" s="22">
        <v>6960</v>
      </c>
      <c r="DI55" s="22">
        <v>6960</v>
      </c>
      <c r="DJ55" s="22"/>
      <c r="DK55" s="22"/>
      <c r="DL55" s="22">
        <v>7080</v>
      </c>
      <c r="DM55" s="22">
        <v>7295</v>
      </c>
      <c r="DN55" s="22">
        <v>7474</v>
      </c>
      <c r="DO55" s="22">
        <v>7415</v>
      </c>
      <c r="DP55" s="22">
        <v>7415</v>
      </c>
      <c r="DQ55" s="22"/>
      <c r="DR55" s="22"/>
      <c r="DS55" s="22">
        <v>7285</v>
      </c>
      <c r="DT55" s="22">
        <v>7400</v>
      </c>
      <c r="DU55" s="22">
        <v>7725</v>
      </c>
      <c r="DV55" s="22">
        <v>7725</v>
      </c>
      <c r="DW55" s="22">
        <v>7725</v>
      </c>
      <c r="DX55" s="22"/>
      <c r="DY55" s="22"/>
      <c r="DZ55" s="22">
        <v>7615</v>
      </c>
      <c r="EA55" s="22">
        <v>7615</v>
      </c>
      <c r="EB55" s="22">
        <v>7615</v>
      </c>
      <c r="EC55" s="22">
        <v>7790</v>
      </c>
      <c r="ED55" s="22">
        <v>7685</v>
      </c>
      <c r="EE55" s="22"/>
      <c r="EF55" s="22"/>
      <c r="EG55" s="22">
        <v>7685</v>
      </c>
      <c r="EH55" s="22">
        <v>7685</v>
      </c>
      <c r="EI55" s="22">
        <v>7685</v>
      </c>
      <c r="EJ55" s="22">
        <v>7595</v>
      </c>
      <c r="EK55" s="22">
        <v>7500</v>
      </c>
      <c r="EL55" s="22"/>
      <c r="EM55" s="22"/>
      <c r="EN55" s="22">
        <v>7295</v>
      </c>
      <c r="EO55" s="22">
        <v>7125</v>
      </c>
      <c r="EP55" s="22">
        <v>7105</v>
      </c>
      <c r="EQ55" s="22">
        <v>7220</v>
      </c>
      <c r="ER55" s="22">
        <v>7220</v>
      </c>
      <c r="ES55" s="22"/>
      <c r="ET55" s="22"/>
      <c r="EU55" s="22">
        <v>7220</v>
      </c>
      <c r="EV55" s="22">
        <v>6975</v>
      </c>
      <c r="EW55" s="22">
        <v>6975</v>
      </c>
      <c r="EX55" s="22">
        <v>7075</v>
      </c>
      <c r="EY55" s="22">
        <v>7075</v>
      </c>
      <c r="EZ55" s="22"/>
      <c r="FA55" s="22"/>
      <c r="FB55" s="22">
        <v>7075</v>
      </c>
      <c r="FC55" s="22">
        <v>7130</v>
      </c>
      <c r="FD55" s="22">
        <v>7230</v>
      </c>
      <c r="FE55" s="22">
        <v>7230</v>
      </c>
      <c r="FF55" s="22">
        <v>7300</v>
      </c>
      <c r="FG55" s="22"/>
      <c r="FH55" s="22"/>
      <c r="FI55" s="22">
        <v>7175</v>
      </c>
      <c r="FJ55" s="22">
        <v>7255</v>
      </c>
      <c r="FK55" s="22">
        <v>7180</v>
      </c>
      <c r="FL55" s="22">
        <v>7180</v>
      </c>
      <c r="FM55" s="22">
        <v>7075</v>
      </c>
      <c r="FN55" s="22"/>
      <c r="FO55" s="22"/>
      <c r="FP55" s="22">
        <v>7075</v>
      </c>
      <c r="FQ55" s="22">
        <v>6900</v>
      </c>
      <c r="FR55" s="22">
        <v>6750</v>
      </c>
      <c r="FS55" s="22">
        <v>6680</v>
      </c>
      <c r="FT55" s="22">
        <v>6540</v>
      </c>
      <c r="FU55" s="22"/>
      <c r="FV55" s="22"/>
      <c r="FW55" s="22">
        <v>6590</v>
      </c>
      <c r="FX55" s="22">
        <v>6730</v>
      </c>
      <c r="FY55" s="22">
        <v>6730</v>
      </c>
      <c r="FZ55" s="22">
        <v>6615</v>
      </c>
      <c r="GA55" s="22">
        <v>6545</v>
      </c>
      <c r="GB55" s="22"/>
      <c r="GC55" s="22"/>
      <c r="GD55" s="22">
        <v>6485</v>
      </c>
      <c r="GE55" s="22">
        <v>6215</v>
      </c>
      <c r="GF55" s="22">
        <v>6195</v>
      </c>
      <c r="GG55" s="22">
        <v>6195</v>
      </c>
      <c r="GH55" s="22">
        <v>6345</v>
      </c>
      <c r="GI55" s="22"/>
      <c r="GJ55" s="22"/>
      <c r="GK55" s="120">
        <v>6335</v>
      </c>
      <c r="GL55" s="120">
        <v>6385</v>
      </c>
      <c r="GM55" s="22">
        <v>6145</v>
      </c>
      <c r="GN55" s="120">
        <v>6145</v>
      </c>
      <c r="GO55" s="120">
        <v>6200</v>
      </c>
      <c r="GP55" s="120"/>
      <c r="GQ55" s="120"/>
      <c r="GR55" s="120">
        <v>6250</v>
      </c>
      <c r="GS55" s="120">
        <v>6250</v>
      </c>
      <c r="GT55" s="120">
        <v>6245</v>
      </c>
      <c r="GU55" s="22">
        <v>6200</v>
      </c>
      <c r="GV55" s="22">
        <v>6000</v>
      </c>
      <c r="GW55" s="22"/>
      <c r="GX55" s="22"/>
      <c r="GY55" s="22">
        <v>6000</v>
      </c>
      <c r="GZ55" s="120">
        <v>6025</v>
      </c>
      <c r="HA55" s="120">
        <v>5900</v>
      </c>
      <c r="HB55" s="120">
        <v>6050</v>
      </c>
      <c r="HC55" s="120">
        <v>6050</v>
      </c>
      <c r="HD55" s="120"/>
      <c r="HE55" s="120"/>
      <c r="HF55" s="120">
        <v>5895</v>
      </c>
      <c r="HG55" s="120">
        <v>5895</v>
      </c>
      <c r="HH55" s="120">
        <v>5995</v>
      </c>
      <c r="HI55" s="120">
        <v>5995</v>
      </c>
      <c r="HJ55" s="120">
        <v>5990</v>
      </c>
      <c r="HK55" s="120"/>
      <c r="HL55" s="120"/>
      <c r="HM55" s="120">
        <v>5880</v>
      </c>
      <c r="HN55" s="120">
        <v>5850</v>
      </c>
      <c r="HO55" s="120">
        <v>5850</v>
      </c>
      <c r="HP55" s="120">
        <v>6080</v>
      </c>
      <c r="HQ55" s="120">
        <v>6080</v>
      </c>
      <c r="HR55" s="120"/>
      <c r="HS55" s="120"/>
      <c r="HT55" s="120">
        <v>6075</v>
      </c>
      <c r="HU55" s="120">
        <v>6075</v>
      </c>
      <c r="HV55" s="120"/>
      <c r="HW55" s="120"/>
      <c r="HX55" s="120">
        <v>6010</v>
      </c>
      <c r="HY55" s="120"/>
      <c r="HZ55" s="120"/>
      <c r="IA55" s="120">
        <v>6010</v>
      </c>
      <c r="IB55" s="120">
        <v>6040</v>
      </c>
      <c r="IC55" s="120">
        <v>5980</v>
      </c>
      <c r="ID55" s="120">
        <v>5980</v>
      </c>
      <c r="IE55" s="120">
        <v>5980</v>
      </c>
      <c r="IF55" s="22"/>
      <c r="IG55" s="22"/>
      <c r="IH55" s="120">
        <v>5980</v>
      </c>
      <c r="II55" s="120">
        <v>5980</v>
      </c>
      <c r="IJ55" s="120">
        <v>6175</v>
      </c>
      <c r="IK55" s="120">
        <v>6225</v>
      </c>
      <c r="IL55" s="120">
        <v>6080</v>
      </c>
      <c r="IM55" s="120"/>
      <c r="IN55" s="120"/>
      <c r="IO55" s="120">
        <v>6080</v>
      </c>
      <c r="IP55" s="120">
        <v>5850</v>
      </c>
      <c r="IQ55" s="120">
        <v>5850</v>
      </c>
      <c r="IR55" s="120">
        <v>5850</v>
      </c>
      <c r="IS55" s="120">
        <v>5920</v>
      </c>
      <c r="IT55" s="120"/>
      <c r="IU55" s="120"/>
      <c r="IV55" s="120">
        <v>5920</v>
      </c>
      <c r="IW55" s="120">
        <v>5500</v>
      </c>
      <c r="IX55" s="120">
        <v>5500</v>
      </c>
      <c r="IY55" s="120">
        <v>5500</v>
      </c>
      <c r="IZ55" s="120">
        <v>5500</v>
      </c>
      <c r="JA55" s="120"/>
      <c r="JB55" s="120"/>
      <c r="JC55" s="125">
        <v>5605</v>
      </c>
      <c r="JD55" s="120">
        <v>5605</v>
      </c>
      <c r="JE55" s="120">
        <v>5710</v>
      </c>
      <c r="JF55" s="120">
        <v>5540</v>
      </c>
      <c r="JG55" s="120">
        <v>5700</v>
      </c>
      <c r="JH55" s="22"/>
      <c r="JI55" s="22"/>
      <c r="JJ55" s="120">
        <v>5700</v>
      </c>
      <c r="JK55" s="120">
        <v>5200</v>
      </c>
      <c r="JL55" s="120">
        <v>5050</v>
      </c>
      <c r="JM55" s="120">
        <v>5050</v>
      </c>
      <c r="JN55" s="120">
        <v>5175</v>
      </c>
      <c r="JO55" s="120"/>
      <c r="JP55" s="120"/>
      <c r="JQ55" s="120">
        <v>5200</v>
      </c>
      <c r="JR55" s="120">
        <v>5350</v>
      </c>
      <c r="JS55" s="120">
        <v>5480</v>
      </c>
      <c r="JT55" s="120">
        <v>5680</v>
      </c>
      <c r="JU55" s="120">
        <v>5565</v>
      </c>
      <c r="JV55" s="120"/>
      <c r="JW55" s="120"/>
      <c r="JX55" s="120">
        <v>5620</v>
      </c>
      <c r="JY55" s="120">
        <v>5550</v>
      </c>
      <c r="JZ55" s="120">
        <v>5550</v>
      </c>
      <c r="KA55" s="120">
        <v>5630</v>
      </c>
      <c r="KB55" s="120">
        <v>5630</v>
      </c>
      <c r="KC55" s="120"/>
      <c r="KD55" s="120"/>
      <c r="KE55" s="120">
        <v>5990</v>
      </c>
      <c r="KF55" s="120">
        <v>6170</v>
      </c>
      <c r="KG55" s="120">
        <v>6170</v>
      </c>
      <c r="KH55" s="120">
        <v>6170</v>
      </c>
      <c r="KI55" s="120">
        <v>6170</v>
      </c>
      <c r="KJ55" s="120"/>
      <c r="KK55" s="120"/>
      <c r="KL55" s="120">
        <v>6170</v>
      </c>
      <c r="KM55" s="120">
        <v>6075</v>
      </c>
      <c r="KN55" s="120">
        <v>6380</v>
      </c>
      <c r="KO55" s="120">
        <v>6380</v>
      </c>
      <c r="KP55" s="120">
        <v>6380</v>
      </c>
      <c r="KQ55" s="22"/>
      <c r="KR55" s="22"/>
      <c r="KS55" s="120">
        <v>6416</v>
      </c>
      <c r="KT55" s="120">
        <v>6365</v>
      </c>
      <c r="KU55" s="120">
        <v>6365</v>
      </c>
      <c r="KV55" s="120">
        <v>6440</v>
      </c>
      <c r="KW55" s="120">
        <v>6440</v>
      </c>
      <c r="KX55" s="120"/>
      <c r="KY55" s="120"/>
      <c r="KZ55" s="120">
        <v>6440</v>
      </c>
      <c r="LA55" s="120">
        <v>6440</v>
      </c>
      <c r="LB55" s="120">
        <v>6530</v>
      </c>
      <c r="LC55" s="120">
        <v>6490</v>
      </c>
      <c r="LD55" s="120">
        <v>6590</v>
      </c>
      <c r="LE55" s="120"/>
      <c r="LF55" s="120"/>
      <c r="LG55" s="120">
        <v>6590</v>
      </c>
      <c r="LH55" s="120">
        <v>6415</v>
      </c>
      <c r="LI55" s="120">
        <v>6415</v>
      </c>
      <c r="LJ55" s="120">
        <v>6120</v>
      </c>
      <c r="LK55" s="120">
        <v>6475</v>
      </c>
      <c r="LL55" s="120"/>
      <c r="LM55" s="120"/>
      <c r="LN55" s="120">
        <v>6405</v>
      </c>
      <c r="LO55" s="120">
        <v>6380</v>
      </c>
      <c r="LP55" s="120">
        <v>6290</v>
      </c>
      <c r="LQ55" s="120">
        <v>6290</v>
      </c>
      <c r="LR55" s="120">
        <v>6290</v>
      </c>
      <c r="LS55" s="120"/>
      <c r="LT55" s="120"/>
      <c r="LU55" s="120">
        <v>6125</v>
      </c>
      <c r="LV55" s="120">
        <v>6225</v>
      </c>
      <c r="LW55" s="120">
        <v>5820</v>
      </c>
      <c r="LX55" s="120">
        <v>5945</v>
      </c>
      <c r="LY55" s="120"/>
      <c r="LZ55" s="120"/>
      <c r="MA55" s="22"/>
      <c r="MB55" s="22">
        <v>5845</v>
      </c>
      <c r="MC55" s="22">
        <v>5845</v>
      </c>
      <c r="MD55" s="129">
        <v>5825</v>
      </c>
      <c r="ME55" s="31">
        <v>5725</v>
      </c>
      <c r="MF55" s="31">
        <v>5725</v>
      </c>
      <c r="MG55" s="31"/>
      <c r="MH55" s="31"/>
      <c r="MI55" s="31">
        <v>5760</v>
      </c>
      <c r="MJ55" s="31">
        <v>5760</v>
      </c>
      <c r="MK55" s="31">
        <v>5790</v>
      </c>
      <c r="ML55" s="31">
        <v>5790</v>
      </c>
      <c r="MM55" s="31">
        <v>5790</v>
      </c>
      <c r="MN55" s="31"/>
      <c r="MO55" s="31"/>
      <c r="MP55" s="31">
        <v>5790</v>
      </c>
      <c r="MQ55" s="31">
        <v>5790</v>
      </c>
      <c r="MR55" s="31">
        <v>5790</v>
      </c>
      <c r="MS55" s="31">
        <v>5790</v>
      </c>
      <c r="MT55" s="31">
        <v>5790</v>
      </c>
      <c r="MU55" s="31"/>
      <c r="MV55" s="31"/>
      <c r="MW55" s="31">
        <v>5910</v>
      </c>
      <c r="MX55" s="31">
        <v>5910</v>
      </c>
      <c r="MY55" s="31">
        <v>5910</v>
      </c>
      <c r="MZ55" s="31">
        <v>5910</v>
      </c>
      <c r="NA55" s="31">
        <v>5910</v>
      </c>
      <c r="NB55" s="31"/>
      <c r="NC55" s="128"/>
    </row>
    <row r="56" spans="1:367" s="68" customFormat="1" x14ac:dyDescent="0.25">
      <c r="A56" s="68" t="s">
        <v>187</v>
      </c>
      <c r="D56" s="110">
        <v>6689</v>
      </c>
      <c r="E56" s="110">
        <v>6689</v>
      </c>
      <c r="F56" s="110">
        <v>6689</v>
      </c>
      <c r="G56" s="110">
        <v>6689</v>
      </c>
      <c r="H56" s="110">
        <v>6689</v>
      </c>
      <c r="I56" s="28"/>
      <c r="J56" s="28"/>
      <c r="K56" s="28">
        <v>6600</v>
      </c>
      <c r="L56" s="28">
        <v>6605</v>
      </c>
      <c r="M56" s="28">
        <v>6587</v>
      </c>
      <c r="N56" s="28">
        <v>6470</v>
      </c>
      <c r="O56" s="28">
        <v>6575</v>
      </c>
      <c r="P56" s="28"/>
      <c r="Q56" s="28"/>
      <c r="R56" s="28">
        <v>6438</v>
      </c>
      <c r="S56" s="28">
        <v>6438</v>
      </c>
      <c r="T56" s="28">
        <v>6578</v>
      </c>
      <c r="U56" s="28">
        <v>6612</v>
      </c>
      <c r="V56" s="28">
        <v>6651</v>
      </c>
      <c r="W56" s="28"/>
      <c r="X56" s="28"/>
      <c r="Y56" s="28">
        <v>6661</v>
      </c>
      <c r="Z56" s="28">
        <v>6700</v>
      </c>
      <c r="AA56" s="28">
        <v>6700</v>
      </c>
      <c r="AB56" s="28">
        <v>6757</v>
      </c>
      <c r="AC56" s="28">
        <v>6755</v>
      </c>
      <c r="AD56" s="28"/>
      <c r="AE56" s="28"/>
      <c r="AF56" s="28">
        <v>6618</v>
      </c>
      <c r="AG56" s="28">
        <v>6641</v>
      </c>
      <c r="AH56" s="28">
        <v>6662</v>
      </c>
      <c r="AI56" s="28">
        <v>6722</v>
      </c>
      <c r="AJ56" s="28">
        <v>6774</v>
      </c>
      <c r="AK56" s="28"/>
      <c r="AL56" s="28"/>
      <c r="AM56" s="28">
        <v>6738</v>
      </c>
      <c r="AN56" s="28">
        <v>6618</v>
      </c>
      <c r="AO56" s="28">
        <v>6745</v>
      </c>
      <c r="AP56" s="28">
        <v>6885</v>
      </c>
      <c r="AQ56" s="28">
        <v>7007</v>
      </c>
      <c r="AR56" s="28"/>
      <c r="AS56" s="28"/>
      <c r="AT56" s="28">
        <v>7009</v>
      </c>
      <c r="AU56" s="28">
        <v>7290</v>
      </c>
      <c r="AV56" s="28">
        <v>7035</v>
      </c>
      <c r="AW56" s="28">
        <v>6959</v>
      </c>
      <c r="AX56" s="28">
        <v>6645</v>
      </c>
      <c r="AY56" s="28"/>
      <c r="AZ56" s="28"/>
      <c r="BA56" s="28">
        <v>6894</v>
      </c>
      <c r="BB56" s="28">
        <v>7012</v>
      </c>
      <c r="BC56" s="28">
        <v>7012</v>
      </c>
      <c r="BD56" s="28">
        <v>7259</v>
      </c>
      <c r="BE56" s="28">
        <v>7139</v>
      </c>
      <c r="BF56" s="28"/>
      <c r="BH56" s="28">
        <v>7968</v>
      </c>
      <c r="BI56" s="28">
        <v>7968</v>
      </c>
      <c r="BJ56" s="28">
        <v>7968</v>
      </c>
      <c r="BK56" s="28">
        <v>7968</v>
      </c>
      <c r="BL56" s="28">
        <v>7912</v>
      </c>
      <c r="BM56" s="28"/>
      <c r="BN56" s="28"/>
      <c r="BO56" s="28">
        <v>8015</v>
      </c>
      <c r="BP56" s="28">
        <v>8128</v>
      </c>
      <c r="BQ56" s="28">
        <v>7803</v>
      </c>
      <c r="BR56" s="28">
        <v>7756</v>
      </c>
      <c r="BS56" s="28">
        <v>7784</v>
      </c>
      <c r="BT56" s="28"/>
      <c r="BU56" s="28"/>
      <c r="BV56" s="28">
        <v>7784</v>
      </c>
      <c r="BW56" s="28">
        <v>7782</v>
      </c>
      <c r="BX56" s="28">
        <v>7633</v>
      </c>
      <c r="BY56" s="28">
        <v>7494</v>
      </c>
      <c r="BZ56" s="28">
        <v>7126</v>
      </c>
      <c r="CA56" s="28"/>
      <c r="CB56" s="28"/>
      <c r="CC56" s="28">
        <v>7126</v>
      </c>
      <c r="CD56" s="28">
        <v>7188</v>
      </c>
      <c r="CE56" s="28">
        <v>7196</v>
      </c>
      <c r="CF56" s="28">
        <v>7095</v>
      </c>
      <c r="CG56" s="28">
        <v>7013</v>
      </c>
      <c r="CH56" s="28"/>
      <c r="CI56" s="28"/>
      <c r="CJ56" s="28">
        <v>7015</v>
      </c>
      <c r="CK56" s="28">
        <v>6902</v>
      </c>
      <c r="CL56" s="28">
        <v>6922</v>
      </c>
      <c r="CM56" s="28">
        <v>6922</v>
      </c>
      <c r="CN56" s="28">
        <v>6814</v>
      </c>
      <c r="CO56" s="28"/>
      <c r="CP56" s="28"/>
      <c r="CQ56" s="28">
        <v>6836</v>
      </c>
      <c r="CR56" s="28">
        <v>6836</v>
      </c>
      <c r="CS56" s="28">
        <v>6986</v>
      </c>
      <c r="CT56" s="28">
        <v>7070</v>
      </c>
      <c r="CU56" s="28">
        <v>7290</v>
      </c>
      <c r="CV56" s="28"/>
      <c r="CW56" s="28"/>
      <c r="CX56" s="28">
        <v>7218</v>
      </c>
      <c r="CY56" s="28">
        <v>7377</v>
      </c>
      <c r="CZ56" s="28">
        <v>7501</v>
      </c>
      <c r="DA56" s="28">
        <v>7571</v>
      </c>
      <c r="DB56" s="28">
        <v>7571</v>
      </c>
      <c r="DC56" s="28"/>
      <c r="DD56" s="28"/>
      <c r="DE56" s="28">
        <v>7328</v>
      </c>
      <c r="DF56" s="28">
        <v>7328</v>
      </c>
      <c r="DG56" s="28">
        <v>7268</v>
      </c>
      <c r="DH56" s="28">
        <v>7268</v>
      </c>
      <c r="DI56" s="28">
        <v>7700</v>
      </c>
      <c r="DJ56" s="28"/>
      <c r="DK56" s="28"/>
      <c r="DL56" s="28">
        <v>7833</v>
      </c>
      <c r="DM56" s="28">
        <v>8222</v>
      </c>
      <c r="DN56" s="28">
        <v>8155</v>
      </c>
      <c r="DO56" s="28">
        <v>8304</v>
      </c>
      <c r="DP56" s="28">
        <v>8109</v>
      </c>
      <c r="DQ56" s="28"/>
      <c r="DR56" s="28"/>
      <c r="DS56" s="28">
        <v>7947</v>
      </c>
      <c r="DT56" s="28">
        <v>7947</v>
      </c>
      <c r="DU56" s="28">
        <v>8048</v>
      </c>
      <c r="DV56" s="28">
        <v>8048</v>
      </c>
      <c r="DW56" s="28">
        <v>8109</v>
      </c>
      <c r="DX56" s="28"/>
      <c r="DY56" s="28"/>
      <c r="DZ56" s="28">
        <v>8177</v>
      </c>
      <c r="EA56" s="28">
        <v>8177</v>
      </c>
      <c r="EB56" s="28">
        <v>8339</v>
      </c>
      <c r="EC56" s="28">
        <v>8266</v>
      </c>
      <c r="ED56" s="28">
        <v>8207</v>
      </c>
      <c r="EE56" s="28"/>
      <c r="EF56" s="28"/>
      <c r="EG56" s="28">
        <v>8139</v>
      </c>
      <c r="EH56" s="28">
        <v>8139</v>
      </c>
      <c r="EI56" s="28">
        <v>7717</v>
      </c>
      <c r="EJ56" s="28">
        <v>7422</v>
      </c>
      <c r="EK56" s="28">
        <v>7524</v>
      </c>
      <c r="EL56" s="28"/>
      <c r="EM56" s="28"/>
      <c r="EN56" s="28">
        <v>7388</v>
      </c>
      <c r="EO56" s="28">
        <v>7443</v>
      </c>
      <c r="EP56" s="28">
        <v>7391</v>
      </c>
      <c r="EQ56" s="28">
        <v>7457</v>
      </c>
      <c r="ER56" s="28">
        <v>7326</v>
      </c>
      <c r="ES56" s="28"/>
      <c r="ET56" s="28"/>
      <c r="EU56" s="28">
        <v>7326</v>
      </c>
      <c r="EV56" s="28">
        <v>7227</v>
      </c>
      <c r="EW56" s="28">
        <v>7268</v>
      </c>
      <c r="EX56" s="28">
        <v>7509</v>
      </c>
      <c r="EY56" s="28">
        <v>7420</v>
      </c>
      <c r="EZ56" s="28"/>
      <c r="FA56" s="28"/>
      <c r="FB56" s="28">
        <v>7285</v>
      </c>
      <c r="FC56" s="28">
        <v>7345</v>
      </c>
      <c r="FD56" s="28">
        <v>7442</v>
      </c>
      <c r="FE56" s="28">
        <v>7340</v>
      </c>
      <c r="FF56" s="28">
        <v>7346</v>
      </c>
      <c r="FG56" s="28"/>
      <c r="FH56" s="28"/>
      <c r="FI56" s="28">
        <v>7442</v>
      </c>
      <c r="FJ56" s="28">
        <v>7333</v>
      </c>
      <c r="FK56" s="28">
        <v>7248</v>
      </c>
      <c r="FL56" s="28">
        <v>7248</v>
      </c>
      <c r="FM56" s="28">
        <v>6880</v>
      </c>
      <c r="FN56" s="28"/>
      <c r="FO56" s="28"/>
      <c r="FP56" s="28">
        <v>6898</v>
      </c>
      <c r="FQ56" s="28">
        <v>6898</v>
      </c>
      <c r="FR56" s="28">
        <v>6642</v>
      </c>
      <c r="FS56" s="28">
        <v>6391</v>
      </c>
      <c r="FT56" s="28">
        <v>6559</v>
      </c>
      <c r="FU56" s="28"/>
      <c r="FV56" s="28"/>
      <c r="FW56" s="28">
        <v>6600</v>
      </c>
      <c r="FX56" s="28">
        <v>6613</v>
      </c>
      <c r="FY56" s="28">
        <v>6628</v>
      </c>
      <c r="FZ56" s="28">
        <v>6528</v>
      </c>
      <c r="GA56" s="28">
        <v>6473</v>
      </c>
      <c r="GB56" s="28"/>
      <c r="GC56" s="28"/>
      <c r="GD56" s="28">
        <v>6474</v>
      </c>
      <c r="GE56" s="28">
        <v>6474</v>
      </c>
      <c r="GF56" s="28">
        <v>6234</v>
      </c>
      <c r="GG56" s="28">
        <v>6200</v>
      </c>
      <c r="GH56" s="28">
        <v>6356</v>
      </c>
      <c r="GI56" s="28"/>
      <c r="GJ56" s="28"/>
      <c r="GK56" s="28">
        <v>6329</v>
      </c>
      <c r="GL56" s="28">
        <v>6585</v>
      </c>
      <c r="GM56" s="28">
        <v>6113</v>
      </c>
      <c r="GN56" s="122">
        <v>6113</v>
      </c>
      <c r="GO56" s="122">
        <v>6168</v>
      </c>
      <c r="GP56" s="122"/>
      <c r="GQ56" s="122"/>
      <c r="GR56" s="122">
        <v>6432</v>
      </c>
      <c r="GS56" s="122">
        <v>6432</v>
      </c>
      <c r="GT56" s="122">
        <v>6265</v>
      </c>
      <c r="GU56" s="28">
        <v>6104</v>
      </c>
      <c r="GV56" s="28">
        <v>5940</v>
      </c>
      <c r="GW56" s="28"/>
      <c r="GX56" s="28"/>
      <c r="GY56" s="28">
        <v>6117</v>
      </c>
      <c r="GZ56" s="122">
        <v>5968</v>
      </c>
      <c r="HA56" s="28">
        <v>5946</v>
      </c>
      <c r="HB56" s="122">
        <v>6006</v>
      </c>
      <c r="HC56" s="122">
        <v>8606</v>
      </c>
      <c r="HD56" s="122"/>
      <c r="HE56" s="122"/>
      <c r="HF56" s="122">
        <v>6129</v>
      </c>
      <c r="HG56" s="122">
        <v>6096</v>
      </c>
      <c r="HH56" s="122">
        <v>6012</v>
      </c>
      <c r="HI56" s="122">
        <v>5821</v>
      </c>
      <c r="HJ56" s="122">
        <v>5867</v>
      </c>
      <c r="HK56" s="122"/>
      <c r="HL56" s="122"/>
      <c r="HM56" s="122">
        <v>6089</v>
      </c>
      <c r="HN56" s="122">
        <v>6161</v>
      </c>
      <c r="HO56" s="122">
        <v>6238</v>
      </c>
      <c r="HP56" s="122">
        <v>6209</v>
      </c>
      <c r="HQ56" s="122">
        <v>6337</v>
      </c>
      <c r="HR56" s="122"/>
      <c r="HS56" s="122"/>
      <c r="HT56" s="122">
        <v>6249</v>
      </c>
      <c r="HU56" s="122">
        <v>6166</v>
      </c>
      <c r="HV56" s="122"/>
      <c r="HW56" s="122"/>
      <c r="HX56" s="122">
        <v>5880</v>
      </c>
      <c r="HY56" s="122"/>
      <c r="HZ56" s="122"/>
      <c r="IA56" s="122">
        <v>6080</v>
      </c>
      <c r="IB56" s="122">
        <v>6139</v>
      </c>
      <c r="IC56" s="122">
        <v>6053</v>
      </c>
      <c r="ID56" s="122">
        <v>6033</v>
      </c>
      <c r="IE56" s="121">
        <v>6033</v>
      </c>
      <c r="IF56" s="28"/>
      <c r="IG56" s="28"/>
      <c r="IH56" s="121">
        <v>6140</v>
      </c>
      <c r="II56" s="121">
        <v>6094</v>
      </c>
      <c r="IJ56" s="121">
        <v>6264</v>
      </c>
      <c r="IK56" s="121">
        <v>6396</v>
      </c>
      <c r="IL56" s="121">
        <v>6178</v>
      </c>
      <c r="IM56" s="121"/>
      <c r="IN56" s="121"/>
      <c r="IO56" s="121">
        <v>6265</v>
      </c>
      <c r="IP56" s="121">
        <v>6229</v>
      </c>
      <c r="IQ56" s="121">
        <v>6229</v>
      </c>
      <c r="IR56" s="121">
        <v>5887</v>
      </c>
      <c r="IS56" s="121">
        <v>5664</v>
      </c>
      <c r="IT56" s="121"/>
      <c r="IU56" s="121"/>
      <c r="IV56" s="121">
        <v>5653</v>
      </c>
      <c r="IW56" s="121">
        <v>5585</v>
      </c>
      <c r="IX56" s="121">
        <v>5642</v>
      </c>
      <c r="IY56" s="121">
        <v>5541</v>
      </c>
      <c r="IZ56" s="121">
        <v>5672</v>
      </c>
      <c r="JA56" s="121"/>
      <c r="JB56" s="121"/>
      <c r="JC56" s="126">
        <v>5442</v>
      </c>
      <c r="JD56" s="121">
        <v>5442</v>
      </c>
      <c r="JE56" s="121">
        <v>5557</v>
      </c>
      <c r="JF56" s="121">
        <v>5286</v>
      </c>
      <c r="JG56" s="121">
        <v>5201</v>
      </c>
      <c r="JH56" s="28"/>
      <c r="JI56" s="28"/>
      <c r="JJ56" s="122">
        <v>5012</v>
      </c>
      <c r="JK56" s="122">
        <v>4993</v>
      </c>
      <c r="JL56" s="122">
        <v>5018</v>
      </c>
      <c r="JM56" s="122">
        <v>5057</v>
      </c>
      <c r="JN56" s="122">
        <v>5326</v>
      </c>
      <c r="JO56" s="122"/>
      <c r="JP56" s="122"/>
      <c r="JQ56" s="122">
        <v>5275</v>
      </c>
      <c r="JR56" s="122">
        <v>5210</v>
      </c>
      <c r="JS56" s="122">
        <v>5443</v>
      </c>
      <c r="JT56" s="122">
        <v>5671</v>
      </c>
      <c r="JU56" s="122">
        <v>5702</v>
      </c>
      <c r="JV56" s="122"/>
      <c r="JW56" s="122"/>
      <c r="JX56" s="122">
        <v>5757</v>
      </c>
      <c r="JY56" s="122">
        <v>5659</v>
      </c>
      <c r="JZ56" s="122">
        <v>5659</v>
      </c>
      <c r="KA56" s="122">
        <v>5774</v>
      </c>
      <c r="KB56" s="122">
        <v>5780</v>
      </c>
      <c r="KC56" s="122"/>
      <c r="KD56" s="122"/>
      <c r="KE56" s="122">
        <v>5760</v>
      </c>
      <c r="KF56" s="122">
        <v>5875</v>
      </c>
      <c r="KG56" s="122">
        <v>5842</v>
      </c>
      <c r="KH56" s="122">
        <v>6026</v>
      </c>
      <c r="KI56" s="122">
        <v>5947</v>
      </c>
      <c r="KJ56" s="122"/>
      <c r="KK56" s="122"/>
      <c r="KL56" s="122">
        <v>5975</v>
      </c>
      <c r="KM56" s="122">
        <v>6134</v>
      </c>
      <c r="KN56" s="122">
        <v>6291</v>
      </c>
      <c r="KO56" s="122">
        <v>6420</v>
      </c>
      <c r="KP56" s="122">
        <v>6200</v>
      </c>
      <c r="KQ56" s="28"/>
      <c r="KR56" s="28"/>
      <c r="KS56" s="122">
        <v>6478</v>
      </c>
      <c r="KT56" s="122">
        <v>6160</v>
      </c>
      <c r="KU56" s="122">
        <v>6160</v>
      </c>
      <c r="KV56" s="122">
        <v>6134</v>
      </c>
      <c r="KW56" s="122">
        <v>6374</v>
      </c>
      <c r="KX56" s="122"/>
      <c r="KY56" s="122"/>
      <c r="KZ56" s="122">
        <v>6340</v>
      </c>
      <c r="LA56" s="122">
        <v>6473</v>
      </c>
      <c r="LB56" s="122">
        <v>6368</v>
      </c>
      <c r="LC56" s="122">
        <v>6361</v>
      </c>
      <c r="LD56" s="122">
        <v>6605</v>
      </c>
      <c r="LE56" s="122"/>
      <c r="LF56" s="122"/>
      <c r="LG56" s="122">
        <v>6629</v>
      </c>
      <c r="LH56" s="122">
        <v>6472</v>
      </c>
      <c r="LI56" s="122">
        <v>6472</v>
      </c>
      <c r="LJ56" s="122">
        <v>6276</v>
      </c>
      <c r="LK56" s="122">
        <v>6236</v>
      </c>
      <c r="LL56" s="122"/>
      <c r="LM56" s="122"/>
      <c r="LN56" s="122">
        <v>6155</v>
      </c>
      <c r="LO56" s="122">
        <v>6102</v>
      </c>
      <c r="LP56" s="122">
        <v>6259</v>
      </c>
      <c r="LQ56" s="122">
        <v>6319</v>
      </c>
      <c r="LR56" s="122">
        <v>6255</v>
      </c>
      <c r="LS56" s="122"/>
      <c r="LT56" s="122"/>
      <c r="LU56" s="122">
        <v>6319</v>
      </c>
      <c r="LV56" s="122">
        <v>6259</v>
      </c>
      <c r="LW56" s="122">
        <v>6152</v>
      </c>
      <c r="LX56" s="122">
        <v>5746</v>
      </c>
      <c r="LY56" s="122"/>
      <c r="LZ56" s="122"/>
      <c r="MA56" s="28"/>
      <c r="MB56" s="28">
        <v>5490</v>
      </c>
      <c r="MC56" s="28">
        <v>5487</v>
      </c>
      <c r="MD56" s="130">
        <v>5437</v>
      </c>
      <c r="ME56" s="123">
        <v>5250</v>
      </c>
      <c r="MF56" s="123">
        <v>5340</v>
      </c>
      <c r="MG56" s="123"/>
      <c r="MH56" s="123"/>
      <c r="MI56" s="123">
        <v>5337</v>
      </c>
      <c r="MJ56" s="123">
        <v>5546</v>
      </c>
      <c r="MK56" s="123">
        <v>5916</v>
      </c>
      <c r="ML56" s="123">
        <v>5916</v>
      </c>
      <c r="MM56" s="123">
        <v>5916</v>
      </c>
      <c r="MN56" s="123"/>
      <c r="MO56" s="123"/>
      <c r="MP56" s="123">
        <v>5789</v>
      </c>
      <c r="MQ56" s="123">
        <v>5789</v>
      </c>
      <c r="MR56" s="123">
        <v>5789</v>
      </c>
      <c r="MS56" s="123">
        <v>5678</v>
      </c>
      <c r="MT56" s="123">
        <v>5678</v>
      </c>
      <c r="MU56" s="123"/>
      <c r="MV56" s="123"/>
      <c r="MW56" s="123">
        <v>5724</v>
      </c>
      <c r="MX56" s="123">
        <v>5882</v>
      </c>
      <c r="MY56" s="123">
        <v>5882</v>
      </c>
      <c r="MZ56" s="123">
        <v>5753</v>
      </c>
      <c r="NA56" s="123">
        <v>5823</v>
      </c>
      <c r="NB56" s="123"/>
      <c r="NC56" s="128"/>
    </row>
    <row r="57" spans="1:367" x14ac:dyDescent="0.25">
      <c r="A57" s="78" t="s">
        <v>189</v>
      </c>
      <c r="B57" s="69"/>
      <c r="C57" s="69"/>
      <c r="D57" s="115">
        <v>6502.8</v>
      </c>
      <c r="E57" s="115">
        <v>6502.8</v>
      </c>
      <c r="F57" s="115">
        <v>6502.8</v>
      </c>
      <c r="G57" s="115">
        <v>6502.8</v>
      </c>
      <c r="H57" s="115">
        <v>6502.8</v>
      </c>
      <c r="I57" s="115"/>
      <c r="J57" s="115"/>
      <c r="K57" s="31">
        <v>6494.39</v>
      </c>
      <c r="L57" s="31">
        <v>6494.39</v>
      </c>
      <c r="M57" s="31">
        <v>6494.39</v>
      </c>
      <c r="N57" s="31">
        <v>6494.39</v>
      </c>
      <c r="O57" s="31">
        <v>6494.39</v>
      </c>
      <c r="P57" s="31"/>
      <c r="Q57" s="31"/>
      <c r="R57" s="31">
        <v>6531.65</v>
      </c>
      <c r="S57" s="31">
        <v>6531.65</v>
      </c>
      <c r="T57" s="31">
        <v>6531.65</v>
      </c>
      <c r="U57" s="31">
        <v>6531.65</v>
      </c>
      <c r="V57" s="31">
        <v>6531.65</v>
      </c>
      <c r="W57" s="116"/>
      <c r="X57" s="116"/>
      <c r="Y57" s="31">
        <v>6517.8</v>
      </c>
      <c r="Z57" s="31">
        <v>6517.8</v>
      </c>
      <c r="AA57" s="31">
        <v>6517.8</v>
      </c>
      <c r="AB57" s="31">
        <v>6517.8</v>
      </c>
      <c r="AC57" s="31">
        <v>6517.8</v>
      </c>
      <c r="AD57" s="116"/>
      <c r="AE57" s="116"/>
      <c r="AF57" s="22">
        <v>6581.44</v>
      </c>
      <c r="AG57" s="22">
        <v>6581.44</v>
      </c>
      <c r="AH57" s="22">
        <v>6581.44</v>
      </c>
      <c r="AI57" s="22">
        <v>6581.44</v>
      </c>
      <c r="AJ57" s="22">
        <v>6581.44</v>
      </c>
      <c r="AK57" s="116"/>
      <c r="AL57" s="116"/>
      <c r="AM57" s="22">
        <v>6603.47</v>
      </c>
      <c r="AN57" s="22">
        <v>6603.47</v>
      </c>
      <c r="AO57" s="22">
        <v>6603.47</v>
      </c>
      <c r="AP57" s="22">
        <v>6603.47</v>
      </c>
      <c r="AQ57" s="22">
        <v>6603.47</v>
      </c>
      <c r="AR57" s="116"/>
      <c r="AS57" s="116"/>
      <c r="AT57" s="22">
        <v>6630.77</v>
      </c>
      <c r="AU57" s="22">
        <v>6630.77</v>
      </c>
      <c r="AV57" s="22">
        <v>6630.77</v>
      </c>
      <c r="AW57" s="22">
        <v>6630.77</v>
      </c>
      <c r="AX57" s="22">
        <v>6630.77</v>
      </c>
      <c r="AY57" s="116"/>
      <c r="AZ57" s="116"/>
      <c r="BA57" s="22">
        <v>6705.57</v>
      </c>
      <c r="BB57" s="22">
        <v>6705.57</v>
      </c>
      <c r="BC57" s="22">
        <v>6705.57</v>
      </c>
      <c r="BD57" s="22">
        <v>6705.57</v>
      </c>
      <c r="BE57" s="22">
        <v>6705.57</v>
      </c>
      <c r="BF57" s="116"/>
      <c r="BG57" s="73"/>
      <c r="BH57" s="22">
        <v>6790.68</v>
      </c>
      <c r="BI57" s="22">
        <v>6790.68</v>
      </c>
      <c r="BJ57" s="22">
        <v>6790.68</v>
      </c>
      <c r="BK57" s="22">
        <v>6790.68</v>
      </c>
      <c r="BL57" s="22">
        <v>6790.68</v>
      </c>
      <c r="BM57" s="116"/>
      <c r="BN57" s="116"/>
      <c r="BO57" s="22">
        <v>7052.47</v>
      </c>
      <c r="BP57" s="22">
        <v>7052.47</v>
      </c>
      <c r="BQ57" s="22">
        <v>7052.47</v>
      </c>
      <c r="BR57" s="22">
        <v>7052.47</v>
      </c>
      <c r="BS57" s="22">
        <v>7052.47</v>
      </c>
      <c r="BT57" s="116"/>
      <c r="BU57" s="116"/>
      <c r="BV57" s="22">
        <v>7221.5</v>
      </c>
      <c r="BW57" s="22">
        <v>7221.5</v>
      </c>
      <c r="BX57" s="22">
        <v>7221.5</v>
      </c>
      <c r="BY57" s="22">
        <v>7221.5</v>
      </c>
      <c r="BZ57" s="22">
        <v>7221.5</v>
      </c>
      <c r="CA57" s="116"/>
      <c r="CB57" s="116"/>
      <c r="CC57" s="22">
        <v>7257.27</v>
      </c>
      <c r="CD57" s="22">
        <v>7257.27</v>
      </c>
      <c r="CE57" s="22">
        <v>7257.27</v>
      </c>
      <c r="CF57" s="22">
        <v>7257.27</v>
      </c>
      <c r="CG57" s="22">
        <v>7257.27</v>
      </c>
      <c r="CH57" s="116"/>
      <c r="CI57" s="116"/>
      <c r="CJ57" s="31">
        <v>7132.21</v>
      </c>
      <c r="CK57" s="31">
        <v>7132.21</v>
      </c>
      <c r="CL57" s="31">
        <v>7132.21</v>
      </c>
      <c r="CM57" s="31">
        <v>7132.21</v>
      </c>
      <c r="CN57" s="31">
        <v>7132.21</v>
      </c>
      <c r="CO57" s="116"/>
      <c r="CP57" s="116"/>
      <c r="CQ57" s="22">
        <v>6914.25</v>
      </c>
      <c r="CR57" s="22">
        <v>6914.25</v>
      </c>
      <c r="CS57" s="22">
        <v>6914.25</v>
      </c>
      <c r="CT57" s="22">
        <v>6914.25</v>
      </c>
      <c r="CU57" s="22">
        <v>6914.25</v>
      </c>
      <c r="CV57" s="116"/>
      <c r="CW57" s="116"/>
      <c r="CX57" s="22">
        <v>6828.37</v>
      </c>
      <c r="CY57" s="22">
        <v>6828.37</v>
      </c>
      <c r="CZ57" s="22">
        <v>6828.37</v>
      </c>
      <c r="DA57" s="22">
        <v>6828.37</v>
      </c>
      <c r="DB57" s="22">
        <v>6828.37</v>
      </c>
      <c r="DC57" s="116"/>
      <c r="DD57" s="116"/>
      <c r="DE57" s="22">
        <v>6860.85</v>
      </c>
      <c r="DF57" s="22">
        <v>6860.85</v>
      </c>
      <c r="DG57" s="22">
        <v>6860.85</v>
      </c>
      <c r="DH57" s="22">
        <v>6860.85</v>
      </c>
      <c r="DI57" s="22">
        <v>6860.85</v>
      </c>
      <c r="DJ57" s="116"/>
      <c r="DK57" s="116"/>
      <c r="DL57" s="22">
        <v>6974.49</v>
      </c>
      <c r="DM57" s="22">
        <v>6974.49</v>
      </c>
      <c r="DN57" s="22">
        <v>6974.49</v>
      </c>
      <c r="DO57" s="22">
        <v>6974.49</v>
      </c>
      <c r="DP57" s="22">
        <v>6974.49</v>
      </c>
      <c r="DQ57" s="116"/>
      <c r="DR57" s="116"/>
      <c r="DS57" s="22">
        <v>7152.78</v>
      </c>
      <c r="DT57" s="22">
        <v>7152.78</v>
      </c>
      <c r="DU57" s="22">
        <v>7152.78</v>
      </c>
      <c r="DV57" s="22">
        <v>7152.78</v>
      </c>
      <c r="DW57" s="22">
        <v>7152.78</v>
      </c>
      <c r="DX57" s="116"/>
      <c r="DY57" s="116"/>
      <c r="DZ57" s="22">
        <v>7322.02</v>
      </c>
      <c r="EA57" s="22">
        <v>7322.02</v>
      </c>
      <c r="EB57" s="22">
        <v>7322.02</v>
      </c>
      <c r="EC57" s="22">
        <v>7322.02</v>
      </c>
      <c r="ED57" s="22">
        <v>7322.02</v>
      </c>
      <c r="EE57" s="116"/>
      <c r="EF57" s="116"/>
      <c r="EG57" s="22">
        <v>7387.34</v>
      </c>
      <c r="EH57" s="22">
        <v>7387.34</v>
      </c>
      <c r="EI57" s="22">
        <v>7387.34</v>
      </c>
      <c r="EJ57" s="22">
        <v>7387.34</v>
      </c>
      <c r="EK57" s="22">
        <v>7387.34</v>
      </c>
      <c r="EL57" s="116"/>
      <c r="EM57" s="116"/>
      <c r="EN57" s="22">
        <v>7384.07</v>
      </c>
      <c r="EO57" s="22">
        <v>7384.07</v>
      </c>
      <c r="EP57" s="22">
        <v>7384.07</v>
      </c>
      <c r="EQ57" s="22">
        <v>7384.07</v>
      </c>
      <c r="ER57" s="22">
        <v>7384.07</v>
      </c>
      <c r="ES57" s="116"/>
      <c r="ET57" s="116"/>
      <c r="EU57" s="116"/>
      <c r="EV57" s="116"/>
      <c r="EW57" s="116"/>
      <c r="EX57" s="116"/>
      <c r="EY57" s="116"/>
      <c r="EZ57" s="116"/>
      <c r="FA57" s="116"/>
      <c r="FB57" s="116"/>
      <c r="FC57" s="116"/>
      <c r="FD57" s="116"/>
      <c r="FE57" s="116"/>
      <c r="FF57" s="116"/>
      <c r="FG57" s="116"/>
      <c r="FH57" s="116"/>
      <c r="FI57" s="116"/>
      <c r="FJ57" s="116"/>
      <c r="FK57" s="116"/>
      <c r="FL57" s="116"/>
      <c r="FM57" s="116"/>
      <c r="FN57" s="116"/>
      <c r="FO57" s="116"/>
      <c r="FP57" s="116"/>
      <c r="FQ57" s="116"/>
      <c r="FR57" s="116"/>
      <c r="FS57" s="116"/>
      <c r="FT57" s="116"/>
      <c r="FU57" s="116"/>
      <c r="FV57" s="116"/>
      <c r="FW57" s="116"/>
      <c r="FX57" s="116"/>
      <c r="FY57" s="116"/>
      <c r="FZ57" s="116"/>
      <c r="GA57" s="116"/>
      <c r="GB57" s="116"/>
      <c r="GC57" s="116"/>
      <c r="GD57" s="116"/>
      <c r="GE57" s="116"/>
      <c r="GF57" s="116"/>
      <c r="GG57" s="116"/>
      <c r="GH57" s="116"/>
      <c r="GI57" s="116"/>
      <c r="GJ57" s="116"/>
      <c r="GK57" s="116"/>
      <c r="GL57" s="116"/>
      <c r="GM57" s="116"/>
      <c r="GN57" s="31"/>
      <c r="GO57" s="31"/>
      <c r="GP57" s="31"/>
      <c r="GQ57" s="31"/>
      <c r="GR57" s="31"/>
      <c r="GS57" s="31"/>
      <c r="GT57" s="31"/>
      <c r="GU57" s="116"/>
      <c r="GV57" s="116"/>
      <c r="GW57" s="116"/>
      <c r="GX57" s="116"/>
      <c r="GY57" s="116"/>
      <c r="GZ57" s="31"/>
      <c r="HA57" s="116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116"/>
      <c r="IF57" s="116"/>
      <c r="IG57" s="116"/>
      <c r="IH57" s="116"/>
      <c r="II57" s="116"/>
      <c r="IJ57" s="116"/>
      <c r="IK57" s="116"/>
      <c r="IL57" s="116"/>
      <c r="IM57" s="116"/>
      <c r="IN57" s="116"/>
      <c r="IO57" s="116"/>
      <c r="IP57" s="116"/>
      <c r="IQ57" s="116"/>
      <c r="IR57" s="116"/>
      <c r="IS57" s="116"/>
      <c r="IT57" s="116"/>
      <c r="IU57" s="116"/>
      <c r="IV57" s="116"/>
      <c r="IW57" s="116"/>
      <c r="IX57" s="116"/>
      <c r="IY57" s="116"/>
      <c r="IZ57" s="116"/>
      <c r="JA57" s="116"/>
      <c r="JB57" s="116"/>
      <c r="JC57" s="116"/>
      <c r="JD57" s="116"/>
      <c r="JE57" s="116"/>
      <c r="JF57" s="120"/>
      <c r="JG57" s="116"/>
      <c r="JH57" s="116"/>
      <c r="JI57" s="116"/>
      <c r="JJ57" s="116"/>
      <c r="JK57" s="116"/>
      <c r="JL57" s="116"/>
      <c r="JM57" s="116"/>
      <c r="JN57" s="116"/>
      <c r="JO57" s="116"/>
      <c r="JP57" s="116"/>
      <c r="JQ57" s="116"/>
      <c r="JR57" s="116"/>
      <c r="JS57" s="116"/>
      <c r="JT57" s="116"/>
      <c r="JU57" s="116"/>
      <c r="JV57" s="116"/>
      <c r="JW57" s="116"/>
      <c r="JX57" s="116"/>
      <c r="JY57" s="116"/>
      <c r="JZ57" s="116"/>
      <c r="KA57" s="116"/>
      <c r="KB57" s="116"/>
      <c r="KC57" s="116"/>
      <c r="KD57" s="116"/>
      <c r="KE57" s="116"/>
      <c r="KF57" s="116"/>
      <c r="KG57" s="116"/>
      <c r="KH57" s="116"/>
      <c r="KI57" s="116"/>
      <c r="KJ57" s="116"/>
      <c r="KK57" s="116"/>
      <c r="KL57" s="116"/>
      <c r="KM57" s="116"/>
      <c r="KN57" s="116"/>
      <c r="KO57" s="116"/>
      <c r="KP57" s="116"/>
      <c r="KQ57" s="116"/>
      <c r="KR57" s="116"/>
      <c r="KS57" s="116"/>
      <c r="KT57" s="116"/>
      <c r="KU57" s="116"/>
      <c r="KV57" s="116"/>
      <c r="KW57" s="116"/>
      <c r="KX57" s="116"/>
      <c r="KY57" s="116"/>
      <c r="KZ57" s="116"/>
      <c r="LA57" s="116"/>
      <c r="LB57" s="116"/>
      <c r="LC57" s="116"/>
      <c r="LD57" s="116"/>
      <c r="LE57" s="116"/>
      <c r="LF57" s="116"/>
      <c r="LG57" s="116"/>
      <c r="LH57" s="116"/>
      <c r="LI57" s="116"/>
      <c r="LJ57" s="116"/>
      <c r="LK57" s="116"/>
      <c r="LL57" s="116"/>
      <c r="LM57" s="116"/>
      <c r="LN57" s="116"/>
      <c r="LO57" s="116"/>
      <c r="LP57" s="116"/>
      <c r="LQ57" s="116"/>
      <c r="LR57" s="116"/>
      <c r="LS57" s="116"/>
      <c r="LT57" s="116"/>
      <c r="LU57" s="116"/>
      <c r="LV57" s="116"/>
      <c r="LW57" s="116"/>
      <c r="LX57" s="116"/>
      <c r="LY57" s="116"/>
      <c r="LZ57" s="116"/>
      <c r="MA57" s="116"/>
      <c r="MB57" s="116"/>
      <c r="MC57" s="116"/>
      <c r="MD57" s="116"/>
      <c r="ME57" s="31"/>
      <c r="MF57" s="31"/>
      <c r="MG57" s="31"/>
      <c r="MH57" s="31"/>
      <c r="MI57" s="31"/>
      <c r="MJ57" s="31"/>
      <c r="MK57" s="31"/>
      <c r="ML57" s="31"/>
      <c r="MM57" s="31"/>
      <c r="MN57" s="31"/>
      <c r="MO57" s="31"/>
      <c r="MP57" s="31"/>
      <c r="MQ57" s="31"/>
      <c r="MR57" s="31"/>
      <c r="MS57" s="31"/>
      <c r="MT57" s="31"/>
      <c r="MU57" s="31"/>
      <c r="MV57" s="31"/>
      <c r="MW57" s="31"/>
      <c r="MX57" s="31"/>
      <c r="MY57" s="31"/>
      <c r="MZ57" s="31"/>
      <c r="NA57" s="31"/>
      <c r="NB57" s="31"/>
      <c r="NC57" s="128"/>
    </row>
    <row r="58" spans="1:367" x14ac:dyDescent="0.25"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53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23"/>
      <c r="GO58" s="123"/>
      <c r="GP58" s="123"/>
      <c r="GQ58" s="123"/>
      <c r="GR58" s="123"/>
      <c r="GS58" s="123"/>
      <c r="GT58" s="123"/>
      <c r="GU58" s="17"/>
      <c r="GV58" s="17"/>
      <c r="GW58" s="17"/>
      <c r="GX58" s="17"/>
      <c r="GY58" s="17"/>
      <c r="GZ58" s="17"/>
      <c r="HA58" s="17"/>
      <c r="HB58" s="123"/>
      <c r="HC58" s="123"/>
      <c r="HD58" s="123"/>
      <c r="HE58" s="123"/>
      <c r="HF58" s="123"/>
      <c r="HG58" s="123"/>
      <c r="HH58" s="123"/>
      <c r="HI58" s="123"/>
      <c r="HJ58" s="123"/>
      <c r="HK58" s="123"/>
      <c r="HL58" s="123"/>
      <c r="HM58" s="123"/>
      <c r="HN58" s="123"/>
      <c r="HO58" s="123"/>
      <c r="HP58" s="123"/>
      <c r="HQ58" s="123"/>
      <c r="HR58" s="123"/>
      <c r="HS58" s="123"/>
      <c r="HT58" s="123"/>
      <c r="HU58" s="123"/>
      <c r="HV58" s="123"/>
      <c r="HW58" s="123"/>
      <c r="HX58" s="123"/>
      <c r="HY58" s="123"/>
      <c r="HZ58" s="123"/>
      <c r="IA58" s="123"/>
      <c r="IB58" s="123"/>
      <c r="IC58" s="123"/>
      <c r="ID58" s="123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  <c r="IX58" s="17"/>
      <c r="IY58" s="17"/>
      <c r="IZ58" s="17"/>
      <c r="JA58" s="17"/>
      <c r="JB58" s="17"/>
      <c r="JC58" s="17"/>
      <c r="JD58" s="17"/>
      <c r="JE58" s="17"/>
      <c r="JF58" s="17"/>
      <c r="JG58" s="17"/>
      <c r="JH58" s="17"/>
      <c r="JI58" s="17"/>
      <c r="JJ58" s="17"/>
      <c r="JK58" s="17"/>
      <c r="JL58" s="17"/>
      <c r="JM58" s="17"/>
      <c r="JN58" s="17"/>
      <c r="JO58" s="17"/>
      <c r="JP58" s="17"/>
      <c r="JQ58" s="17"/>
      <c r="JR58" s="17"/>
      <c r="JS58" s="17"/>
      <c r="JT58" s="17"/>
      <c r="JU58" s="17"/>
      <c r="JV58" s="17"/>
      <c r="JW58" s="17"/>
      <c r="JX58" s="17"/>
      <c r="JY58" s="17"/>
      <c r="JZ58" s="17"/>
      <c r="KA58" s="17"/>
      <c r="KB58" s="17"/>
      <c r="KC58" s="17"/>
      <c r="KD58" s="17"/>
      <c r="KE58" s="17"/>
      <c r="KF58" s="17"/>
      <c r="KG58" s="17"/>
      <c r="KH58" s="17"/>
      <c r="KI58" s="17"/>
      <c r="KJ58" s="17"/>
      <c r="KK58" s="17"/>
      <c r="KL58" s="17"/>
      <c r="KM58" s="17"/>
      <c r="KN58" s="17"/>
      <c r="KO58" s="17"/>
      <c r="KP58" s="17"/>
      <c r="KQ58" s="17"/>
      <c r="KR58" s="17"/>
      <c r="KS58" s="17"/>
      <c r="KT58" s="17"/>
      <c r="KU58" s="17"/>
      <c r="KV58" s="17"/>
      <c r="KW58" s="17"/>
      <c r="KX58" s="17"/>
      <c r="KY58" s="17"/>
      <c r="KZ58" s="17"/>
      <c r="LA58" s="17"/>
      <c r="LB58" s="17"/>
      <c r="LC58" s="17"/>
      <c r="LD58" s="17"/>
      <c r="LE58" s="17"/>
      <c r="LF58" s="17"/>
      <c r="LG58" s="17"/>
      <c r="LH58" s="17"/>
      <c r="LI58" s="17"/>
      <c r="LJ58" s="17"/>
      <c r="LK58" s="17"/>
      <c r="LL58" s="17"/>
      <c r="LM58" s="17"/>
      <c r="LN58" s="17"/>
      <c r="LO58" s="17"/>
      <c r="LP58" s="17"/>
      <c r="LQ58" s="17"/>
      <c r="LR58" s="17"/>
      <c r="LS58" s="17"/>
      <c r="LT58" s="17"/>
      <c r="LU58" s="17"/>
      <c r="LV58" s="17"/>
      <c r="LW58" s="17"/>
      <c r="LX58" s="17"/>
      <c r="LY58" s="17"/>
      <c r="LZ58" s="17"/>
      <c r="MA58" s="17"/>
      <c r="MB58" s="17"/>
      <c r="MC58" s="17"/>
      <c r="MD58" s="17"/>
      <c r="ME58" s="17"/>
      <c r="MF58" s="17"/>
      <c r="MG58" s="17"/>
      <c r="MH58" s="17"/>
      <c r="MI58" s="17"/>
      <c r="MJ58" s="17"/>
      <c r="MK58" s="17"/>
      <c r="ML58" s="17"/>
      <c r="MM58" s="17"/>
      <c r="MN58" s="17"/>
      <c r="MO58" s="17"/>
      <c r="MP58" s="17"/>
      <c r="MQ58" s="17"/>
      <c r="MR58" s="17"/>
      <c r="MS58" s="17"/>
      <c r="MT58" s="17"/>
      <c r="MU58" s="17"/>
      <c r="MV58" s="17"/>
      <c r="MW58" s="17"/>
      <c r="MX58" s="17"/>
      <c r="MY58" s="17"/>
      <c r="MZ58" s="17"/>
      <c r="NA58" s="17"/>
      <c r="NB58" s="17"/>
    </row>
    <row r="59" spans="1:367" x14ac:dyDescent="0.25"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53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23"/>
      <c r="HC59" s="123"/>
      <c r="HD59" s="123"/>
      <c r="HE59" s="123"/>
      <c r="HF59" s="123"/>
      <c r="HG59" s="123"/>
      <c r="HH59" s="123"/>
      <c r="HI59" s="123"/>
      <c r="HJ59" s="123"/>
      <c r="HK59" s="123"/>
      <c r="HL59" s="123"/>
      <c r="HM59" s="123"/>
      <c r="HN59" s="123"/>
      <c r="HO59" s="123"/>
      <c r="HP59" s="123"/>
      <c r="HQ59" s="123"/>
      <c r="HR59" s="123"/>
      <c r="HS59" s="123"/>
      <c r="HT59" s="123"/>
      <c r="HU59" s="123"/>
      <c r="HV59" s="123"/>
      <c r="HW59" s="123"/>
      <c r="HX59" s="123"/>
      <c r="HY59" s="123"/>
      <c r="HZ59" s="123"/>
      <c r="IA59" s="123"/>
      <c r="IB59" s="123"/>
      <c r="IC59" s="123"/>
      <c r="ID59" s="123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  <c r="IY59" s="17"/>
      <c r="IZ59" s="17"/>
      <c r="JA59" s="17"/>
      <c r="JB59" s="17"/>
      <c r="JC59" s="17"/>
      <c r="JD59" s="17"/>
      <c r="JE59" s="17"/>
      <c r="JF59" s="17"/>
      <c r="JG59" s="17"/>
      <c r="JH59" s="17"/>
      <c r="JI59" s="17"/>
      <c r="JJ59" s="17"/>
      <c r="JK59" s="17"/>
      <c r="JL59" s="17"/>
      <c r="JM59" s="17"/>
      <c r="JN59" s="17"/>
      <c r="JO59" s="17"/>
      <c r="JP59" s="17"/>
      <c r="JQ59" s="17"/>
      <c r="JR59" s="17"/>
      <c r="JS59" s="17"/>
      <c r="JT59" s="17"/>
      <c r="JU59" s="17"/>
      <c r="JV59" s="17"/>
      <c r="JW59" s="17"/>
      <c r="JX59" s="17"/>
      <c r="JY59" s="17"/>
      <c r="JZ59" s="17"/>
      <c r="KA59" s="17"/>
      <c r="KB59" s="17"/>
      <c r="KC59" s="17"/>
      <c r="KD59" s="17"/>
      <c r="KE59" s="17"/>
      <c r="KF59" s="17"/>
      <c r="KG59" s="17"/>
      <c r="KH59" s="17"/>
      <c r="KI59" s="17"/>
      <c r="KJ59" s="17"/>
      <c r="KK59" s="17"/>
      <c r="KL59" s="17"/>
      <c r="KM59" s="17"/>
      <c r="KN59" s="17"/>
      <c r="KO59" s="17"/>
      <c r="KP59" s="17"/>
      <c r="KQ59" s="17"/>
      <c r="KR59" s="17"/>
      <c r="KS59" s="17"/>
      <c r="KT59" s="17"/>
      <c r="KU59" s="17"/>
      <c r="KV59" s="17"/>
      <c r="KW59" s="17"/>
      <c r="KX59" s="17"/>
      <c r="KY59" s="17"/>
      <c r="KZ59" s="17"/>
      <c r="LA59" s="17"/>
      <c r="LB59" s="17"/>
      <c r="LC59" s="17"/>
      <c r="LD59" s="17"/>
      <c r="LE59" s="17"/>
      <c r="LF59" s="17"/>
      <c r="LG59" s="17"/>
      <c r="LH59" s="17"/>
      <c r="LI59" s="17"/>
      <c r="LJ59" s="17"/>
      <c r="LK59" s="17"/>
      <c r="LL59" s="17"/>
      <c r="LM59" s="17"/>
      <c r="LN59" s="17"/>
      <c r="LO59" s="17"/>
      <c r="LP59" s="17"/>
      <c r="LQ59" s="17"/>
      <c r="LR59" s="17"/>
      <c r="LS59" s="17"/>
      <c r="LT59" s="17"/>
      <c r="LU59" s="17"/>
      <c r="LV59" s="17"/>
      <c r="LW59" s="17"/>
      <c r="LX59" s="17"/>
      <c r="LY59" s="17"/>
      <c r="LZ59" s="17"/>
      <c r="MA59" s="17"/>
      <c r="MB59" s="17"/>
      <c r="MC59" s="17"/>
      <c r="MD59" s="17"/>
      <c r="ME59" s="17"/>
      <c r="MF59" s="17"/>
      <c r="MG59" s="17"/>
      <c r="MH59" s="17"/>
      <c r="MI59" s="17"/>
      <c r="MJ59" s="17"/>
      <c r="MK59" s="17"/>
      <c r="ML59" s="17"/>
      <c r="MM59" s="17"/>
      <c r="MN59" s="17"/>
      <c r="MO59" s="17"/>
      <c r="MP59" s="17"/>
      <c r="MQ59" s="17"/>
      <c r="MR59" s="17"/>
      <c r="MS59" s="17"/>
      <c r="MT59" s="17"/>
      <c r="MU59" s="17"/>
      <c r="MV59" s="17"/>
      <c r="MW59" s="17"/>
      <c r="MX59" s="17"/>
      <c r="MY59" s="17"/>
      <c r="MZ59" s="17"/>
      <c r="NA59" s="17"/>
      <c r="NB59" s="17"/>
    </row>
    <row r="60" spans="1:367" x14ac:dyDescent="0.25"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53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/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</row>
    <row r="61" spans="1:367" x14ac:dyDescent="0.25"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63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7"/>
      <c r="EL61" s="47"/>
      <c r="EM61" s="47"/>
      <c r="EN61" s="47"/>
      <c r="EO61" s="47"/>
      <c r="EP61" s="47"/>
      <c r="EQ61" s="47"/>
      <c r="ER61" s="47"/>
      <c r="ES61" s="47"/>
      <c r="ET61" s="47"/>
      <c r="EU61" s="47"/>
      <c r="EV61" s="47"/>
      <c r="EW61" s="47"/>
      <c r="EX61" s="47"/>
      <c r="EY61" s="47"/>
      <c r="EZ61" s="47"/>
      <c r="FA61" s="47"/>
      <c r="FB61" s="47"/>
      <c r="FC61" s="47"/>
      <c r="FD61" s="47"/>
      <c r="FE61" s="47"/>
      <c r="FF61" s="47"/>
      <c r="FG61" s="47"/>
      <c r="FH61" s="47"/>
      <c r="FI61" s="47"/>
      <c r="FJ61" s="47"/>
      <c r="FK61" s="47"/>
      <c r="FL61" s="47"/>
      <c r="FM61" s="47"/>
      <c r="FN61" s="47"/>
      <c r="FO61" s="47"/>
      <c r="FP61" s="47"/>
      <c r="FQ61" s="47"/>
      <c r="FR61" s="47"/>
      <c r="FS61" s="47"/>
      <c r="FT61" s="47"/>
      <c r="FU61" s="47"/>
      <c r="FV61" s="47"/>
      <c r="FW61" s="47"/>
      <c r="FX61" s="47"/>
      <c r="FY61" s="47"/>
      <c r="FZ61" s="47"/>
      <c r="GA61" s="47"/>
      <c r="GB61" s="47"/>
      <c r="GC61" s="47"/>
      <c r="GD61" s="47"/>
      <c r="GE61" s="47"/>
      <c r="GF61" s="47"/>
      <c r="GG61" s="47"/>
      <c r="GH61" s="47"/>
      <c r="GI61" s="47"/>
      <c r="GJ61" s="47"/>
      <c r="GK61" s="47"/>
      <c r="GL61" s="47"/>
      <c r="GM61" s="47"/>
      <c r="GN61" s="47"/>
      <c r="GO61" s="47"/>
      <c r="GP61" s="47"/>
      <c r="GQ61" s="47"/>
      <c r="GR61" s="47"/>
      <c r="GS61" s="47"/>
      <c r="GT61" s="47"/>
      <c r="GU61" s="47"/>
      <c r="GV61" s="47"/>
      <c r="GW61" s="47"/>
      <c r="GX61" s="47"/>
      <c r="GY61" s="47"/>
      <c r="GZ61" s="47"/>
      <c r="HA61" s="47"/>
      <c r="HB61" s="47"/>
      <c r="HC61" s="47"/>
      <c r="HD61" s="47"/>
      <c r="HE61" s="47"/>
      <c r="HF61" s="47"/>
      <c r="HG61" s="47"/>
      <c r="HH61" s="47"/>
      <c r="HI61" s="47"/>
      <c r="HJ61" s="47"/>
      <c r="HK61" s="47"/>
      <c r="HL61" s="47"/>
      <c r="HM61" s="47"/>
      <c r="HN61" s="47"/>
      <c r="HO61" s="47"/>
      <c r="HP61" s="47"/>
      <c r="HQ61" s="47"/>
      <c r="HR61" s="47"/>
      <c r="HS61" s="47"/>
      <c r="HT61" s="47"/>
      <c r="HU61" s="47"/>
      <c r="HV61" s="47"/>
      <c r="HW61" s="47"/>
      <c r="HX61" s="47"/>
      <c r="HY61" s="47"/>
      <c r="HZ61" s="47"/>
      <c r="IA61" s="47"/>
      <c r="IB61" s="47"/>
      <c r="IC61" s="47"/>
      <c r="ID61" s="47"/>
      <c r="IE61" s="47"/>
      <c r="IF61" s="47"/>
      <c r="IG61" s="47"/>
      <c r="IH61" s="47"/>
      <c r="II61" s="47"/>
      <c r="IJ61" s="47"/>
      <c r="IK61" s="47"/>
      <c r="IL61" s="47"/>
      <c r="IM61" s="47"/>
      <c r="IN61" s="47"/>
      <c r="IO61" s="47"/>
      <c r="IP61" s="47"/>
      <c r="IQ61" s="47"/>
      <c r="IR61" s="47"/>
      <c r="IS61" s="47"/>
      <c r="IT61" s="47"/>
      <c r="IU61" s="47"/>
      <c r="IV61" s="47"/>
      <c r="IW61" s="47"/>
      <c r="IX61" s="47"/>
      <c r="IY61" s="47"/>
      <c r="IZ61" s="47"/>
      <c r="JA61" s="47"/>
      <c r="JB61" s="47"/>
      <c r="JC61" s="47"/>
      <c r="JD61" s="47"/>
      <c r="JE61" s="47"/>
      <c r="JF61" s="47"/>
      <c r="JG61" s="47"/>
      <c r="JH61" s="47"/>
      <c r="JI61" s="47"/>
      <c r="JJ61" s="47"/>
      <c r="JK61" s="47"/>
      <c r="JL61" s="47"/>
      <c r="JM61" s="47"/>
      <c r="JN61" s="47"/>
      <c r="JO61" s="47"/>
      <c r="JP61" s="47"/>
      <c r="JQ61" s="47"/>
      <c r="JR61" s="47"/>
      <c r="JS61" s="47"/>
      <c r="JT61" s="47"/>
      <c r="JU61" s="47"/>
      <c r="JV61" s="47"/>
      <c r="JW61" s="47"/>
      <c r="JX61" s="47"/>
      <c r="JY61" s="47"/>
      <c r="JZ61" s="47"/>
      <c r="KA61" s="47"/>
      <c r="KB61" s="47"/>
      <c r="KC61" s="47"/>
      <c r="KD61" s="47"/>
      <c r="KE61" s="47"/>
      <c r="KF61" s="47"/>
      <c r="KG61" s="47"/>
      <c r="KH61" s="47"/>
      <c r="KI61" s="47"/>
      <c r="KJ61" s="47"/>
      <c r="KK61" s="47"/>
      <c r="KL61" s="47"/>
      <c r="KM61" s="47"/>
      <c r="KN61" s="47"/>
      <c r="KO61" s="47"/>
      <c r="KP61" s="47"/>
      <c r="KQ61" s="47"/>
      <c r="KR61" s="47"/>
      <c r="KS61" s="47"/>
      <c r="KT61" s="47"/>
      <c r="KU61" s="47"/>
      <c r="KV61" s="47"/>
      <c r="KW61" s="47"/>
      <c r="KX61" s="47"/>
      <c r="KY61" s="47"/>
      <c r="KZ61" s="47"/>
      <c r="LA61" s="47"/>
      <c r="LB61" s="47"/>
      <c r="LC61" s="47"/>
      <c r="LD61" s="47"/>
      <c r="LE61" s="47"/>
      <c r="LF61" s="47"/>
      <c r="LG61" s="47"/>
      <c r="LH61" s="47"/>
      <c r="LI61" s="47"/>
      <c r="LJ61" s="47"/>
      <c r="LK61" s="47"/>
      <c r="LL61" s="47"/>
      <c r="LM61" s="47"/>
      <c r="LN61" s="47"/>
      <c r="LO61" s="47"/>
      <c r="LP61" s="47"/>
      <c r="LQ61" s="47"/>
      <c r="LR61" s="47"/>
      <c r="LS61" s="47"/>
      <c r="LT61" s="47"/>
      <c r="LU61" s="47"/>
      <c r="LV61" s="47"/>
      <c r="LW61" s="47"/>
      <c r="LX61" s="47"/>
      <c r="LY61" s="47"/>
      <c r="LZ61" s="47"/>
      <c r="MA61" s="47"/>
      <c r="MB61" s="47"/>
      <c r="MC61" s="47"/>
      <c r="MD61" s="47"/>
      <c r="ME61" s="47"/>
      <c r="MF61" s="47"/>
      <c r="MG61" s="47"/>
      <c r="MH61" s="47"/>
      <c r="MI61" s="47"/>
      <c r="MJ61" s="47"/>
      <c r="MK61" s="47"/>
      <c r="ML61" s="47"/>
      <c r="MM61" s="47"/>
      <c r="MN61" s="47"/>
      <c r="MO61" s="47"/>
      <c r="MP61" s="47"/>
      <c r="MQ61" s="47"/>
      <c r="MR61" s="47"/>
      <c r="MS61" s="47"/>
      <c r="MT61" s="47"/>
      <c r="MU61" s="47"/>
      <c r="MV61" s="47"/>
      <c r="MW61" s="47"/>
      <c r="MX61" s="47"/>
      <c r="MY61" s="47"/>
      <c r="MZ61" s="47"/>
      <c r="NA61" s="47"/>
      <c r="NB61" s="47"/>
    </row>
    <row r="62" spans="1:367" x14ac:dyDescent="0.25"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53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  <c r="IY62" s="17"/>
      <c r="IZ62" s="17"/>
      <c r="JA62" s="17"/>
      <c r="JB62" s="17"/>
      <c r="JC62" s="17"/>
      <c r="JD62" s="17"/>
      <c r="JE62" s="17"/>
      <c r="JF62" s="17"/>
      <c r="JG62" s="17"/>
      <c r="JH62" s="17"/>
      <c r="JI62" s="17"/>
      <c r="JJ62" s="17"/>
      <c r="JK62" s="17"/>
      <c r="JL62" s="17"/>
      <c r="JM62" s="17"/>
      <c r="JN62" s="17"/>
      <c r="JO62" s="17"/>
      <c r="JP62" s="17"/>
      <c r="JQ62" s="17"/>
      <c r="JR62" s="17"/>
      <c r="JS62" s="17"/>
      <c r="JT62" s="17"/>
      <c r="JU62" s="17"/>
      <c r="JV62" s="17"/>
      <c r="JW62" s="17"/>
      <c r="JX62" s="17"/>
      <c r="JY62" s="17"/>
      <c r="JZ62" s="17"/>
      <c r="KA62" s="17"/>
      <c r="KB62" s="17"/>
      <c r="KC62" s="17"/>
      <c r="KD62" s="17"/>
      <c r="KE62" s="17"/>
      <c r="KF62" s="17"/>
      <c r="KG62" s="17"/>
      <c r="KH62" s="17"/>
      <c r="KI62" s="17"/>
      <c r="KJ62" s="17"/>
      <c r="KK62" s="17"/>
      <c r="KL62" s="17"/>
      <c r="KM62" s="17"/>
      <c r="KN62" s="17"/>
      <c r="KO62" s="17"/>
      <c r="KP62" s="17"/>
      <c r="KQ62" s="17"/>
      <c r="KR62" s="17"/>
      <c r="KS62" s="17"/>
      <c r="KT62" s="17"/>
      <c r="KU62" s="17"/>
      <c r="KV62" s="17"/>
      <c r="KW62" s="17"/>
      <c r="KX62" s="17"/>
      <c r="KY62" s="17"/>
      <c r="KZ62" s="17"/>
      <c r="LA62" s="17"/>
      <c r="LB62" s="17"/>
      <c r="LC62" s="17"/>
      <c r="LD62" s="17"/>
      <c r="LE62" s="17"/>
      <c r="LF62" s="17"/>
      <c r="LG62" s="17"/>
      <c r="LH62" s="17"/>
      <c r="LI62" s="17"/>
      <c r="LJ62" s="17"/>
      <c r="LK62" s="17"/>
      <c r="LL62" s="17"/>
      <c r="LM62" s="17"/>
      <c r="LN62" s="17"/>
      <c r="LO62" s="17"/>
      <c r="LP62" s="17"/>
      <c r="LQ62" s="17"/>
      <c r="LR62" s="17"/>
      <c r="LS62" s="17"/>
      <c r="LT62" s="17"/>
      <c r="LU62" s="17"/>
      <c r="LV62" s="17"/>
      <c r="LW62" s="17"/>
      <c r="LX62" s="17"/>
      <c r="LY62" s="17"/>
      <c r="LZ62" s="17"/>
      <c r="MA62" s="17"/>
      <c r="MB62" s="17"/>
      <c r="MC62" s="17"/>
      <c r="MD62" s="17"/>
      <c r="ME62" s="17"/>
      <c r="MF62" s="17"/>
      <c r="MG62" s="17"/>
      <c r="MH62" s="17"/>
      <c r="MI62" s="17"/>
      <c r="MJ62" s="17"/>
      <c r="MK62" s="17"/>
      <c r="ML62" s="17"/>
      <c r="MM62" s="17"/>
      <c r="MN62" s="17"/>
      <c r="MO62" s="17"/>
      <c r="MP62" s="17"/>
      <c r="MQ62" s="17"/>
      <c r="MR62" s="17"/>
      <c r="MS62" s="17"/>
      <c r="MT62" s="17"/>
      <c r="MU62" s="17"/>
      <c r="MV62" s="17"/>
      <c r="MW62" s="17"/>
      <c r="MX62" s="17"/>
      <c r="MY62" s="17"/>
      <c r="MZ62" s="17"/>
      <c r="NA62" s="17"/>
      <c r="NB62" s="17"/>
    </row>
    <row r="63" spans="1:367" x14ac:dyDescent="0.25"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64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  <c r="HG63" s="48"/>
      <c r="HH63" s="48"/>
      <c r="HI63" s="48"/>
      <c r="HJ63" s="48"/>
      <c r="HK63" s="48"/>
      <c r="HL63" s="48"/>
      <c r="HM63" s="48"/>
      <c r="HN63" s="48"/>
      <c r="HO63" s="48"/>
      <c r="HP63" s="48"/>
      <c r="HQ63" s="48"/>
      <c r="HR63" s="48"/>
      <c r="HS63" s="48"/>
      <c r="HT63" s="48"/>
      <c r="HU63" s="48"/>
      <c r="HV63" s="48"/>
      <c r="HW63" s="48"/>
      <c r="HX63" s="48"/>
      <c r="HY63" s="48"/>
      <c r="HZ63" s="48"/>
      <c r="IA63" s="48"/>
      <c r="IB63" s="48"/>
      <c r="IC63" s="48"/>
      <c r="ID63" s="48"/>
      <c r="IE63" s="48"/>
      <c r="IF63" s="48"/>
      <c r="IG63" s="48"/>
      <c r="IH63" s="48"/>
      <c r="II63" s="48"/>
      <c r="IJ63" s="48"/>
      <c r="IK63" s="48"/>
      <c r="IL63" s="48"/>
      <c r="IM63" s="48"/>
      <c r="IN63" s="48"/>
      <c r="IO63" s="48"/>
      <c r="IP63" s="48"/>
      <c r="IQ63" s="48"/>
      <c r="IR63" s="48"/>
      <c r="IS63" s="48"/>
      <c r="IT63" s="48"/>
      <c r="IU63" s="48"/>
      <c r="IV63" s="48"/>
      <c r="IW63" s="48"/>
      <c r="IX63" s="48"/>
      <c r="IY63" s="48"/>
      <c r="IZ63" s="48"/>
      <c r="JA63" s="48"/>
      <c r="JB63" s="48"/>
      <c r="JC63" s="48"/>
      <c r="JD63" s="48"/>
      <c r="JE63" s="48"/>
      <c r="JF63" s="48"/>
      <c r="JG63" s="48"/>
      <c r="JH63" s="48"/>
      <c r="JI63" s="48"/>
      <c r="JJ63" s="48"/>
      <c r="JK63" s="48"/>
      <c r="JL63" s="48"/>
      <c r="JM63" s="48"/>
      <c r="JN63" s="48"/>
      <c r="JO63" s="48"/>
      <c r="JP63" s="48"/>
      <c r="JQ63" s="48"/>
      <c r="JR63" s="48"/>
      <c r="JS63" s="48"/>
      <c r="JT63" s="48"/>
      <c r="JU63" s="48"/>
      <c r="JV63" s="48"/>
      <c r="JW63" s="48"/>
      <c r="JX63" s="48"/>
      <c r="JY63" s="48"/>
      <c r="JZ63" s="48"/>
      <c r="KA63" s="48"/>
      <c r="KB63" s="48"/>
      <c r="KC63" s="48"/>
      <c r="KD63" s="48"/>
      <c r="KE63" s="48"/>
      <c r="KF63" s="48"/>
      <c r="KG63" s="48"/>
      <c r="KH63" s="48"/>
      <c r="KI63" s="48"/>
      <c r="KJ63" s="48"/>
      <c r="KK63" s="48"/>
      <c r="KL63" s="48"/>
      <c r="KM63" s="48"/>
      <c r="KN63" s="48"/>
      <c r="KO63" s="48"/>
      <c r="KP63" s="48"/>
      <c r="KQ63" s="48"/>
      <c r="KR63" s="48"/>
      <c r="KS63" s="48"/>
      <c r="KT63" s="48"/>
      <c r="KU63" s="48"/>
      <c r="KV63" s="48"/>
      <c r="KW63" s="48"/>
      <c r="KX63" s="48"/>
      <c r="KY63" s="48"/>
      <c r="KZ63" s="48"/>
      <c r="LA63" s="48"/>
      <c r="LB63" s="48"/>
      <c r="LC63" s="48"/>
      <c r="LD63" s="48"/>
      <c r="LE63" s="48"/>
      <c r="LF63" s="48"/>
      <c r="LG63" s="48"/>
      <c r="LH63" s="48"/>
      <c r="LI63" s="48"/>
      <c r="LJ63" s="48"/>
      <c r="LK63" s="48"/>
      <c r="LL63" s="48"/>
      <c r="LM63" s="48"/>
      <c r="LN63" s="48"/>
      <c r="LO63" s="48"/>
      <c r="LP63" s="48"/>
      <c r="LQ63" s="48"/>
      <c r="LR63" s="48"/>
      <c r="LS63" s="48"/>
      <c r="LT63" s="48"/>
      <c r="LU63" s="48"/>
      <c r="LV63" s="48"/>
      <c r="LW63" s="48"/>
      <c r="LX63" s="48"/>
      <c r="LY63" s="48"/>
      <c r="LZ63" s="48"/>
      <c r="MA63" s="48"/>
      <c r="MB63" s="48"/>
      <c r="MC63" s="48"/>
      <c r="MD63" s="48"/>
      <c r="ME63" s="48"/>
      <c r="MF63" s="48"/>
      <c r="MG63" s="48"/>
      <c r="MH63" s="48"/>
      <c r="MI63" s="48"/>
      <c r="MJ63" s="48"/>
      <c r="MK63" s="48"/>
      <c r="ML63" s="48"/>
      <c r="MM63" s="48"/>
      <c r="MN63" s="48"/>
      <c r="MO63" s="48"/>
      <c r="MP63" s="48"/>
      <c r="MQ63" s="48"/>
      <c r="MR63" s="48"/>
      <c r="MS63" s="48"/>
      <c r="MT63" s="48"/>
      <c r="MU63" s="48"/>
      <c r="MV63" s="48"/>
      <c r="MW63" s="48"/>
      <c r="MX63" s="48"/>
      <c r="MY63" s="48"/>
      <c r="MZ63" s="48"/>
      <c r="NA63" s="48"/>
      <c r="NB63" s="48"/>
    </row>
    <row r="64" spans="1:367" x14ac:dyDescent="0.25"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63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7"/>
      <c r="DL64" s="47"/>
      <c r="DM64" s="47"/>
      <c r="DN64" s="47"/>
      <c r="DO64" s="47"/>
      <c r="DP64" s="47"/>
      <c r="DQ64" s="47"/>
      <c r="DR64" s="47"/>
      <c r="DS64" s="47"/>
      <c r="DT64" s="47"/>
      <c r="DU64" s="47"/>
      <c r="DV64" s="47"/>
      <c r="DW64" s="47"/>
      <c r="DX64" s="47"/>
      <c r="DY64" s="47"/>
      <c r="DZ64" s="47"/>
      <c r="EA64" s="47"/>
      <c r="EB64" s="47"/>
      <c r="EC64" s="47"/>
      <c r="ED64" s="47"/>
      <c r="EE64" s="47"/>
      <c r="EF64" s="47"/>
      <c r="EG64" s="47"/>
      <c r="EH64" s="47"/>
      <c r="EI64" s="47"/>
      <c r="EJ64" s="47"/>
      <c r="EK64" s="47"/>
      <c r="EL64" s="47"/>
      <c r="EM64" s="47"/>
      <c r="EN64" s="47"/>
      <c r="EO64" s="47"/>
      <c r="EP64" s="47"/>
      <c r="EQ64" s="47"/>
      <c r="ER64" s="47"/>
      <c r="ES64" s="47"/>
      <c r="ET64" s="47"/>
      <c r="EU64" s="47"/>
      <c r="EV64" s="47"/>
      <c r="EW64" s="47"/>
      <c r="EX64" s="47"/>
      <c r="EY64" s="47"/>
      <c r="EZ64" s="47"/>
      <c r="FA64" s="47"/>
      <c r="FB64" s="47"/>
      <c r="FC64" s="47"/>
      <c r="FD64" s="47"/>
      <c r="FE64" s="47"/>
      <c r="FF64" s="47"/>
      <c r="FG64" s="47"/>
      <c r="FH64" s="47"/>
      <c r="FI64" s="47"/>
      <c r="FJ64" s="47"/>
      <c r="FK64" s="47"/>
      <c r="FL64" s="47"/>
      <c r="FM64" s="47"/>
      <c r="FN64" s="47"/>
      <c r="FO64" s="47"/>
      <c r="FP64" s="47"/>
      <c r="FQ64" s="47"/>
      <c r="FR64" s="47"/>
      <c r="FS64" s="47"/>
      <c r="FT64" s="47"/>
      <c r="FU64" s="47"/>
      <c r="FV64" s="47"/>
      <c r="FW64" s="47"/>
      <c r="FX64" s="47"/>
      <c r="FY64" s="47"/>
      <c r="FZ64" s="47"/>
      <c r="GA64" s="47"/>
      <c r="GB64" s="47"/>
      <c r="GC64" s="47"/>
      <c r="GD64" s="47"/>
      <c r="GE64" s="47"/>
      <c r="GF64" s="47"/>
      <c r="GG64" s="47"/>
      <c r="GH64" s="47"/>
      <c r="GI64" s="47"/>
      <c r="GJ64" s="47"/>
      <c r="GK64" s="47"/>
      <c r="GL64" s="47"/>
      <c r="GM64" s="47"/>
      <c r="GN64" s="47"/>
      <c r="GO64" s="47"/>
      <c r="GP64" s="47"/>
      <c r="GQ64" s="47"/>
      <c r="GR64" s="47"/>
      <c r="GS64" s="47"/>
      <c r="GT64" s="47"/>
      <c r="GU64" s="47"/>
      <c r="GV64" s="47"/>
      <c r="GW64" s="47"/>
      <c r="GX64" s="47"/>
      <c r="GY64" s="47"/>
      <c r="GZ64" s="47"/>
      <c r="HA64" s="47"/>
      <c r="HB64" s="47"/>
      <c r="HC64" s="47"/>
      <c r="HD64" s="47"/>
      <c r="HE64" s="47"/>
      <c r="HF64" s="47"/>
      <c r="HG64" s="47"/>
      <c r="HH64" s="47"/>
      <c r="HI64" s="47"/>
      <c r="HJ64" s="47"/>
      <c r="HK64" s="47"/>
      <c r="HL64" s="47"/>
      <c r="HM64" s="47"/>
      <c r="HN64" s="47"/>
      <c r="HO64" s="47"/>
      <c r="HP64" s="47"/>
      <c r="HQ64" s="47"/>
      <c r="HR64" s="47"/>
      <c r="HS64" s="47"/>
      <c r="HT64" s="47"/>
      <c r="HU64" s="47"/>
      <c r="HV64" s="47"/>
      <c r="HW64" s="47"/>
      <c r="HX64" s="47"/>
      <c r="HY64" s="47"/>
      <c r="HZ64" s="47"/>
      <c r="IA64" s="47"/>
      <c r="IB64" s="47"/>
      <c r="IC64" s="47"/>
      <c r="ID64" s="47"/>
      <c r="IE64" s="47"/>
      <c r="IF64" s="47"/>
      <c r="IG64" s="47"/>
      <c r="IH64" s="47"/>
      <c r="II64" s="47"/>
      <c r="IJ64" s="47"/>
      <c r="IK64" s="47"/>
      <c r="IL64" s="47"/>
      <c r="IM64" s="47"/>
      <c r="IN64" s="47"/>
      <c r="IO64" s="47"/>
      <c r="IP64" s="47"/>
      <c r="IQ64" s="47"/>
      <c r="IR64" s="47"/>
      <c r="IS64" s="47"/>
      <c r="IT64" s="47"/>
      <c r="IU64" s="47"/>
      <c r="IV64" s="47"/>
      <c r="IW64" s="47"/>
      <c r="IX64" s="47"/>
      <c r="IY64" s="47"/>
      <c r="IZ64" s="47"/>
      <c r="JA64" s="47"/>
      <c r="JB64" s="47"/>
      <c r="JC64" s="47"/>
      <c r="JD64" s="47"/>
      <c r="JE64" s="47"/>
      <c r="JF64" s="47"/>
      <c r="JG64" s="47"/>
      <c r="JH64" s="47"/>
      <c r="JI64" s="47"/>
      <c r="JJ64" s="47"/>
      <c r="JK64" s="47"/>
      <c r="JL64" s="47"/>
      <c r="JM64" s="47"/>
      <c r="JN64" s="47"/>
      <c r="JO64" s="47"/>
      <c r="JP64" s="47"/>
      <c r="JQ64" s="47"/>
      <c r="JR64" s="47"/>
      <c r="JS64" s="47"/>
      <c r="JT64" s="47"/>
      <c r="JU64" s="47"/>
      <c r="JV64" s="47"/>
      <c r="JW64" s="47"/>
      <c r="JX64" s="47"/>
      <c r="JY64" s="47"/>
      <c r="JZ64" s="47"/>
      <c r="KA64" s="47"/>
      <c r="KB64" s="47"/>
      <c r="KC64" s="47"/>
      <c r="KD64" s="47"/>
      <c r="KE64" s="47"/>
      <c r="KF64" s="47"/>
      <c r="KG64" s="47"/>
      <c r="KH64" s="47"/>
      <c r="KI64" s="47"/>
      <c r="KJ64" s="47"/>
      <c r="KK64" s="47"/>
      <c r="KL64" s="47"/>
      <c r="KM64" s="47"/>
      <c r="KN64" s="47"/>
      <c r="KO64" s="47"/>
      <c r="KP64" s="47"/>
      <c r="KQ64" s="47"/>
      <c r="KR64" s="47"/>
      <c r="KS64" s="47"/>
      <c r="KT64" s="47"/>
      <c r="KU64" s="47"/>
      <c r="KV64" s="47"/>
      <c r="KW64" s="47"/>
      <c r="KX64" s="47"/>
      <c r="KY64" s="47"/>
      <c r="KZ64" s="47"/>
      <c r="LA64" s="47"/>
      <c r="LB64" s="47"/>
      <c r="LC64" s="47"/>
      <c r="LD64" s="47"/>
      <c r="LE64" s="47"/>
      <c r="LF64" s="47"/>
      <c r="LG64" s="47"/>
      <c r="LH64" s="47"/>
      <c r="LI64" s="47"/>
      <c r="LJ64" s="47"/>
      <c r="LK64" s="47"/>
      <c r="LL64" s="47"/>
      <c r="LM64" s="47"/>
      <c r="LN64" s="47"/>
      <c r="LO64" s="47"/>
      <c r="LP64" s="47"/>
      <c r="LQ64" s="47"/>
      <c r="LR64" s="47"/>
      <c r="LS64" s="47"/>
      <c r="LT64" s="47"/>
      <c r="LU64" s="47"/>
      <c r="LV64" s="47"/>
      <c r="LW64" s="47"/>
      <c r="LX64" s="47"/>
      <c r="LY64" s="47"/>
      <c r="LZ64" s="47"/>
      <c r="MA64" s="47"/>
      <c r="MB64" s="47"/>
      <c r="MC64" s="47"/>
      <c r="MD64" s="47"/>
      <c r="ME64" s="47"/>
      <c r="MF64" s="47"/>
      <c r="MG64" s="47"/>
      <c r="MH64" s="47"/>
      <c r="MI64" s="47"/>
      <c r="MJ64" s="47"/>
      <c r="MK64" s="47"/>
      <c r="ML64" s="47"/>
      <c r="MM64" s="47"/>
      <c r="MN64" s="47"/>
      <c r="MO64" s="47"/>
      <c r="MP64" s="47"/>
      <c r="MQ64" s="47"/>
      <c r="MR64" s="47"/>
      <c r="MS64" s="47"/>
      <c r="MT64" s="47"/>
      <c r="MU64" s="47"/>
      <c r="MV64" s="47"/>
      <c r="MW64" s="47"/>
      <c r="MX64" s="47"/>
      <c r="MY64" s="47"/>
      <c r="MZ64" s="47"/>
      <c r="NA64" s="47"/>
      <c r="NB64" s="47"/>
    </row>
    <row r="65" spans="6:366" x14ac:dyDescent="0.25"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64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  <c r="HG65" s="48"/>
      <c r="HH65" s="48"/>
      <c r="HI65" s="48"/>
      <c r="HJ65" s="48"/>
      <c r="HK65" s="48"/>
      <c r="HL65" s="48"/>
      <c r="HM65" s="48"/>
      <c r="HN65" s="48"/>
      <c r="HO65" s="48"/>
      <c r="HP65" s="48"/>
      <c r="HQ65" s="48"/>
      <c r="HR65" s="48"/>
      <c r="HS65" s="48"/>
      <c r="HT65" s="48"/>
      <c r="HU65" s="48"/>
      <c r="HV65" s="48"/>
      <c r="HW65" s="48"/>
      <c r="HX65" s="48"/>
      <c r="HY65" s="48"/>
      <c r="HZ65" s="48"/>
      <c r="IA65" s="48"/>
      <c r="IB65" s="48"/>
      <c r="IC65" s="48"/>
      <c r="ID65" s="48"/>
      <c r="IE65" s="48"/>
      <c r="IF65" s="48"/>
      <c r="IG65" s="48"/>
      <c r="IH65" s="48"/>
      <c r="II65" s="48"/>
      <c r="IJ65" s="48"/>
      <c r="IK65" s="48"/>
      <c r="IL65" s="48"/>
      <c r="IM65" s="48"/>
      <c r="IN65" s="48"/>
      <c r="IO65" s="48"/>
      <c r="IP65" s="48"/>
      <c r="IQ65" s="48"/>
      <c r="IR65" s="48"/>
      <c r="IS65" s="48"/>
      <c r="IT65" s="48"/>
      <c r="IU65" s="48"/>
      <c r="IV65" s="48"/>
      <c r="IW65" s="48"/>
      <c r="IX65" s="48"/>
      <c r="IY65" s="48"/>
      <c r="IZ65" s="48"/>
      <c r="JA65" s="48"/>
      <c r="JB65" s="48"/>
      <c r="JC65" s="48"/>
      <c r="JD65" s="48"/>
      <c r="JE65" s="48"/>
      <c r="JF65" s="48"/>
      <c r="JG65" s="48"/>
      <c r="JH65" s="48"/>
      <c r="JI65" s="48"/>
      <c r="JJ65" s="48"/>
      <c r="JK65" s="48"/>
      <c r="JL65" s="48"/>
      <c r="JM65" s="48"/>
      <c r="JN65" s="48"/>
      <c r="JO65" s="48"/>
      <c r="JP65" s="48"/>
      <c r="JQ65" s="48"/>
      <c r="JR65" s="48"/>
      <c r="JS65" s="48"/>
      <c r="JT65" s="48"/>
      <c r="JU65" s="48"/>
      <c r="JV65" s="48"/>
      <c r="JW65" s="48"/>
      <c r="JX65" s="48"/>
      <c r="JY65" s="48"/>
      <c r="JZ65" s="48"/>
      <c r="KA65" s="48"/>
      <c r="KB65" s="48"/>
      <c r="KC65" s="48"/>
      <c r="KD65" s="48"/>
      <c r="KE65" s="48"/>
      <c r="KF65" s="48"/>
      <c r="KG65" s="48"/>
      <c r="KH65" s="48"/>
      <c r="KI65" s="48"/>
      <c r="KJ65" s="48"/>
      <c r="KK65" s="48"/>
      <c r="KL65" s="48"/>
      <c r="KM65" s="48"/>
      <c r="KN65" s="48"/>
      <c r="KO65" s="48"/>
      <c r="KP65" s="48"/>
      <c r="KQ65" s="48"/>
      <c r="KR65" s="48"/>
      <c r="KS65" s="48"/>
      <c r="KT65" s="48"/>
      <c r="KU65" s="48"/>
      <c r="KV65" s="48"/>
      <c r="KW65" s="48"/>
      <c r="KX65" s="48"/>
      <c r="KY65" s="48"/>
      <c r="KZ65" s="48"/>
      <c r="LA65" s="48"/>
      <c r="LB65" s="48"/>
      <c r="LC65" s="48"/>
      <c r="LD65" s="48"/>
      <c r="LE65" s="48"/>
      <c r="LF65" s="48"/>
      <c r="LG65" s="48"/>
      <c r="LH65" s="48"/>
      <c r="LI65" s="48"/>
      <c r="LJ65" s="48"/>
      <c r="LK65" s="48"/>
      <c r="LL65" s="48"/>
      <c r="LM65" s="48"/>
      <c r="LN65" s="48"/>
      <c r="LO65" s="48"/>
      <c r="LP65" s="48"/>
      <c r="LQ65" s="48"/>
      <c r="LR65" s="48"/>
      <c r="LS65" s="48"/>
      <c r="LT65" s="48"/>
      <c r="LU65" s="48"/>
      <c r="LV65" s="48"/>
      <c r="LW65" s="48"/>
      <c r="LX65" s="48"/>
      <c r="LY65" s="48"/>
      <c r="LZ65" s="48"/>
      <c r="MA65" s="48"/>
      <c r="MB65" s="48"/>
      <c r="MC65" s="48"/>
      <c r="MD65" s="48"/>
      <c r="ME65" s="48"/>
      <c r="MF65" s="48"/>
      <c r="MG65" s="48"/>
      <c r="MH65" s="48"/>
      <c r="MI65" s="48"/>
      <c r="MJ65" s="48"/>
      <c r="MK65" s="48"/>
      <c r="ML65" s="48"/>
      <c r="MM65" s="48"/>
      <c r="MN65" s="48"/>
      <c r="MO65" s="48"/>
      <c r="MP65" s="48"/>
      <c r="MQ65" s="48"/>
      <c r="MR65" s="48"/>
      <c r="MS65" s="48"/>
      <c r="MT65" s="48"/>
      <c r="MU65" s="48"/>
      <c r="MV65" s="48"/>
      <c r="MW65" s="48"/>
      <c r="MX65" s="48"/>
      <c r="MY65" s="48"/>
      <c r="MZ65" s="48"/>
      <c r="NA65" s="48"/>
      <c r="NB65" s="48"/>
    </row>
    <row r="66" spans="6:366" x14ac:dyDescent="0.25"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64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  <c r="HG66" s="48"/>
      <c r="HH66" s="48"/>
      <c r="HI66" s="48"/>
      <c r="HJ66" s="48"/>
      <c r="HK66" s="48"/>
      <c r="HL66" s="48"/>
      <c r="HM66" s="48"/>
      <c r="HN66" s="48"/>
      <c r="HO66" s="48"/>
      <c r="HP66" s="48"/>
      <c r="HQ66" s="48"/>
      <c r="HR66" s="48"/>
      <c r="HS66" s="48"/>
      <c r="HT66" s="48"/>
      <c r="HU66" s="48"/>
      <c r="HV66" s="48"/>
      <c r="HW66" s="48"/>
      <c r="HX66" s="48"/>
      <c r="HY66" s="48"/>
      <c r="HZ66" s="48"/>
      <c r="IA66" s="48"/>
      <c r="IB66" s="48"/>
      <c r="IC66" s="48"/>
      <c r="ID66" s="48"/>
      <c r="IE66" s="48"/>
      <c r="IF66" s="48"/>
      <c r="IG66" s="48"/>
      <c r="IH66" s="48"/>
      <c r="II66" s="48"/>
      <c r="IJ66" s="48"/>
      <c r="IK66" s="48"/>
      <c r="IL66" s="48"/>
      <c r="IM66" s="48"/>
      <c r="IN66" s="48"/>
      <c r="IO66" s="48"/>
      <c r="IP66" s="48"/>
      <c r="IQ66" s="48"/>
      <c r="IR66" s="48"/>
      <c r="IS66" s="48"/>
      <c r="IT66" s="48"/>
      <c r="IU66" s="48"/>
      <c r="IV66" s="48"/>
      <c r="IW66" s="48"/>
      <c r="IX66" s="48"/>
      <c r="IY66" s="48"/>
      <c r="IZ66" s="48"/>
      <c r="JA66" s="48"/>
      <c r="JB66" s="48"/>
      <c r="JC66" s="48"/>
      <c r="JD66" s="48"/>
      <c r="JE66" s="48"/>
      <c r="JF66" s="48"/>
      <c r="JG66" s="48"/>
      <c r="JH66" s="48"/>
      <c r="JI66" s="48"/>
      <c r="JJ66" s="48"/>
      <c r="JK66" s="48"/>
      <c r="JL66" s="48"/>
      <c r="JM66" s="48"/>
      <c r="JN66" s="48"/>
      <c r="JO66" s="48"/>
      <c r="JP66" s="48"/>
      <c r="JQ66" s="48"/>
      <c r="JR66" s="48"/>
      <c r="JS66" s="48"/>
      <c r="JT66" s="48"/>
      <c r="JU66" s="48"/>
      <c r="JV66" s="48"/>
      <c r="JW66" s="48"/>
      <c r="JX66" s="48"/>
      <c r="JY66" s="48"/>
      <c r="JZ66" s="48"/>
      <c r="KA66" s="48"/>
      <c r="KB66" s="48"/>
      <c r="KC66" s="48"/>
      <c r="KD66" s="48"/>
      <c r="KE66" s="48"/>
      <c r="KF66" s="48"/>
      <c r="KG66" s="48"/>
      <c r="KH66" s="48"/>
      <c r="KI66" s="48"/>
      <c r="KJ66" s="48"/>
      <c r="KK66" s="48"/>
      <c r="KL66" s="48"/>
      <c r="KM66" s="48"/>
      <c r="KN66" s="48"/>
      <c r="KO66" s="48"/>
      <c r="KP66" s="48"/>
      <c r="KQ66" s="48"/>
      <c r="KR66" s="48"/>
      <c r="KS66" s="48"/>
      <c r="KT66" s="48"/>
      <c r="KU66" s="48"/>
      <c r="KV66" s="48"/>
      <c r="KW66" s="48"/>
      <c r="KX66" s="48"/>
      <c r="KY66" s="48"/>
      <c r="KZ66" s="48"/>
      <c r="LA66" s="48"/>
      <c r="LB66" s="48"/>
      <c r="LC66" s="48"/>
      <c r="LD66" s="48"/>
      <c r="LE66" s="48"/>
      <c r="LF66" s="48"/>
      <c r="LG66" s="48"/>
      <c r="LH66" s="48"/>
      <c r="LI66" s="48"/>
      <c r="LJ66" s="48"/>
      <c r="LK66" s="48"/>
      <c r="LL66" s="48"/>
      <c r="LM66" s="48"/>
      <c r="LN66" s="48"/>
      <c r="LO66" s="48"/>
      <c r="LP66" s="48"/>
      <c r="LQ66" s="48"/>
      <c r="LR66" s="48"/>
      <c r="LS66" s="48"/>
      <c r="LT66" s="48"/>
      <c r="LU66" s="48"/>
      <c r="LV66" s="48"/>
      <c r="LW66" s="48"/>
      <c r="LX66" s="48"/>
      <c r="LY66" s="48"/>
      <c r="LZ66" s="48"/>
      <c r="MA66" s="48"/>
      <c r="MB66" s="48"/>
      <c r="MC66" s="48"/>
      <c r="MD66" s="48"/>
      <c r="ME66" s="48"/>
      <c r="MF66" s="48"/>
      <c r="MG66" s="48"/>
      <c r="MH66" s="48"/>
      <c r="MI66" s="48"/>
      <c r="MJ66" s="48"/>
      <c r="MK66" s="48"/>
      <c r="ML66" s="48"/>
      <c r="MM66" s="48"/>
      <c r="MN66" s="48"/>
      <c r="MO66" s="48"/>
      <c r="MP66" s="48"/>
      <c r="MQ66" s="48"/>
      <c r="MR66" s="48"/>
      <c r="MS66" s="48"/>
      <c r="MT66" s="48"/>
      <c r="MU66" s="48"/>
      <c r="MV66" s="48"/>
      <c r="MW66" s="48"/>
      <c r="MX66" s="48"/>
      <c r="MY66" s="48"/>
      <c r="MZ66" s="48"/>
      <c r="NA66" s="48"/>
      <c r="NB66" s="48"/>
    </row>
    <row r="67" spans="6:366" x14ac:dyDescent="0.25"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65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9"/>
      <c r="DS67" s="49"/>
      <c r="DT67" s="49"/>
      <c r="DU67" s="49"/>
      <c r="DV67" s="49"/>
      <c r="DW67" s="49"/>
      <c r="DX67" s="49"/>
      <c r="DY67" s="49"/>
      <c r="DZ67" s="49"/>
      <c r="EA67" s="49"/>
      <c r="EB67" s="49"/>
      <c r="EC67" s="49"/>
      <c r="ED67" s="49"/>
      <c r="EE67" s="49"/>
      <c r="EF67" s="49"/>
      <c r="EG67" s="49"/>
      <c r="EH67" s="49"/>
      <c r="EI67" s="49"/>
      <c r="EJ67" s="49"/>
      <c r="EK67" s="49"/>
      <c r="EL67" s="49"/>
      <c r="EM67" s="49"/>
      <c r="EN67" s="49"/>
      <c r="EO67" s="49"/>
      <c r="EP67" s="49"/>
      <c r="EQ67" s="49"/>
      <c r="ER67" s="49"/>
      <c r="ES67" s="49"/>
      <c r="ET67" s="49"/>
      <c r="EU67" s="49"/>
      <c r="EV67" s="49"/>
      <c r="EW67" s="49"/>
      <c r="EX67" s="49"/>
      <c r="EY67" s="49"/>
      <c r="EZ67" s="49"/>
      <c r="FA67" s="49"/>
      <c r="FB67" s="49"/>
      <c r="FC67" s="49"/>
      <c r="FD67" s="49"/>
      <c r="FE67" s="49"/>
      <c r="FF67" s="49"/>
      <c r="FG67" s="49"/>
      <c r="FH67" s="49"/>
      <c r="FI67" s="49"/>
      <c r="FJ67" s="49"/>
      <c r="FK67" s="49"/>
      <c r="FL67" s="49"/>
      <c r="FM67" s="49"/>
      <c r="FN67" s="49"/>
      <c r="FO67" s="49"/>
      <c r="FP67" s="49"/>
      <c r="FQ67" s="49"/>
      <c r="FR67" s="49"/>
      <c r="FS67" s="49"/>
      <c r="FT67" s="49"/>
      <c r="FU67" s="49"/>
      <c r="FV67" s="49"/>
      <c r="FW67" s="49"/>
      <c r="FX67" s="49"/>
      <c r="FY67" s="49"/>
      <c r="FZ67" s="49"/>
      <c r="GA67" s="49"/>
      <c r="GB67" s="49"/>
      <c r="GC67" s="49"/>
      <c r="GD67" s="49"/>
      <c r="GE67" s="49"/>
      <c r="GF67" s="49"/>
      <c r="GG67" s="49"/>
      <c r="GH67" s="49"/>
      <c r="GI67" s="49"/>
      <c r="GJ67" s="49"/>
      <c r="GK67" s="49"/>
      <c r="GL67" s="49"/>
      <c r="GM67" s="49"/>
      <c r="GN67" s="49"/>
      <c r="GO67" s="49"/>
      <c r="GP67" s="49"/>
      <c r="GQ67" s="49"/>
      <c r="GR67" s="49"/>
      <c r="GS67" s="49"/>
      <c r="GT67" s="49"/>
      <c r="GU67" s="49"/>
      <c r="GV67" s="49"/>
      <c r="GW67" s="49"/>
      <c r="GX67" s="49"/>
      <c r="GY67" s="49"/>
      <c r="GZ67" s="49"/>
      <c r="HA67" s="49"/>
      <c r="HB67" s="49"/>
      <c r="HC67" s="49"/>
      <c r="HD67" s="49"/>
      <c r="HE67" s="49"/>
      <c r="HF67" s="49"/>
      <c r="HG67" s="49"/>
      <c r="HH67" s="49"/>
      <c r="HI67" s="49"/>
      <c r="HJ67" s="49"/>
      <c r="HK67" s="49"/>
      <c r="HL67" s="49"/>
      <c r="HM67" s="49"/>
      <c r="HN67" s="49"/>
      <c r="HO67" s="49"/>
      <c r="HP67" s="49"/>
      <c r="HQ67" s="49"/>
      <c r="HR67" s="49"/>
      <c r="HS67" s="49"/>
      <c r="HT67" s="49"/>
      <c r="HU67" s="49"/>
      <c r="HV67" s="49"/>
      <c r="HW67" s="49"/>
      <c r="HX67" s="49"/>
      <c r="HY67" s="49"/>
      <c r="HZ67" s="49"/>
      <c r="IA67" s="49"/>
      <c r="IB67" s="49"/>
      <c r="IC67" s="49"/>
      <c r="ID67" s="49"/>
      <c r="IE67" s="49"/>
      <c r="IF67" s="49"/>
      <c r="IG67" s="49"/>
      <c r="IH67" s="49"/>
      <c r="II67" s="49"/>
      <c r="IJ67" s="49"/>
      <c r="IK67" s="49"/>
      <c r="IL67" s="49"/>
      <c r="IM67" s="49"/>
      <c r="IN67" s="49"/>
      <c r="IO67" s="49"/>
      <c r="IP67" s="49"/>
      <c r="IQ67" s="49"/>
      <c r="IR67" s="49"/>
      <c r="IS67" s="49"/>
      <c r="IT67" s="49"/>
      <c r="IU67" s="49"/>
      <c r="IV67" s="49"/>
      <c r="IW67" s="49"/>
      <c r="IX67" s="49"/>
      <c r="IY67" s="49"/>
      <c r="IZ67" s="49"/>
      <c r="JA67" s="49"/>
      <c r="JB67" s="49"/>
      <c r="JC67" s="49"/>
      <c r="JD67" s="49"/>
      <c r="JE67" s="49"/>
      <c r="JF67" s="49"/>
      <c r="JG67" s="49"/>
      <c r="JH67" s="49"/>
      <c r="JI67" s="49"/>
      <c r="JJ67" s="49"/>
      <c r="JK67" s="49"/>
      <c r="JL67" s="49"/>
      <c r="JM67" s="49"/>
      <c r="JN67" s="49"/>
      <c r="JO67" s="49"/>
      <c r="JP67" s="49"/>
      <c r="JQ67" s="49"/>
      <c r="JR67" s="49"/>
      <c r="JS67" s="49"/>
      <c r="JT67" s="49"/>
      <c r="JU67" s="49"/>
      <c r="JV67" s="49"/>
      <c r="JW67" s="49"/>
      <c r="JX67" s="49"/>
      <c r="JY67" s="49"/>
      <c r="JZ67" s="49"/>
      <c r="KA67" s="49"/>
      <c r="KB67" s="49"/>
      <c r="KC67" s="49"/>
      <c r="KD67" s="49"/>
      <c r="KE67" s="49"/>
      <c r="KF67" s="49"/>
      <c r="KG67" s="49"/>
      <c r="KH67" s="49"/>
      <c r="KI67" s="49"/>
      <c r="KJ67" s="49"/>
      <c r="KK67" s="49"/>
      <c r="KL67" s="49"/>
      <c r="KM67" s="49"/>
      <c r="KN67" s="49"/>
      <c r="KO67" s="49"/>
      <c r="KP67" s="49"/>
      <c r="KQ67" s="49"/>
      <c r="KR67" s="49"/>
      <c r="KS67" s="49"/>
      <c r="KT67" s="49"/>
      <c r="KU67" s="49"/>
      <c r="KV67" s="49"/>
      <c r="KW67" s="49"/>
      <c r="KX67" s="49"/>
      <c r="KY67" s="49"/>
      <c r="KZ67" s="49"/>
      <c r="LA67" s="49"/>
      <c r="LB67" s="49"/>
      <c r="LC67" s="49"/>
      <c r="LD67" s="49"/>
      <c r="LE67" s="49"/>
      <c r="LF67" s="49"/>
      <c r="LG67" s="49"/>
      <c r="LH67" s="49"/>
      <c r="LI67" s="49"/>
      <c r="LJ67" s="49"/>
      <c r="LK67" s="49"/>
      <c r="LL67" s="49"/>
      <c r="LM67" s="49"/>
      <c r="LN67" s="49"/>
      <c r="LO67" s="49"/>
      <c r="LP67" s="49"/>
      <c r="LQ67" s="49"/>
      <c r="LR67" s="49"/>
      <c r="LS67" s="49"/>
      <c r="LT67" s="49"/>
      <c r="LU67" s="49"/>
      <c r="LV67" s="49"/>
      <c r="LW67" s="49"/>
      <c r="LX67" s="49"/>
      <c r="LY67" s="49"/>
      <c r="LZ67" s="49"/>
      <c r="MA67" s="49"/>
      <c r="MB67" s="49"/>
      <c r="MC67" s="49"/>
      <c r="MD67" s="49"/>
      <c r="ME67" s="49"/>
      <c r="MF67" s="49"/>
      <c r="MG67" s="49"/>
      <c r="MH67" s="49"/>
      <c r="MI67" s="49"/>
      <c r="MJ67" s="49"/>
      <c r="MK67" s="49"/>
      <c r="ML67" s="49"/>
      <c r="MM67" s="49"/>
      <c r="MN67" s="49"/>
      <c r="MO67" s="49"/>
      <c r="MP67" s="49"/>
      <c r="MQ67" s="49"/>
      <c r="MR67" s="49"/>
      <c r="MS67" s="49"/>
      <c r="MT67" s="49"/>
      <c r="MU67" s="49"/>
      <c r="MV67" s="49"/>
      <c r="MW67" s="49"/>
      <c r="MX67" s="49"/>
      <c r="MY67" s="49"/>
      <c r="MZ67" s="49"/>
      <c r="NA67" s="49"/>
      <c r="NB67" s="49"/>
    </row>
    <row r="68" spans="6:366" x14ac:dyDescent="0.25"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66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  <c r="DZ68" s="50"/>
      <c r="EA68" s="50"/>
      <c r="EB68" s="50"/>
      <c r="EC68" s="50"/>
      <c r="ED68" s="50"/>
      <c r="EE68" s="50"/>
      <c r="EF68" s="50"/>
      <c r="EG68" s="50"/>
      <c r="EH68" s="50"/>
      <c r="EI68" s="50"/>
      <c r="EJ68" s="50"/>
      <c r="EK68" s="50"/>
      <c r="EL68" s="50"/>
      <c r="EM68" s="50"/>
      <c r="EN68" s="50"/>
      <c r="EO68" s="50"/>
      <c r="EP68" s="50"/>
      <c r="EQ68" s="50"/>
      <c r="ER68" s="50"/>
      <c r="ES68" s="50"/>
      <c r="ET68" s="50"/>
      <c r="EU68" s="50"/>
      <c r="EV68" s="50"/>
      <c r="EW68" s="50"/>
      <c r="EX68" s="50"/>
      <c r="EY68" s="50"/>
      <c r="EZ68" s="50"/>
      <c r="FA68" s="50"/>
      <c r="FB68" s="50"/>
      <c r="FC68" s="50"/>
      <c r="FD68" s="50"/>
      <c r="FE68" s="50"/>
      <c r="FF68" s="50"/>
      <c r="FG68" s="50"/>
      <c r="FH68" s="50"/>
      <c r="FI68" s="50"/>
      <c r="FJ68" s="50"/>
      <c r="FK68" s="50"/>
      <c r="FL68" s="50"/>
      <c r="FM68" s="50"/>
      <c r="FN68" s="50"/>
      <c r="FO68" s="50"/>
      <c r="FP68" s="50"/>
      <c r="FQ68" s="50"/>
      <c r="FR68" s="50"/>
      <c r="FS68" s="50"/>
      <c r="FT68" s="50"/>
      <c r="FU68" s="50"/>
      <c r="FV68" s="50"/>
      <c r="FW68" s="50"/>
      <c r="FX68" s="50"/>
      <c r="FY68" s="50"/>
      <c r="FZ68" s="50"/>
      <c r="GA68" s="50"/>
      <c r="GB68" s="50"/>
      <c r="GC68" s="50"/>
      <c r="GD68" s="50"/>
      <c r="GE68" s="50"/>
      <c r="GF68" s="50"/>
      <c r="GG68" s="50"/>
      <c r="GH68" s="50"/>
      <c r="GI68" s="50"/>
      <c r="GJ68" s="50"/>
      <c r="GK68" s="50"/>
      <c r="GL68" s="50"/>
      <c r="GM68" s="50"/>
      <c r="GN68" s="50"/>
      <c r="GO68" s="50"/>
      <c r="GP68" s="50"/>
      <c r="GQ68" s="50"/>
      <c r="GR68" s="50"/>
      <c r="GS68" s="50"/>
      <c r="GT68" s="50"/>
      <c r="GU68" s="50"/>
      <c r="GV68" s="50"/>
      <c r="GW68" s="50"/>
      <c r="GX68" s="50"/>
      <c r="GY68" s="50"/>
      <c r="GZ68" s="50"/>
      <c r="HA68" s="50"/>
      <c r="HB68" s="50"/>
      <c r="HC68" s="50"/>
      <c r="HD68" s="50"/>
      <c r="HE68" s="50"/>
      <c r="HF68" s="50"/>
      <c r="HG68" s="50"/>
      <c r="HH68" s="50"/>
      <c r="HI68" s="50"/>
      <c r="HJ68" s="50"/>
      <c r="HK68" s="50"/>
      <c r="HL68" s="50"/>
      <c r="HM68" s="50"/>
      <c r="HN68" s="50"/>
      <c r="HO68" s="50"/>
      <c r="HP68" s="50"/>
      <c r="HQ68" s="50"/>
      <c r="HR68" s="50"/>
      <c r="HS68" s="50"/>
      <c r="HT68" s="50"/>
      <c r="HU68" s="50"/>
      <c r="HV68" s="50"/>
      <c r="HW68" s="50"/>
      <c r="HX68" s="50"/>
      <c r="HY68" s="50"/>
      <c r="HZ68" s="50"/>
      <c r="IA68" s="50"/>
      <c r="IB68" s="50"/>
      <c r="IC68" s="50"/>
      <c r="ID68" s="50"/>
      <c r="IE68" s="50"/>
      <c r="IF68" s="50"/>
      <c r="IG68" s="50"/>
      <c r="IH68" s="50"/>
      <c r="II68" s="50"/>
      <c r="IJ68" s="50"/>
      <c r="IK68" s="50"/>
      <c r="IL68" s="50"/>
      <c r="IM68" s="50"/>
      <c r="IN68" s="50"/>
      <c r="IO68" s="50"/>
      <c r="IP68" s="50"/>
      <c r="IQ68" s="50"/>
      <c r="IR68" s="50"/>
      <c r="IS68" s="50"/>
      <c r="IT68" s="50"/>
      <c r="IU68" s="50"/>
      <c r="IV68" s="50"/>
      <c r="IW68" s="50"/>
      <c r="IX68" s="50"/>
      <c r="IY68" s="50"/>
      <c r="IZ68" s="50"/>
      <c r="JA68" s="50"/>
      <c r="JB68" s="50"/>
      <c r="JC68" s="50"/>
      <c r="JD68" s="50"/>
      <c r="JE68" s="50"/>
      <c r="JF68" s="50"/>
      <c r="JG68" s="50"/>
      <c r="JH68" s="50"/>
      <c r="JI68" s="50"/>
      <c r="JJ68" s="50"/>
      <c r="JK68" s="50"/>
      <c r="JL68" s="50"/>
      <c r="JM68" s="50"/>
      <c r="JN68" s="50"/>
      <c r="JO68" s="50"/>
      <c r="JP68" s="50"/>
      <c r="JQ68" s="50"/>
      <c r="JR68" s="50"/>
      <c r="JS68" s="50"/>
      <c r="JT68" s="50"/>
      <c r="JU68" s="50"/>
      <c r="JV68" s="50"/>
      <c r="JW68" s="50"/>
      <c r="JX68" s="50"/>
      <c r="JY68" s="50"/>
      <c r="JZ68" s="50"/>
      <c r="KA68" s="50"/>
      <c r="KB68" s="50"/>
      <c r="KC68" s="50"/>
      <c r="KD68" s="50"/>
      <c r="KE68" s="50"/>
      <c r="KF68" s="50"/>
      <c r="KG68" s="50"/>
      <c r="KH68" s="50"/>
      <c r="KI68" s="50"/>
      <c r="KJ68" s="50"/>
      <c r="KK68" s="50"/>
      <c r="KL68" s="50"/>
      <c r="KM68" s="50"/>
      <c r="KN68" s="50"/>
      <c r="KO68" s="50"/>
      <c r="KP68" s="50"/>
      <c r="KQ68" s="50"/>
      <c r="KR68" s="50"/>
      <c r="KS68" s="50"/>
      <c r="KT68" s="50"/>
      <c r="KU68" s="50"/>
      <c r="KV68" s="50"/>
      <c r="KW68" s="50"/>
      <c r="KX68" s="50"/>
      <c r="KY68" s="50"/>
      <c r="KZ68" s="50"/>
      <c r="LA68" s="50"/>
      <c r="LB68" s="50"/>
      <c r="LC68" s="50"/>
      <c r="LD68" s="50"/>
      <c r="LE68" s="50"/>
      <c r="LF68" s="50"/>
      <c r="LG68" s="50"/>
      <c r="LH68" s="50"/>
      <c r="LI68" s="50"/>
      <c r="LJ68" s="50"/>
      <c r="LK68" s="50"/>
      <c r="LL68" s="50"/>
      <c r="LM68" s="50"/>
      <c r="LN68" s="50"/>
      <c r="LO68" s="50"/>
      <c r="LP68" s="50"/>
      <c r="LQ68" s="50"/>
      <c r="LR68" s="50"/>
      <c r="LS68" s="50"/>
      <c r="LT68" s="50"/>
      <c r="LU68" s="50"/>
      <c r="LV68" s="50"/>
      <c r="LW68" s="50"/>
      <c r="LX68" s="50"/>
      <c r="LY68" s="50"/>
      <c r="LZ68" s="50"/>
      <c r="MA68" s="50"/>
      <c r="MB68" s="50"/>
      <c r="MC68" s="50"/>
      <c r="MD68" s="50"/>
      <c r="ME68" s="50"/>
      <c r="MF68" s="50"/>
      <c r="MG68" s="50"/>
      <c r="MH68" s="50"/>
      <c r="MI68" s="50"/>
      <c r="MJ68" s="50"/>
      <c r="MK68" s="50"/>
      <c r="ML68" s="50"/>
      <c r="MM68" s="50"/>
      <c r="MN68" s="50"/>
      <c r="MO68" s="50"/>
      <c r="MP68" s="50"/>
      <c r="MQ68" s="50"/>
      <c r="MR68" s="50"/>
      <c r="MS68" s="50"/>
      <c r="MT68" s="50"/>
      <c r="MU68" s="50"/>
      <c r="MV68" s="50"/>
      <c r="MW68" s="50"/>
      <c r="MX68" s="50"/>
      <c r="MY68" s="50"/>
      <c r="MZ68" s="50"/>
      <c r="NA68" s="50"/>
      <c r="NB68" s="50"/>
    </row>
    <row r="69" spans="6:366" x14ac:dyDescent="0.25"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63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  <c r="DM69" s="47"/>
      <c r="DN69" s="47"/>
      <c r="DO69" s="47"/>
      <c r="DP69" s="47"/>
      <c r="DQ69" s="47"/>
      <c r="DR69" s="47"/>
      <c r="DS69" s="47"/>
      <c r="DT69" s="47"/>
      <c r="DU69" s="47"/>
      <c r="DV69" s="47"/>
      <c r="DW69" s="47"/>
      <c r="DX69" s="47"/>
      <c r="DY69" s="47"/>
      <c r="DZ69" s="47"/>
      <c r="EA69" s="47"/>
      <c r="EB69" s="47"/>
      <c r="EC69" s="47"/>
      <c r="ED69" s="47"/>
      <c r="EE69" s="47"/>
      <c r="EF69" s="47"/>
      <c r="EG69" s="47"/>
      <c r="EH69" s="47"/>
      <c r="EI69" s="47"/>
      <c r="EJ69" s="47"/>
      <c r="EK69" s="47"/>
      <c r="EL69" s="47"/>
      <c r="EM69" s="47"/>
      <c r="EN69" s="47"/>
      <c r="EO69" s="47"/>
      <c r="EP69" s="47"/>
      <c r="EQ69" s="47"/>
      <c r="ER69" s="47"/>
      <c r="ES69" s="47"/>
      <c r="ET69" s="47"/>
      <c r="EU69" s="47"/>
      <c r="EV69" s="47"/>
      <c r="EW69" s="47"/>
      <c r="EX69" s="47"/>
      <c r="EY69" s="47"/>
      <c r="EZ69" s="47"/>
      <c r="FA69" s="47"/>
      <c r="FB69" s="47"/>
      <c r="FC69" s="47"/>
      <c r="FD69" s="47"/>
      <c r="FE69" s="47"/>
      <c r="FF69" s="47"/>
      <c r="FG69" s="47"/>
      <c r="FH69" s="47"/>
      <c r="FI69" s="47"/>
      <c r="FJ69" s="47"/>
      <c r="FK69" s="47"/>
      <c r="FL69" s="47"/>
      <c r="FM69" s="47"/>
      <c r="FN69" s="47"/>
      <c r="FO69" s="47"/>
      <c r="FP69" s="47"/>
      <c r="FQ69" s="47"/>
      <c r="FR69" s="47"/>
      <c r="FS69" s="47"/>
      <c r="FT69" s="47"/>
      <c r="FU69" s="47"/>
      <c r="FV69" s="47"/>
      <c r="FW69" s="47"/>
      <c r="FX69" s="47"/>
      <c r="FY69" s="47"/>
      <c r="FZ69" s="47"/>
      <c r="GA69" s="47"/>
      <c r="GB69" s="47"/>
      <c r="GC69" s="47"/>
      <c r="GD69" s="47"/>
      <c r="GE69" s="47"/>
      <c r="GF69" s="47"/>
      <c r="GG69" s="47"/>
      <c r="GH69" s="47"/>
      <c r="GI69" s="47"/>
      <c r="GJ69" s="47"/>
      <c r="GK69" s="47"/>
      <c r="GL69" s="47"/>
      <c r="GM69" s="47"/>
      <c r="GN69" s="47"/>
      <c r="GO69" s="47"/>
      <c r="GP69" s="47"/>
      <c r="GQ69" s="47"/>
      <c r="GR69" s="47"/>
      <c r="GS69" s="47"/>
      <c r="GT69" s="47"/>
      <c r="GU69" s="47"/>
      <c r="GV69" s="47"/>
      <c r="GW69" s="47"/>
      <c r="GX69" s="47"/>
      <c r="GY69" s="47"/>
      <c r="GZ69" s="47"/>
      <c r="HA69" s="47"/>
      <c r="HB69" s="47"/>
      <c r="HC69" s="47"/>
      <c r="HD69" s="47"/>
      <c r="HE69" s="47"/>
      <c r="HF69" s="47"/>
      <c r="HG69" s="47"/>
      <c r="HH69" s="47"/>
      <c r="HI69" s="47"/>
      <c r="HJ69" s="47"/>
      <c r="HK69" s="47"/>
      <c r="HL69" s="47"/>
      <c r="HM69" s="47"/>
      <c r="HN69" s="47"/>
      <c r="HO69" s="47"/>
      <c r="HP69" s="47"/>
      <c r="HQ69" s="47"/>
      <c r="HR69" s="47"/>
      <c r="HS69" s="47"/>
      <c r="HT69" s="47"/>
      <c r="HU69" s="47"/>
      <c r="HV69" s="47"/>
      <c r="HW69" s="47"/>
      <c r="HX69" s="47"/>
      <c r="HY69" s="47"/>
      <c r="HZ69" s="47"/>
      <c r="IA69" s="47"/>
      <c r="IB69" s="47"/>
      <c r="IC69" s="47"/>
      <c r="ID69" s="47"/>
      <c r="IE69" s="47"/>
      <c r="IF69" s="47"/>
      <c r="IG69" s="47"/>
      <c r="IH69" s="47"/>
      <c r="II69" s="47"/>
      <c r="IJ69" s="47"/>
      <c r="IK69" s="47"/>
      <c r="IL69" s="47"/>
      <c r="IM69" s="47"/>
      <c r="IN69" s="47"/>
      <c r="IO69" s="47"/>
      <c r="IP69" s="47"/>
      <c r="IQ69" s="47"/>
      <c r="IR69" s="47"/>
      <c r="IS69" s="47"/>
      <c r="IT69" s="47"/>
      <c r="IU69" s="47"/>
      <c r="IV69" s="47"/>
      <c r="IW69" s="47"/>
      <c r="IX69" s="47"/>
      <c r="IY69" s="47"/>
      <c r="IZ69" s="47"/>
      <c r="JA69" s="47"/>
      <c r="JB69" s="47"/>
      <c r="JC69" s="47"/>
      <c r="JD69" s="47"/>
      <c r="JE69" s="47"/>
      <c r="JF69" s="47"/>
      <c r="JG69" s="47"/>
      <c r="JH69" s="47"/>
      <c r="JI69" s="47"/>
      <c r="JJ69" s="47"/>
      <c r="JK69" s="47"/>
      <c r="JL69" s="47"/>
      <c r="JM69" s="47"/>
      <c r="JN69" s="47"/>
      <c r="JO69" s="47"/>
      <c r="JP69" s="47"/>
      <c r="JQ69" s="47"/>
      <c r="JR69" s="47"/>
      <c r="JS69" s="47"/>
      <c r="JT69" s="47"/>
      <c r="JU69" s="47"/>
      <c r="JV69" s="47"/>
      <c r="JW69" s="47"/>
      <c r="JX69" s="47"/>
      <c r="JY69" s="47"/>
      <c r="JZ69" s="47"/>
      <c r="KA69" s="47"/>
      <c r="KB69" s="47"/>
      <c r="KC69" s="47"/>
      <c r="KD69" s="47"/>
      <c r="KE69" s="47"/>
      <c r="KF69" s="47"/>
      <c r="KG69" s="47"/>
      <c r="KH69" s="47"/>
      <c r="KI69" s="47"/>
      <c r="KJ69" s="47"/>
      <c r="KK69" s="47"/>
      <c r="KL69" s="47"/>
      <c r="KM69" s="47"/>
      <c r="KN69" s="47"/>
      <c r="KO69" s="47"/>
      <c r="KP69" s="47"/>
      <c r="KQ69" s="47"/>
      <c r="KR69" s="47"/>
      <c r="KS69" s="47"/>
      <c r="KT69" s="47"/>
      <c r="KU69" s="47"/>
      <c r="KV69" s="47"/>
      <c r="KW69" s="47"/>
      <c r="KX69" s="47"/>
      <c r="KY69" s="47"/>
      <c r="KZ69" s="47"/>
      <c r="LA69" s="47"/>
      <c r="LB69" s="47"/>
      <c r="LC69" s="47"/>
      <c r="LD69" s="47"/>
      <c r="LE69" s="47"/>
      <c r="LF69" s="47"/>
      <c r="LG69" s="47"/>
      <c r="LH69" s="47"/>
      <c r="LI69" s="47"/>
      <c r="LJ69" s="47"/>
      <c r="LK69" s="47"/>
      <c r="LL69" s="47"/>
      <c r="LM69" s="47"/>
      <c r="LN69" s="47"/>
      <c r="LO69" s="47"/>
      <c r="LP69" s="47"/>
      <c r="LQ69" s="47"/>
      <c r="LR69" s="47"/>
      <c r="LS69" s="47"/>
      <c r="LT69" s="47"/>
      <c r="LU69" s="47"/>
      <c r="LV69" s="47"/>
      <c r="LW69" s="47"/>
      <c r="LX69" s="47"/>
      <c r="LY69" s="47"/>
      <c r="LZ69" s="47"/>
      <c r="MA69" s="47"/>
      <c r="MB69" s="47"/>
      <c r="MC69" s="47"/>
      <c r="MD69" s="47"/>
      <c r="ME69" s="47"/>
      <c r="MF69" s="47"/>
      <c r="MG69" s="47"/>
      <c r="MH69" s="47"/>
      <c r="MI69" s="47"/>
      <c r="MJ69" s="47"/>
      <c r="MK69" s="47"/>
      <c r="ML69" s="47"/>
      <c r="MM69" s="47"/>
      <c r="MN69" s="47"/>
      <c r="MO69" s="47"/>
      <c r="MP69" s="47"/>
      <c r="MQ69" s="47"/>
      <c r="MR69" s="47"/>
      <c r="MS69" s="47"/>
      <c r="MT69" s="47"/>
      <c r="MU69" s="47"/>
      <c r="MV69" s="47"/>
      <c r="MW69" s="47"/>
      <c r="MX69" s="47"/>
      <c r="MY69" s="47"/>
      <c r="MZ69" s="47"/>
      <c r="NA69" s="47"/>
      <c r="NB69" s="47"/>
    </row>
    <row r="70" spans="6:366" x14ac:dyDescent="0.25"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64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  <c r="HG70" s="48"/>
      <c r="HH70" s="48"/>
      <c r="HI70" s="48"/>
      <c r="HJ70" s="48"/>
      <c r="HK70" s="48"/>
      <c r="HL70" s="48"/>
      <c r="HM70" s="48"/>
      <c r="HN70" s="48"/>
      <c r="HO70" s="48"/>
      <c r="HP70" s="48"/>
      <c r="HQ70" s="48"/>
      <c r="HR70" s="48"/>
      <c r="HS70" s="48"/>
      <c r="HT70" s="48"/>
      <c r="HU70" s="48"/>
      <c r="HV70" s="48"/>
      <c r="HW70" s="48"/>
      <c r="HX70" s="48"/>
      <c r="HY70" s="48"/>
      <c r="HZ70" s="48"/>
      <c r="IA70" s="48"/>
      <c r="IB70" s="48"/>
      <c r="IC70" s="48"/>
      <c r="ID70" s="48"/>
      <c r="IE70" s="48"/>
      <c r="IF70" s="48"/>
      <c r="IG70" s="48"/>
      <c r="IH70" s="48"/>
      <c r="II70" s="48"/>
      <c r="IJ70" s="48"/>
      <c r="IK70" s="48"/>
      <c r="IL70" s="48"/>
      <c r="IM70" s="48"/>
      <c r="IN70" s="48"/>
      <c r="IO70" s="48"/>
      <c r="IP70" s="48"/>
      <c r="IQ70" s="48"/>
      <c r="IR70" s="48"/>
      <c r="IS70" s="48"/>
      <c r="IT70" s="48"/>
      <c r="IU70" s="48"/>
      <c r="IV70" s="48"/>
      <c r="IW70" s="48"/>
      <c r="IX70" s="48"/>
      <c r="IY70" s="48"/>
      <c r="IZ70" s="48"/>
      <c r="JA70" s="48"/>
      <c r="JB70" s="48"/>
      <c r="JC70" s="48"/>
      <c r="JD70" s="48"/>
      <c r="JE70" s="48"/>
      <c r="JF70" s="48"/>
      <c r="JG70" s="48"/>
      <c r="JH70" s="48"/>
      <c r="JI70" s="48"/>
      <c r="JJ70" s="48"/>
      <c r="JK70" s="48"/>
      <c r="JL70" s="48"/>
      <c r="JM70" s="48"/>
      <c r="JN70" s="48"/>
      <c r="JO70" s="48"/>
      <c r="JP70" s="48"/>
      <c r="JQ70" s="48"/>
      <c r="JR70" s="48"/>
      <c r="JS70" s="48"/>
      <c r="JT70" s="48"/>
      <c r="JU70" s="48"/>
      <c r="JV70" s="48"/>
      <c r="JW70" s="48"/>
      <c r="JX70" s="48"/>
      <c r="JY70" s="48"/>
      <c r="JZ70" s="48"/>
      <c r="KA70" s="48"/>
      <c r="KB70" s="48"/>
      <c r="KC70" s="48"/>
      <c r="KD70" s="48"/>
      <c r="KE70" s="48"/>
      <c r="KF70" s="48"/>
      <c r="KG70" s="48"/>
      <c r="KH70" s="48"/>
      <c r="KI70" s="48"/>
      <c r="KJ70" s="48"/>
      <c r="KK70" s="48"/>
      <c r="KL70" s="48"/>
      <c r="KM70" s="48"/>
      <c r="KN70" s="48"/>
      <c r="KO70" s="48"/>
      <c r="KP70" s="48"/>
      <c r="KQ70" s="48"/>
      <c r="KR70" s="48"/>
      <c r="KS70" s="48"/>
      <c r="KT70" s="48"/>
      <c r="KU70" s="48"/>
      <c r="KV70" s="48"/>
      <c r="KW70" s="48"/>
      <c r="KX70" s="48"/>
      <c r="KY70" s="48"/>
      <c r="KZ70" s="48"/>
      <c r="LA70" s="48"/>
      <c r="LB70" s="48"/>
      <c r="LC70" s="48"/>
      <c r="LD70" s="48"/>
      <c r="LE70" s="48"/>
      <c r="LF70" s="48"/>
      <c r="LG70" s="48"/>
      <c r="LH70" s="48"/>
      <c r="LI70" s="48"/>
      <c r="LJ70" s="48"/>
      <c r="LK70" s="48"/>
      <c r="LL70" s="48"/>
      <c r="LM70" s="48"/>
      <c r="LN70" s="48"/>
      <c r="LO70" s="48"/>
      <c r="LP70" s="48"/>
      <c r="LQ70" s="48"/>
      <c r="LR70" s="48"/>
      <c r="LS70" s="48"/>
      <c r="LT70" s="48"/>
      <c r="LU70" s="48"/>
      <c r="LV70" s="48"/>
      <c r="LW70" s="48"/>
      <c r="LX70" s="48"/>
      <c r="LY70" s="48"/>
      <c r="LZ70" s="48"/>
      <c r="MA70" s="48"/>
      <c r="MB70" s="48"/>
      <c r="MC70" s="48"/>
      <c r="MD70" s="48"/>
      <c r="ME70" s="48"/>
      <c r="MF70" s="48"/>
      <c r="MG70" s="48"/>
      <c r="MH70" s="48"/>
      <c r="MI70" s="48"/>
      <c r="MJ70" s="48"/>
      <c r="MK70" s="48"/>
      <c r="ML70" s="48"/>
      <c r="MM70" s="48"/>
      <c r="MN70" s="48"/>
      <c r="MO70" s="48"/>
      <c r="MP70" s="48"/>
      <c r="MQ70" s="48"/>
      <c r="MR70" s="48"/>
      <c r="MS70" s="48"/>
      <c r="MT70" s="48"/>
      <c r="MU70" s="48"/>
      <c r="MV70" s="48"/>
      <c r="MW70" s="48"/>
      <c r="MX70" s="48"/>
      <c r="MY70" s="48"/>
      <c r="MZ70" s="48"/>
      <c r="NA70" s="48"/>
      <c r="NB70" s="48"/>
    </row>
    <row r="71" spans="6:366" x14ac:dyDescent="0.25"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65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DC71" s="49"/>
      <c r="DD71" s="49"/>
      <c r="DE71" s="49"/>
      <c r="DF71" s="49"/>
      <c r="DG71" s="49"/>
      <c r="DH71" s="49"/>
      <c r="DI71" s="49"/>
      <c r="DJ71" s="49"/>
      <c r="DK71" s="49"/>
      <c r="DL71" s="49"/>
      <c r="DM71" s="49"/>
      <c r="DN71" s="49"/>
      <c r="DO71" s="49"/>
      <c r="DP71" s="49"/>
      <c r="DQ71" s="49"/>
      <c r="DR71" s="49"/>
      <c r="DS71" s="49"/>
      <c r="DT71" s="49"/>
      <c r="DU71" s="49"/>
      <c r="DV71" s="49"/>
      <c r="DW71" s="49"/>
      <c r="DX71" s="49"/>
      <c r="DY71" s="49"/>
      <c r="DZ71" s="49"/>
      <c r="EA71" s="49"/>
      <c r="EB71" s="49"/>
      <c r="EC71" s="49"/>
      <c r="ED71" s="49"/>
      <c r="EE71" s="49"/>
      <c r="EF71" s="49"/>
      <c r="EG71" s="49"/>
      <c r="EH71" s="49"/>
      <c r="EI71" s="49"/>
      <c r="EJ71" s="49"/>
      <c r="EK71" s="49"/>
      <c r="EL71" s="49"/>
      <c r="EM71" s="49"/>
      <c r="EN71" s="49"/>
      <c r="EO71" s="49"/>
      <c r="EP71" s="49"/>
      <c r="EQ71" s="49"/>
      <c r="ER71" s="49"/>
      <c r="ES71" s="49"/>
      <c r="ET71" s="49"/>
      <c r="EU71" s="49"/>
      <c r="EV71" s="49"/>
      <c r="EW71" s="49"/>
      <c r="EX71" s="49"/>
      <c r="EY71" s="49"/>
      <c r="EZ71" s="49"/>
      <c r="FA71" s="49"/>
      <c r="FB71" s="49"/>
      <c r="FC71" s="49"/>
      <c r="FD71" s="49"/>
      <c r="FE71" s="49"/>
      <c r="FF71" s="49"/>
      <c r="FG71" s="49"/>
      <c r="FH71" s="49"/>
      <c r="FI71" s="49"/>
      <c r="FJ71" s="49"/>
      <c r="FK71" s="49"/>
      <c r="FL71" s="49"/>
      <c r="FM71" s="49"/>
      <c r="FN71" s="49"/>
      <c r="FO71" s="49"/>
      <c r="FP71" s="49"/>
      <c r="FQ71" s="49"/>
      <c r="FR71" s="49"/>
      <c r="FS71" s="49"/>
      <c r="FT71" s="49"/>
      <c r="FU71" s="49"/>
      <c r="FV71" s="49"/>
      <c r="FW71" s="49"/>
      <c r="FX71" s="49"/>
      <c r="FY71" s="49"/>
      <c r="FZ71" s="49"/>
      <c r="GA71" s="49"/>
      <c r="GB71" s="49"/>
      <c r="GC71" s="49"/>
      <c r="GD71" s="49"/>
      <c r="GE71" s="49"/>
      <c r="GF71" s="49"/>
      <c r="GG71" s="49"/>
      <c r="GH71" s="49"/>
      <c r="GI71" s="49"/>
      <c r="GJ71" s="49"/>
      <c r="GK71" s="49"/>
      <c r="GL71" s="49"/>
      <c r="GM71" s="49"/>
      <c r="GN71" s="49"/>
      <c r="GO71" s="49"/>
      <c r="GP71" s="49"/>
      <c r="GQ71" s="49"/>
      <c r="GR71" s="49"/>
      <c r="GS71" s="49"/>
      <c r="GT71" s="49"/>
      <c r="GU71" s="49"/>
      <c r="GV71" s="49"/>
      <c r="GW71" s="49"/>
      <c r="GX71" s="49"/>
      <c r="GY71" s="49"/>
      <c r="GZ71" s="49"/>
      <c r="HA71" s="49"/>
      <c r="HB71" s="49"/>
      <c r="HC71" s="49"/>
      <c r="HD71" s="49"/>
      <c r="HE71" s="49"/>
      <c r="HF71" s="49"/>
      <c r="HG71" s="49"/>
      <c r="HH71" s="49"/>
      <c r="HI71" s="49"/>
      <c r="HJ71" s="49"/>
      <c r="HK71" s="49"/>
      <c r="HL71" s="49"/>
      <c r="HM71" s="49"/>
      <c r="HN71" s="49"/>
      <c r="HO71" s="49"/>
      <c r="HP71" s="49"/>
      <c r="HQ71" s="49"/>
      <c r="HR71" s="49"/>
      <c r="HS71" s="49"/>
      <c r="HT71" s="49"/>
      <c r="HU71" s="49"/>
      <c r="HV71" s="49"/>
      <c r="HW71" s="49"/>
      <c r="HX71" s="49"/>
      <c r="HY71" s="49"/>
      <c r="HZ71" s="49"/>
      <c r="IA71" s="49"/>
      <c r="IB71" s="49"/>
      <c r="IC71" s="49"/>
      <c r="ID71" s="49"/>
      <c r="IE71" s="49"/>
      <c r="IF71" s="49"/>
      <c r="IG71" s="49"/>
      <c r="IH71" s="49"/>
      <c r="II71" s="49"/>
      <c r="IJ71" s="49"/>
      <c r="IK71" s="49"/>
      <c r="IL71" s="49"/>
      <c r="IM71" s="49"/>
      <c r="IN71" s="49"/>
      <c r="IO71" s="49"/>
      <c r="IP71" s="49"/>
      <c r="IQ71" s="49"/>
      <c r="IR71" s="49"/>
      <c r="IS71" s="49"/>
      <c r="IT71" s="49"/>
      <c r="IU71" s="49"/>
      <c r="IV71" s="49"/>
      <c r="IW71" s="49"/>
      <c r="IX71" s="49"/>
      <c r="IY71" s="49"/>
      <c r="IZ71" s="49"/>
      <c r="JA71" s="49"/>
      <c r="JB71" s="49"/>
      <c r="JC71" s="49"/>
      <c r="JD71" s="49"/>
      <c r="JE71" s="49"/>
      <c r="JF71" s="49"/>
      <c r="JG71" s="49"/>
      <c r="JH71" s="49"/>
      <c r="JI71" s="49"/>
      <c r="JJ71" s="49"/>
      <c r="JK71" s="49"/>
      <c r="JL71" s="49"/>
      <c r="JM71" s="49"/>
      <c r="JN71" s="49"/>
      <c r="JO71" s="49"/>
      <c r="JP71" s="49"/>
      <c r="JQ71" s="49"/>
      <c r="JR71" s="49"/>
      <c r="JS71" s="49"/>
      <c r="JT71" s="49"/>
      <c r="JU71" s="49"/>
      <c r="JV71" s="49"/>
      <c r="JW71" s="49"/>
      <c r="JX71" s="49"/>
      <c r="JY71" s="49"/>
      <c r="JZ71" s="49"/>
      <c r="KA71" s="49"/>
      <c r="KB71" s="49"/>
      <c r="KC71" s="49"/>
      <c r="KD71" s="49"/>
      <c r="KE71" s="49"/>
      <c r="KF71" s="49"/>
      <c r="KG71" s="49"/>
      <c r="KH71" s="49"/>
      <c r="KI71" s="49"/>
      <c r="KJ71" s="49"/>
      <c r="KK71" s="49"/>
      <c r="KL71" s="49"/>
      <c r="KM71" s="49"/>
      <c r="KN71" s="49"/>
      <c r="KO71" s="49"/>
      <c r="KP71" s="49"/>
      <c r="KQ71" s="49"/>
      <c r="KR71" s="49"/>
      <c r="KS71" s="49"/>
      <c r="KT71" s="49"/>
      <c r="KU71" s="49"/>
      <c r="KV71" s="49"/>
      <c r="KW71" s="49"/>
      <c r="KX71" s="49"/>
      <c r="KY71" s="49"/>
      <c r="KZ71" s="49"/>
      <c r="LA71" s="49"/>
      <c r="LB71" s="49"/>
      <c r="LC71" s="49"/>
      <c r="LD71" s="49"/>
      <c r="LE71" s="49"/>
      <c r="LF71" s="49"/>
      <c r="LG71" s="49"/>
      <c r="LH71" s="49"/>
      <c r="LI71" s="49"/>
      <c r="LJ71" s="49"/>
      <c r="LK71" s="49"/>
      <c r="LL71" s="49"/>
      <c r="LM71" s="49"/>
      <c r="LN71" s="49"/>
      <c r="LO71" s="49"/>
      <c r="LP71" s="49"/>
      <c r="LQ71" s="49"/>
      <c r="LR71" s="49"/>
      <c r="LS71" s="49"/>
      <c r="LT71" s="49"/>
      <c r="LU71" s="49"/>
      <c r="LV71" s="49"/>
      <c r="LW71" s="49"/>
      <c r="LX71" s="49"/>
      <c r="LY71" s="49"/>
      <c r="LZ71" s="49"/>
      <c r="MA71" s="49"/>
      <c r="MB71" s="49"/>
      <c r="MC71" s="49"/>
      <c r="MD71" s="49"/>
      <c r="ME71" s="49"/>
      <c r="MF71" s="49"/>
      <c r="MG71" s="49"/>
      <c r="MH71" s="49"/>
      <c r="MI71" s="49"/>
      <c r="MJ71" s="49"/>
      <c r="MK71" s="49"/>
      <c r="ML71" s="49"/>
      <c r="MM71" s="49"/>
      <c r="MN71" s="49"/>
      <c r="MO71" s="49"/>
      <c r="MP71" s="49"/>
      <c r="MQ71" s="49"/>
      <c r="MR71" s="49"/>
      <c r="MS71" s="49"/>
      <c r="MT71" s="49"/>
      <c r="MU71" s="49"/>
      <c r="MV71" s="49"/>
      <c r="MW71" s="49"/>
      <c r="MX71" s="49"/>
      <c r="MY71" s="49"/>
      <c r="MZ71" s="49"/>
      <c r="NA71" s="49"/>
      <c r="NB71" s="49"/>
    </row>
    <row r="72" spans="6:366" x14ac:dyDescent="0.25"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6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  <c r="FW72" s="27"/>
      <c r="FX72" s="27"/>
      <c r="FY72" s="27"/>
      <c r="FZ72" s="27"/>
      <c r="GA72" s="27"/>
      <c r="GB72" s="27"/>
      <c r="GC72" s="27"/>
      <c r="GD72" s="2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7"/>
      <c r="GP72" s="27"/>
      <c r="GQ72" s="27"/>
      <c r="GR72" s="27"/>
      <c r="GS72" s="27"/>
      <c r="GT72" s="27"/>
      <c r="GU72" s="27"/>
      <c r="GV72" s="27"/>
      <c r="GW72" s="27"/>
      <c r="GX72" s="27"/>
      <c r="GY72" s="27"/>
      <c r="GZ72" s="27"/>
      <c r="HA72" s="27"/>
      <c r="HB72" s="27"/>
      <c r="HC72" s="27"/>
      <c r="HD72" s="27"/>
      <c r="HE72" s="27"/>
      <c r="HF72" s="27"/>
      <c r="HG72" s="27"/>
      <c r="HH72" s="27"/>
      <c r="HI72" s="27"/>
      <c r="HJ72" s="27"/>
      <c r="HK72" s="27"/>
      <c r="HL72" s="27"/>
      <c r="HM72" s="27"/>
      <c r="HN72" s="27"/>
      <c r="HO72" s="27"/>
      <c r="HP72" s="27"/>
      <c r="HQ72" s="27"/>
      <c r="HR72" s="27"/>
      <c r="HS72" s="27"/>
      <c r="HT72" s="27"/>
      <c r="HU72" s="27"/>
      <c r="HV72" s="27"/>
      <c r="HW72" s="27"/>
      <c r="HX72" s="27"/>
      <c r="HY72" s="27"/>
      <c r="HZ72" s="27"/>
      <c r="IA72" s="27"/>
      <c r="IB72" s="27"/>
      <c r="IC72" s="27"/>
      <c r="ID72" s="27"/>
      <c r="IE72" s="27"/>
      <c r="IF72" s="27"/>
      <c r="IG72" s="27"/>
      <c r="IH72" s="27"/>
      <c r="II72" s="27"/>
      <c r="IJ72" s="27"/>
      <c r="IK72" s="27"/>
      <c r="IL72" s="27"/>
      <c r="IM72" s="27"/>
      <c r="IN72" s="27"/>
      <c r="IO72" s="27"/>
      <c r="IP72" s="27"/>
      <c r="IQ72" s="27"/>
      <c r="IR72" s="27"/>
      <c r="IS72" s="27"/>
      <c r="IT72" s="27"/>
      <c r="IU72" s="27"/>
      <c r="IV72" s="27"/>
      <c r="IW72" s="27"/>
      <c r="IX72" s="27"/>
      <c r="IY72" s="27"/>
      <c r="IZ72" s="27"/>
      <c r="JA72" s="27"/>
      <c r="JB72" s="27"/>
      <c r="JC72" s="27"/>
      <c r="JD72" s="27"/>
      <c r="JE72" s="27"/>
      <c r="JF72" s="27"/>
      <c r="JG72" s="27"/>
      <c r="JH72" s="27"/>
      <c r="JI72" s="27"/>
      <c r="JJ72" s="27"/>
      <c r="JK72" s="27"/>
      <c r="JL72" s="27"/>
      <c r="JM72" s="27"/>
      <c r="JN72" s="27"/>
      <c r="JO72" s="27"/>
      <c r="JP72" s="27"/>
      <c r="JQ72" s="27"/>
      <c r="JR72" s="27"/>
      <c r="JS72" s="27"/>
      <c r="JT72" s="27"/>
      <c r="JU72" s="27"/>
      <c r="JV72" s="27"/>
      <c r="JW72" s="27"/>
      <c r="JX72" s="27"/>
      <c r="JY72" s="27"/>
      <c r="JZ72" s="27"/>
      <c r="KA72" s="27"/>
      <c r="KB72" s="27"/>
      <c r="KC72" s="27"/>
      <c r="KD72" s="27"/>
      <c r="KE72" s="27"/>
      <c r="KF72" s="27"/>
      <c r="KG72" s="27"/>
      <c r="KH72" s="27"/>
      <c r="KI72" s="27"/>
      <c r="KJ72" s="27"/>
      <c r="KK72" s="27"/>
      <c r="KL72" s="27"/>
      <c r="KM72" s="27"/>
      <c r="KN72" s="27"/>
      <c r="KO72" s="27"/>
      <c r="KP72" s="27"/>
      <c r="KQ72" s="27"/>
      <c r="KR72" s="27"/>
      <c r="KS72" s="27"/>
      <c r="KT72" s="27"/>
      <c r="KU72" s="27"/>
      <c r="KV72" s="27"/>
      <c r="KW72" s="27"/>
      <c r="KX72" s="27"/>
      <c r="KY72" s="27"/>
      <c r="KZ72" s="27"/>
      <c r="LA72" s="27"/>
      <c r="LB72" s="27"/>
      <c r="LC72" s="27"/>
      <c r="LD72" s="27"/>
      <c r="LE72" s="27"/>
      <c r="LF72" s="27"/>
      <c r="LG72" s="27"/>
      <c r="LH72" s="27"/>
      <c r="LI72" s="27"/>
      <c r="LJ72" s="27"/>
      <c r="LK72" s="27"/>
      <c r="LL72" s="27"/>
      <c r="LM72" s="27"/>
      <c r="LN72" s="27"/>
      <c r="LO72" s="27"/>
      <c r="LP72" s="27"/>
      <c r="LQ72" s="27"/>
      <c r="LR72" s="27"/>
      <c r="LS72" s="27"/>
      <c r="LT72" s="27"/>
      <c r="LU72" s="27"/>
      <c r="LV72" s="27"/>
      <c r="LW72" s="27"/>
      <c r="LX72" s="27"/>
      <c r="LY72" s="27"/>
      <c r="LZ72" s="27"/>
      <c r="MA72" s="27"/>
      <c r="MB72" s="27"/>
      <c r="MC72" s="27"/>
      <c r="MD72" s="27"/>
      <c r="ME72" s="27"/>
      <c r="MF72" s="27"/>
      <c r="MG72" s="27"/>
      <c r="MH72" s="27"/>
      <c r="MI72" s="27"/>
      <c r="MJ72" s="27"/>
      <c r="MK72" s="27"/>
      <c r="ML72" s="27"/>
      <c r="MM72" s="27"/>
      <c r="MN72" s="27"/>
      <c r="MO72" s="27"/>
      <c r="MP72" s="27"/>
      <c r="MQ72" s="27"/>
      <c r="MR72" s="27"/>
      <c r="MS72" s="27"/>
      <c r="MT72" s="27"/>
      <c r="MU72" s="27"/>
      <c r="MV72" s="27"/>
      <c r="MW72" s="27"/>
      <c r="MX72" s="27"/>
      <c r="MY72" s="27"/>
      <c r="MZ72" s="27"/>
      <c r="NA72" s="27"/>
      <c r="NB72" s="27"/>
    </row>
    <row r="73" spans="6:366" x14ac:dyDescent="0.25"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6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  <c r="FM73" s="28"/>
      <c r="FN73" s="28"/>
      <c r="FO73" s="28"/>
      <c r="FP73" s="28"/>
      <c r="FQ73" s="28"/>
      <c r="FR73" s="28"/>
      <c r="FS73" s="28"/>
      <c r="FT73" s="28"/>
      <c r="FU73" s="28"/>
      <c r="FV73" s="28"/>
      <c r="FW73" s="28"/>
      <c r="FX73" s="28"/>
      <c r="FY73" s="28"/>
      <c r="FZ73" s="28"/>
      <c r="GA73" s="28"/>
      <c r="GB73" s="28"/>
      <c r="GC73" s="28"/>
      <c r="GD73" s="28"/>
      <c r="GE73" s="28"/>
      <c r="GF73" s="28"/>
      <c r="GG73" s="28"/>
      <c r="GH73" s="28"/>
      <c r="GI73" s="28"/>
      <c r="GJ73" s="28"/>
      <c r="GK73" s="28"/>
      <c r="GL73" s="28"/>
      <c r="GM73" s="28"/>
      <c r="GN73" s="28"/>
      <c r="GO73" s="28"/>
      <c r="GP73" s="28"/>
      <c r="GQ73" s="28"/>
      <c r="GR73" s="28"/>
      <c r="GS73" s="28"/>
      <c r="GT73" s="28"/>
      <c r="GU73" s="28"/>
      <c r="GV73" s="28"/>
      <c r="GW73" s="28"/>
      <c r="GX73" s="28"/>
      <c r="GY73" s="28"/>
      <c r="GZ73" s="28"/>
      <c r="HA73" s="28"/>
      <c r="HB73" s="28"/>
      <c r="HC73" s="28"/>
      <c r="HD73" s="28"/>
      <c r="HE73" s="28"/>
      <c r="HF73" s="28"/>
      <c r="HG73" s="28"/>
      <c r="HH73" s="28"/>
      <c r="HI73" s="28"/>
      <c r="HJ73" s="28"/>
      <c r="HK73" s="28"/>
      <c r="HL73" s="28"/>
      <c r="HM73" s="28"/>
      <c r="HN73" s="28"/>
      <c r="HO73" s="28"/>
      <c r="HP73" s="28"/>
      <c r="HQ73" s="28"/>
      <c r="HR73" s="28"/>
      <c r="HS73" s="28"/>
      <c r="HT73" s="28"/>
      <c r="HU73" s="28"/>
      <c r="HV73" s="28"/>
      <c r="HW73" s="28"/>
      <c r="HX73" s="28"/>
      <c r="HY73" s="28"/>
      <c r="HZ73" s="28"/>
      <c r="IA73" s="28"/>
      <c r="IB73" s="28"/>
      <c r="IC73" s="28"/>
      <c r="ID73" s="28"/>
      <c r="IE73" s="28"/>
      <c r="IF73" s="28"/>
      <c r="IG73" s="28"/>
      <c r="IH73" s="28"/>
      <c r="II73" s="28"/>
      <c r="IJ73" s="28"/>
      <c r="IK73" s="28"/>
      <c r="IL73" s="28"/>
      <c r="IM73" s="28"/>
      <c r="IN73" s="28"/>
      <c r="IO73" s="28"/>
      <c r="IP73" s="28"/>
      <c r="IQ73" s="28"/>
      <c r="IR73" s="28"/>
      <c r="IS73" s="28"/>
      <c r="IT73" s="28"/>
      <c r="IU73" s="28"/>
      <c r="IV73" s="28"/>
      <c r="IW73" s="28"/>
      <c r="IX73" s="28"/>
      <c r="IY73" s="28"/>
      <c r="IZ73" s="28"/>
      <c r="JA73" s="28"/>
      <c r="JB73" s="28"/>
      <c r="JC73" s="28"/>
      <c r="JD73" s="28"/>
      <c r="JE73" s="28"/>
      <c r="JF73" s="28"/>
      <c r="JG73" s="28"/>
      <c r="JH73" s="28"/>
      <c r="JI73" s="28"/>
      <c r="JJ73" s="28"/>
      <c r="JK73" s="28"/>
      <c r="JL73" s="28"/>
      <c r="JM73" s="28"/>
      <c r="JN73" s="28"/>
      <c r="JO73" s="28"/>
      <c r="JP73" s="28"/>
      <c r="JQ73" s="28"/>
      <c r="JR73" s="28"/>
      <c r="JS73" s="28"/>
      <c r="JT73" s="28"/>
      <c r="JU73" s="28"/>
      <c r="JV73" s="28"/>
      <c r="JW73" s="28"/>
      <c r="JX73" s="28"/>
      <c r="JY73" s="28"/>
      <c r="JZ73" s="28"/>
      <c r="KA73" s="28"/>
      <c r="KB73" s="28"/>
      <c r="KC73" s="28"/>
      <c r="KD73" s="28"/>
      <c r="KE73" s="28"/>
      <c r="KF73" s="28"/>
      <c r="KG73" s="28"/>
      <c r="KH73" s="28"/>
      <c r="KI73" s="28"/>
      <c r="KJ73" s="28"/>
      <c r="KK73" s="28"/>
      <c r="KL73" s="28"/>
      <c r="KM73" s="28"/>
      <c r="KN73" s="28"/>
      <c r="KO73" s="28"/>
      <c r="KP73" s="28"/>
      <c r="KQ73" s="28"/>
      <c r="KR73" s="28"/>
      <c r="KS73" s="28"/>
      <c r="KT73" s="28"/>
      <c r="KU73" s="28"/>
      <c r="KV73" s="28"/>
      <c r="KW73" s="28"/>
      <c r="KX73" s="28"/>
      <c r="KY73" s="28"/>
      <c r="KZ73" s="28"/>
      <c r="LA73" s="28"/>
      <c r="LB73" s="28"/>
      <c r="LC73" s="28"/>
      <c r="LD73" s="28"/>
      <c r="LE73" s="28"/>
      <c r="LF73" s="28"/>
      <c r="LG73" s="28"/>
      <c r="LH73" s="28"/>
      <c r="LI73" s="28"/>
      <c r="LJ73" s="28"/>
      <c r="LK73" s="28"/>
      <c r="LL73" s="28"/>
      <c r="LM73" s="28"/>
      <c r="LN73" s="28"/>
      <c r="LO73" s="28"/>
      <c r="LP73" s="28"/>
      <c r="LQ73" s="28"/>
      <c r="LR73" s="28"/>
      <c r="LS73" s="28"/>
      <c r="LT73" s="28"/>
      <c r="LU73" s="28"/>
      <c r="LV73" s="28"/>
      <c r="LW73" s="28"/>
      <c r="LX73" s="28"/>
      <c r="LY73" s="28"/>
      <c r="LZ73" s="28"/>
      <c r="MA73" s="28"/>
      <c r="MB73" s="28"/>
      <c r="MC73" s="28"/>
      <c r="MD73" s="28"/>
      <c r="ME73" s="28"/>
      <c r="MF73" s="28"/>
      <c r="MG73" s="28"/>
      <c r="MH73" s="28"/>
      <c r="MI73" s="28"/>
      <c r="MJ73" s="28"/>
      <c r="MK73" s="28"/>
      <c r="ML73" s="28"/>
      <c r="MM73" s="28"/>
      <c r="MN73" s="28"/>
      <c r="MO73" s="28"/>
      <c r="MP73" s="28"/>
      <c r="MQ73" s="28"/>
      <c r="MR73" s="28"/>
      <c r="MS73" s="28"/>
      <c r="MT73" s="28"/>
      <c r="MU73" s="28"/>
      <c r="MV73" s="28"/>
      <c r="MW73" s="28"/>
      <c r="MX73" s="28"/>
      <c r="MY73" s="28"/>
      <c r="MZ73" s="28"/>
      <c r="NA73" s="28"/>
      <c r="NB73" s="28"/>
    </row>
    <row r="74" spans="6:366" x14ac:dyDescent="0.25"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6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  <c r="FM74" s="28"/>
      <c r="FN74" s="28"/>
      <c r="FO74" s="28"/>
      <c r="FP74" s="28"/>
      <c r="FQ74" s="28"/>
      <c r="FR74" s="28"/>
      <c r="FS74" s="28"/>
      <c r="FT74" s="28"/>
      <c r="FU74" s="28"/>
      <c r="FV74" s="28"/>
      <c r="FW74" s="28"/>
      <c r="FX74" s="28"/>
      <c r="FY74" s="28"/>
      <c r="FZ74" s="28"/>
      <c r="GA74" s="28"/>
      <c r="GB74" s="28"/>
      <c r="GC74" s="28"/>
      <c r="GD74" s="28"/>
      <c r="GE74" s="28"/>
      <c r="GF74" s="28"/>
      <c r="GG74" s="28"/>
      <c r="GH74" s="28"/>
      <c r="GI74" s="28"/>
      <c r="GJ74" s="28"/>
      <c r="GK74" s="28"/>
      <c r="GL74" s="28"/>
      <c r="GM74" s="28"/>
      <c r="GN74" s="28"/>
      <c r="GO74" s="28"/>
      <c r="GP74" s="28"/>
      <c r="GQ74" s="28"/>
      <c r="GR74" s="28"/>
      <c r="GS74" s="28"/>
      <c r="GT74" s="28"/>
      <c r="GU74" s="28"/>
      <c r="GV74" s="28"/>
      <c r="GW74" s="28"/>
      <c r="GX74" s="28"/>
      <c r="GY74" s="28"/>
      <c r="GZ74" s="28"/>
      <c r="HA74" s="28"/>
      <c r="HB74" s="28"/>
      <c r="HC74" s="28"/>
      <c r="HD74" s="28"/>
      <c r="HE74" s="28"/>
      <c r="HF74" s="28"/>
      <c r="HG74" s="28"/>
      <c r="HH74" s="28"/>
      <c r="HI74" s="28"/>
      <c r="HJ74" s="28"/>
      <c r="HK74" s="28"/>
      <c r="HL74" s="28"/>
      <c r="HM74" s="28"/>
      <c r="HN74" s="28"/>
      <c r="HO74" s="28"/>
      <c r="HP74" s="28"/>
      <c r="HQ74" s="28"/>
      <c r="HR74" s="28"/>
      <c r="HS74" s="28"/>
      <c r="HT74" s="28"/>
      <c r="HU74" s="28"/>
      <c r="HV74" s="28"/>
      <c r="HW74" s="28"/>
      <c r="HX74" s="28"/>
      <c r="HY74" s="28"/>
      <c r="HZ74" s="28"/>
      <c r="IA74" s="28"/>
      <c r="IB74" s="28"/>
      <c r="IC74" s="28"/>
      <c r="ID74" s="28"/>
      <c r="IE74" s="28"/>
      <c r="IF74" s="28"/>
      <c r="IG74" s="28"/>
      <c r="IH74" s="28"/>
      <c r="II74" s="28"/>
      <c r="IJ74" s="28"/>
      <c r="IK74" s="28"/>
      <c r="IL74" s="28"/>
      <c r="IM74" s="28"/>
      <c r="IN74" s="28"/>
      <c r="IO74" s="28"/>
      <c r="IP74" s="28"/>
      <c r="IQ74" s="28"/>
      <c r="IR74" s="28"/>
      <c r="IS74" s="28"/>
      <c r="IT74" s="28"/>
      <c r="IU74" s="28"/>
      <c r="IV74" s="28"/>
      <c r="IW74" s="28"/>
      <c r="IX74" s="28"/>
      <c r="IY74" s="28"/>
      <c r="IZ74" s="28"/>
      <c r="JA74" s="28"/>
      <c r="JB74" s="28"/>
      <c r="JC74" s="28"/>
      <c r="JD74" s="28"/>
      <c r="JE74" s="28"/>
      <c r="JF74" s="28"/>
      <c r="JG74" s="28"/>
      <c r="JH74" s="28"/>
      <c r="JI74" s="28"/>
      <c r="JJ74" s="28"/>
      <c r="JK74" s="28"/>
      <c r="JL74" s="28"/>
      <c r="JM74" s="28"/>
      <c r="JN74" s="28"/>
      <c r="JO74" s="28"/>
      <c r="JP74" s="28"/>
      <c r="JQ74" s="28"/>
      <c r="JR74" s="28"/>
      <c r="JS74" s="28"/>
      <c r="JT74" s="28"/>
      <c r="JU74" s="28"/>
      <c r="JV74" s="28"/>
      <c r="JW74" s="28"/>
      <c r="JX74" s="28"/>
      <c r="JY74" s="28"/>
      <c r="JZ74" s="28"/>
      <c r="KA74" s="28"/>
      <c r="KB74" s="28"/>
      <c r="KC74" s="28"/>
      <c r="KD74" s="28"/>
      <c r="KE74" s="28"/>
      <c r="KF74" s="28"/>
      <c r="KG74" s="28"/>
      <c r="KH74" s="28"/>
      <c r="KI74" s="28"/>
      <c r="KJ74" s="28"/>
      <c r="KK74" s="28"/>
      <c r="KL74" s="28"/>
      <c r="KM74" s="28"/>
      <c r="KN74" s="28"/>
      <c r="KO74" s="28"/>
      <c r="KP74" s="28"/>
      <c r="KQ74" s="28"/>
      <c r="KR74" s="28"/>
      <c r="KS74" s="28"/>
      <c r="KT74" s="28"/>
      <c r="KU74" s="28"/>
      <c r="KV74" s="28"/>
      <c r="KW74" s="28"/>
      <c r="KX74" s="28"/>
      <c r="KY74" s="28"/>
      <c r="KZ74" s="28"/>
      <c r="LA74" s="28"/>
      <c r="LB74" s="28"/>
      <c r="LC74" s="28"/>
      <c r="LD74" s="28"/>
      <c r="LE74" s="28"/>
      <c r="LF74" s="28"/>
      <c r="LG74" s="28"/>
      <c r="LH74" s="28"/>
      <c r="LI74" s="28"/>
      <c r="LJ74" s="28"/>
      <c r="LK74" s="28"/>
      <c r="LL74" s="28"/>
      <c r="LM74" s="28"/>
      <c r="LN74" s="28"/>
      <c r="LO74" s="28"/>
      <c r="LP74" s="28"/>
      <c r="LQ74" s="28"/>
      <c r="LR74" s="28"/>
      <c r="LS74" s="28"/>
      <c r="LT74" s="28"/>
      <c r="LU74" s="28"/>
      <c r="LV74" s="28"/>
      <c r="LW74" s="28"/>
      <c r="LX74" s="28"/>
      <c r="LY74" s="28"/>
      <c r="LZ74" s="28"/>
      <c r="MA74" s="28"/>
      <c r="MB74" s="28"/>
      <c r="MC74" s="28"/>
      <c r="MD74" s="28"/>
      <c r="ME74" s="28"/>
      <c r="MF74" s="28"/>
      <c r="MG74" s="28"/>
      <c r="MH74" s="28"/>
      <c r="MI74" s="28"/>
      <c r="MJ74" s="28"/>
      <c r="MK74" s="28"/>
      <c r="ML74" s="28"/>
      <c r="MM74" s="28"/>
      <c r="MN74" s="28"/>
      <c r="MO74" s="28"/>
      <c r="MP74" s="28"/>
      <c r="MQ74" s="28"/>
      <c r="MR74" s="28"/>
      <c r="MS74" s="28"/>
      <c r="MT74" s="28"/>
      <c r="MU74" s="28"/>
      <c r="MV74" s="28"/>
      <c r="MW74" s="28"/>
      <c r="MX74" s="28"/>
      <c r="MY74" s="28"/>
      <c r="MZ74" s="28"/>
      <c r="NA74" s="28"/>
      <c r="NB74" s="28"/>
    </row>
    <row r="75" spans="6:366" x14ac:dyDescent="0.25"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6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  <c r="FM75" s="28"/>
      <c r="FN75" s="28"/>
      <c r="FO75" s="28"/>
      <c r="FP75" s="28"/>
      <c r="FQ75" s="28"/>
      <c r="FR75" s="28"/>
      <c r="FS75" s="28"/>
      <c r="FT75" s="28"/>
      <c r="FU75" s="28"/>
      <c r="FV75" s="28"/>
      <c r="FW75" s="28"/>
      <c r="FX75" s="28"/>
      <c r="FY75" s="28"/>
      <c r="FZ75" s="28"/>
      <c r="GA75" s="28"/>
      <c r="GB75" s="28"/>
      <c r="GC75" s="28"/>
      <c r="GD75" s="28"/>
      <c r="GE75" s="28"/>
      <c r="GF75" s="28"/>
      <c r="GG75" s="28"/>
      <c r="GH75" s="28"/>
      <c r="GI75" s="28"/>
      <c r="GJ75" s="28"/>
      <c r="GK75" s="28"/>
      <c r="GL75" s="28"/>
      <c r="GM75" s="28"/>
      <c r="GN75" s="28"/>
      <c r="GO75" s="28"/>
      <c r="GP75" s="28"/>
      <c r="GQ75" s="28"/>
      <c r="GR75" s="28"/>
      <c r="GS75" s="28"/>
      <c r="GT75" s="28"/>
      <c r="GU75" s="28"/>
      <c r="GV75" s="28"/>
      <c r="GW75" s="28"/>
      <c r="GX75" s="28"/>
      <c r="GY75" s="28"/>
      <c r="GZ75" s="28"/>
      <c r="HA75" s="28"/>
      <c r="HB75" s="28"/>
      <c r="HC75" s="28"/>
      <c r="HD75" s="28"/>
      <c r="HE75" s="28"/>
      <c r="HF75" s="28"/>
      <c r="HG75" s="28"/>
      <c r="HH75" s="28"/>
      <c r="HI75" s="28"/>
      <c r="HJ75" s="28"/>
      <c r="HK75" s="28"/>
      <c r="HL75" s="28"/>
      <c r="HM75" s="28"/>
      <c r="HN75" s="28"/>
      <c r="HO75" s="28"/>
      <c r="HP75" s="28"/>
      <c r="HQ75" s="28"/>
      <c r="HR75" s="28"/>
      <c r="HS75" s="28"/>
      <c r="HT75" s="28"/>
      <c r="HU75" s="28"/>
      <c r="HV75" s="28"/>
      <c r="HW75" s="28"/>
      <c r="HX75" s="28"/>
      <c r="HY75" s="28"/>
      <c r="HZ75" s="28"/>
      <c r="IA75" s="28"/>
      <c r="IB75" s="28"/>
      <c r="IC75" s="28"/>
      <c r="ID75" s="28"/>
      <c r="IE75" s="28"/>
      <c r="IF75" s="28"/>
      <c r="IG75" s="28"/>
      <c r="IH75" s="28"/>
      <c r="II75" s="28"/>
      <c r="IJ75" s="28"/>
      <c r="IK75" s="28"/>
      <c r="IL75" s="28"/>
      <c r="IM75" s="28"/>
      <c r="IN75" s="28"/>
      <c r="IO75" s="28"/>
      <c r="IP75" s="28"/>
      <c r="IQ75" s="28"/>
      <c r="IR75" s="28"/>
      <c r="IS75" s="28"/>
      <c r="IT75" s="28"/>
      <c r="IU75" s="28"/>
      <c r="IV75" s="28"/>
      <c r="IW75" s="28"/>
      <c r="IX75" s="28"/>
      <c r="IY75" s="28"/>
      <c r="IZ75" s="28"/>
      <c r="JA75" s="28"/>
      <c r="JB75" s="28"/>
      <c r="JC75" s="28"/>
      <c r="JD75" s="28"/>
      <c r="JE75" s="28"/>
      <c r="JF75" s="28"/>
      <c r="JG75" s="28"/>
      <c r="JH75" s="28"/>
      <c r="JI75" s="28"/>
      <c r="JJ75" s="28"/>
      <c r="JK75" s="28"/>
      <c r="JL75" s="28"/>
      <c r="JM75" s="28"/>
      <c r="JN75" s="28"/>
      <c r="JO75" s="28"/>
      <c r="JP75" s="28"/>
      <c r="JQ75" s="28"/>
      <c r="JR75" s="28"/>
      <c r="JS75" s="28"/>
      <c r="JT75" s="28"/>
      <c r="JU75" s="28"/>
      <c r="JV75" s="28"/>
      <c r="JW75" s="28"/>
      <c r="JX75" s="28"/>
      <c r="JY75" s="28"/>
      <c r="JZ75" s="28"/>
      <c r="KA75" s="28"/>
      <c r="KB75" s="28"/>
      <c r="KC75" s="28"/>
      <c r="KD75" s="28"/>
      <c r="KE75" s="28"/>
      <c r="KF75" s="28"/>
      <c r="KG75" s="28"/>
      <c r="KH75" s="28"/>
      <c r="KI75" s="28"/>
      <c r="KJ75" s="28"/>
      <c r="KK75" s="28"/>
      <c r="KL75" s="28"/>
      <c r="KM75" s="28"/>
      <c r="KN75" s="28"/>
      <c r="KO75" s="28"/>
      <c r="KP75" s="28"/>
      <c r="KQ75" s="28"/>
      <c r="KR75" s="28"/>
      <c r="KS75" s="28"/>
      <c r="KT75" s="28"/>
      <c r="KU75" s="28"/>
      <c r="KV75" s="28"/>
      <c r="KW75" s="28"/>
      <c r="KX75" s="28"/>
      <c r="KY75" s="28"/>
      <c r="KZ75" s="28"/>
      <c r="LA75" s="28"/>
      <c r="LB75" s="28"/>
      <c r="LC75" s="28"/>
      <c r="LD75" s="28"/>
      <c r="LE75" s="28"/>
      <c r="LF75" s="28"/>
      <c r="LG75" s="28"/>
      <c r="LH75" s="28"/>
      <c r="LI75" s="28"/>
      <c r="LJ75" s="28"/>
      <c r="LK75" s="28"/>
      <c r="LL75" s="28"/>
      <c r="LM75" s="28"/>
      <c r="LN75" s="28"/>
      <c r="LO75" s="28"/>
      <c r="LP75" s="28"/>
      <c r="LQ75" s="28"/>
      <c r="LR75" s="28"/>
      <c r="LS75" s="28"/>
      <c r="LT75" s="28"/>
      <c r="LU75" s="28"/>
      <c r="LV75" s="28"/>
      <c r="LW75" s="28"/>
      <c r="LX75" s="28"/>
      <c r="LY75" s="28"/>
      <c r="LZ75" s="28"/>
      <c r="MA75" s="28"/>
      <c r="MB75" s="28"/>
      <c r="MC75" s="28"/>
      <c r="MD75" s="28"/>
      <c r="ME75" s="28"/>
      <c r="MF75" s="28"/>
      <c r="MG75" s="28"/>
      <c r="MH75" s="28"/>
      <c r="MI75" s="28"/>
      <c r="MJ75" s="28"/>
      <c r="MK75" s="28"/>
      <c r="ML75" s="28"/>
      <c r="MM75" s="28"/>
      <c r="MN75" s="28"/>
      <c r="MO75" s="28"/>
      <c r="MP75" s="28"/>
      <c r="MQ75" s="28"/>
      <c r="MR75" s="28"/>
      <c r="MS75" s="28"/>
      <c r="MT75" s="28"/>
      <c r="MU75" s="28"/>
      <c r="MV75" s="28"/>
      <c r="MW75" s="28"/>
      <c r="MX75" s="28"/>
      <c r="MY75" s="28"/>
      <c r="MZ75" s="28"/>
      <c r="NA75" s="28"/>
      <c r="NB75" s="28"/>
    </row>
    <row r="76" spans="6:366" x14ac:dyDescent="0.25"/>
    <row r="77" spans="6:366" x14ac:dyDescent="0.25"/>
    <row r="78" spans="6:366" x14ac:dyDescent="0.25"/>
    <row r="79" spans="6:366" x14ac:dyDescent="0.25"/>
    <row r="80" spans="6:366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spans="3:3" x14ac:dyDescent="0.25"/>
    <row r="98" spans="3:3" x14ac:dyDescent="0.25"/>
    <row r="99" spans="3:3" x14ac:dyDescent="0.25"/>
    <row r="100" spans="3:3" x14ac:dyDescent="0.25"/>
    <row r="101" spans="3:3" x14ac:dyDescent="0.25"/>
    <row r="102" spans="3:3" x14ac:dyDescent="0.25"/>
    <row r="103" spans="3:3" x14ac:dyDescent="0.25"/>
    <row r="104" spans="3:3" x14ac:dyDescent="0.25"/>
    <row r="105" spans="3:3" x14ac:dyDescent="0.25"/>
    <row r="106" spans="3:3" x14ac:dyDescent="0.25"/>
    <row r="107" spans="3:3" x14ac:dyDescent="0.25"/>
    <row r="108" spans="3:3" x14ac:dyDescent="0.25"/>
    <row r="109" spans="3:3" x14ac:dyDescent="0.25">
      <c r="C109" t="e">
        <f>HLOOKUP($F$3,Dados!$B$1:$NC$49,28,0)/HLOOKUP($F$3,Dados!$B$1:$NC$49,27,0)</f>
        <v>#N/A</v>
      </c>
    </row>
    <row r="110" spans="3:3" x14ac:dyDescent="0.25"/>
    <row r="111" spans="3:3" x14ac:dyDescent="0.25"/>
    <row r="112" spans="3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spans="6:14" x14ac:dyDescent="0.25"/>
    <row r="130" spans="6:14" s="5" customFormat="1" x14ac:dyDescent="0.25"/>
    <row r="131" spans="6:14" s="5" customFormat="1" x14ac:dyDescent="0.25"/>
    <row r="132" spans="6:14" s="5" customFormat="1" x14ac:dyDescent="0.25"/>
    <row r="144" spans="6:14" hidden="1" x14ac:dyDescent="0.25">
      <c r="F144">
        <v>0</v>
      </c>
      <c r="G144">
        <v>0</v>
      </c>
      <c r="M144">
        <v>0</v>
      </c>
      <c r="N144">
        <v>0</v>
      </c>
    </row>
    <row r="145" spans="6:14" hidden="1" x14ac:dyDescent="0.25">
      <c r="F145">
        <v>0</v>
      </c>
      <c r="G145">
        <v>0</v>
      </c>
      <c r="M145">
        <v>0</v>
      </c>
      <c r="N145">
        <v>0</v>
      </c>
    </row>
    <row r="146" spans="6:14" hidden="1" x14ac:dyDescent="0.25">
      <c r="F146">
        <v>0</v>
      </c>
      <c r="G146">
        <v>0</v>
      </c>
      <c r="M146">
        <v>0</v>
      </c>
      <c r="N146">
        <v>0</v>
      </c>
    </row>
    <row r="147" spans="6:14" hidden="1" x14ac:dyDescent="0.25">
      <c r="F147">
        <v>0</v>
      </c>
      <c r="G147">
        <v>2325</v>
      </c>
      <c r="M147">
        <v>0</v>
      </c>
      <c r="N147">
        <v>0</v>
      </c>
    </row>
    <row r="148" spans="6:14" hidden="1" x14ac:dyDescent="0.25">
      <c r="F148">
        <v>0</v>
      </c>
      <c r="G148">
        <v>0</v>
      </c>
      <c r="M148">
        <v>0</v>
      </c>
      <c r="N148">
        <v>0</v>
      </c>
    </row>
    <row r="149" spans="6:14" hidden="1" x14ac:dyDescent="0.25">
      <c r="F149">
        <v>0</v>
      </c>
      <c r="G149">
        <v>1440</v>
      </c>
      <c r="M149">
        <v>0</v>
      </c>
      <c r="N149">
        <v>0</v>
      </c>
    </row>
  </sheetData>
  <phoneticPr fontId="42" type="noConversion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H44"/>
  <sheetViews>
    <sheetView topLeftCell="F1" workbookViewId="0">
      <selection activeCell="F9" sqref="F9"/>
    </sheetView>
  </sheetViews>
  <sheetFormatPr defaultColWidth="0" defaultRowHeight="15" zeroHeight="1" x14ac:dyDescent="0.25"/>
  <cols>
    <col min="1" max="1" width="41" bestFit="1" customWidth="1"/>
    <col min="2" max="2" width="60.28515625" bestFit="1" customWidth="1"/>
    <col min="3" max="3" width="65.42578125" bestFit="1" customWidth="1"/>
    <col min="4" max="4" width="15.140625" bestFit="1" customWidth="1"/>
    <col min="5" max="5" width="55.85546875" bestFit="1" customWidth="1"/>
    <col min="6" max="6" width="155.140625" bestFit="1" customWidth="1"/>
    <col min="7" max="7" width="17.7109375" bestFit="1" customWidth="1"/>
    <col min="8" max="8" width="11.85546875" hidden="1" customWidth="1"/>
    <col min="9" max="16384" width="9.140625" hidden="1"/>
  </cols>
  <sheetData>
    <row r="1" spans="1:7" x14ac:dyDescent="0.25">
      <c r="A1" s="1" t="s">
        <v>130</v>
      </c>
      <c r="B1" s="1" t="s">
        <v>1</v>
      </c>
      <c r="C1" s="1" t="s">
        <v>4</v>
      </c>
      <c r="D1" s="1" t="s">
        <v>156</v>
      </c>
      <c r="E1" s="1" t="s">
        <v>136</v>
      </c>
    </row>
    <row r="2" spans="1:7" x14ac:dyDescent="0.25">
      <c r="A2" s="2" t="s">
        <v>72</v>
      </c>
      <c r="B2" s="2" t="s">
        <v>7</v>
      </c>
      <c r="C2" s="2" t="s">
        <v>14</v>
      </c>
      <c r="D2" s="2" t="s">
        <v>21</v>
      </c>
      <c r="E2" s="3" t="s">
        <v>135</v>
      </c>
      <c r="F2" s="2" t="s">
        <v>168</v>
      </c>
      <c r="G2" s="2"/>
    </row>
    <row r="3" spans="1:7" x14ac:dyDescent="0.25">
      <c r="A3" t="s">
        <v>73</v>
      </c>
      <c r="B3" t="s">
        <v>104</v>
      </c>
      <c r="C3" t="s">
        <v>20</v>
      </c>
      <c r="D3" t="s">
        <v>18</v>
      </c>
    </row>
    <row r="4" spans="1:7" x14ac:dyDescent="0.25">
      <c r="A4" s="2" t="s">
        <v>74</v>
      </c>
      <c r="B4" s="2" t="s">
        <v>12</v>
      </c>
      <c r="C4" s="2" t="s">
        <v>152</v>
      </c>
      <c r="D4" s="2" t="s">
        <v>9</v>
      </c>
      <c r="E4" s="3" t="s">
        <v>157</v>
      </c>
      <c r="F4" s="2" t="s">
        <v>149</v>
      </c>
      <c r="G4" s="2"/>
    </row>
    <row r="5" spans="1:7" x14ac:dyDescent="0.25">
      <c r="A5" t="s">
        <v>75</v>
      </c>
      <c r="B5" t="s">
        <v>11</v>
      </c>
      <c r="C5" t="s">
        <v>15</v>
      </c>
      <c r="D5" t="s">
        <v>9</v>
      </c>
      <c r="E5" s="4" t="s">
        <v>162</v>
      </c>
      <c r="F5" t="s">
        <v>149</v>
      </c>
    </row>
    <row r="6" spans="1:7" x14ac:dyDescent="0.25">
      <c r="A6" s="2" t="s">
        <v>76</v>
      </c>
      <c r="B6" s="2" t="s">
        <v>10</v>
      </c>
      <c r="C6" s="2" t="s">
        <v>150</v>
      </c>
      <c r="D6" s="2" t="s">
        <v>9</v>
      </c>
      <c r="E6" s="3" t="s">
        <v>163</v>
      </c>
      <c r="F6" s="2" t="s">
        <v>149</v>
      </c>
      <c r="G6" s="2"/>
    </row>
    <row r="7" spans="1:7" x14ac:dyDescent="0.25">
      <c r="A7" t="s">
        <v>77</v>
      </c>
      <c r="B7" t="s">
        <v>13</v>
      </c>
      <c r="C7" t="s">
        <v>27</v>
      </c>
      <c r="D7" t="s">
        <v>29</v>
      </c>
      <c r="E7" s="4" t="s">
        <v>141</v>
      </c>
      <c r="F7" t="s">
        <v>146</v>
      </c>
    </row>
    <row r="8" spans="1:7" x14ac:dyDescent="0.25">
      <c r="A8" s="2" t="s">
        <v>78</v>
      </c>
      <c r="B8" s="2" t="s">
        <v>7</v>
      </c>
      <c r="C8" s="2" t="s">
        <v>16</v>
      </c>
      <c r="D8" s="2" t="s">
        <v>17</v>
      </c>
      <c r="E8" s="3" t="s">
        <v>137</v>
      </c>
      <c r="F8" s="2"/>
      <c r="G8" s="2"/>
    </row>
    <row r="9" spans="1:7" x14ac:dyDescent="0.25">
      <c r="A9" t="s">
        <v>19</v>
      </c>
      <c r="B9" t="s">
        <v>13</v>
      </c>
      <c r="C9" t="s">
        <v>23</v>
      </c>
      <c r="D9" t="s">
        <v>22</v>
      </c>
      <c r="E9" s="4" t="s">
        <v>141</v>
      </c>
      <c r="F9" t="s">
        <v>144</v>
      </c>
    </row>
    <row r="10" spans="1:7" x14ac:dyDescent="0.25">
      <c r="A10" s="2" t="s">
        <v>79</v>
      </c>
      <c r="B10" s="2" t="s">
        <v>104</v>
      </c>
      <c r="C10" s="2" t="s">
        <v>24</v>
      </c>
      <c r="D10" s="2" t="s">
        <v>18</v>
      </c>
      <c r="E10" s="3"/>
      <c r="F10" s="2"/>
      <c r="G10" s="2"/>
    </row>
    <row r="11" spans="1:7" x14ac:dyDescent="0.25">
      <c r="A11" t="s">
        <v>36</v>
      </c>
      <c r="B11" t="s">
        <v>104</v>
      </c>
      <c r="C11" t="s">
        <v>128</v>
      </c>
      <c r="D11" t="s">
        <v>125</v>
      </c>
    </row>
    <row r="12" spans="1:7" x14ac:dyDescent="0.25">
      <c r="A12" s="2" t="s">
        <v>80</v>
      </c>
      <c r="B12" s="2" t="s">
        <v>13</v>
      </c>
      <c r="C12" s="2" t="s">
        <v>25</v>
      </c>
      <c r="D12" s="2" t="s">
        <v>22</v>
      </c>
      <c r="E12" s="3" t="s">
        <v>141</v>
      </c>
      <c r="F12" s="2" t="s">
        <v>144</v>
      </c>
      <c r="G12" s="2"/>
    </row>
    <row r="13" spans="1:7" x14ac:dyDescent="0.25">
      <c r="A13" t="s">
        <v>81</v>
      </c>
      <c r="B13" t="s">
        <v>104</v>
      </c>
      <c r="C13" t="s">
        <v>108</v>
      </c>
      <c r="D13" t="s">
        <v>18</v>
      </c>
    </row>
    <row r="14" spans="1:7" x14ac:dyDescent="0.25">
      <c r="A14" s="2" t="s">
        <v>82</v>
      </c>
      <c r="B14" s="2" t="s">
        <v>104</v>
      </c>
      <c r="C14" s="2" t="s">
        <v>26</v>
      </c>
      <c r="D14" s="2" t="s">
        <v>8</v>
      </c>
      <c r="E14" s="3"/>
      <c r="F14" s="2"/>
      <c r="G14" s="2"/>
    </row>
    <row r="15" spans="1:7" x14ac:dyDescent="0.25">
      <c r="A15" t="s">
        <v>126</v>
      </c>
      <c r="B15" t="s">
        <v>104</v>
      </c>
      <c r="C15" t="s">
        <v>127</v>
      </c>
      <c r="D15" t="s">
        <v>18</v>
      </c>
      <c r="E15" s="4" t="s">
        <v>141</v>
      </c>
      <c r="F15" t="s">
        <v>144</v>
      </c>
    </row>
    <row r="16" spans="1:7" x14ac:dyDescent="0.25">
      <c r="A16" s="2" t="s">
        <v>83</v>
      </c>
      <c r="B16" s="2" t="s">
        <v>13</v>
      </c>
      <c r="C16" s="2" t="s">
        <v>105</v>
      </c>
      <c r="D16" s="2" t="s">
        <v>22</v>
      </c>
      <c r="E16" s="3"/>
      <c r="F16" s="2"/>
      <c r="G16" s="2"/>
    </row>
    <row r="17" spans="1:7" x14ac:dyDescent="0.25">
      <c r="A17" t="s">
        <v>84</v>
      </c>
      <c r="B17" t="s">
        <v>104</v>
      </c>
      <c r="C17" t="s">
        <v>107</v>
      </c>
      <c r="D17" t="s">
        <v>18</v>
      </c>
    </row>
    <row r="18" spans="1:7" x14ac:dyDescent="0.25">
      <c r="A18" s="2" t="s">
        <v>85</v>
      </c>
      <c r="B18" s="2" t="s">
        <v>104</v>
      </c>
      <c r="C18" s="2" t="s">
        <v>106</v>
      </c>
      <c r="D18" s="2" t="s">
        <v>8</v>
      </c>
      <c r="E18" s="3"/>
      <c r="F18" s="2"/>
      <c r="G18" s="2"/>
    </row>
    <row r="19" spans="1:7" x14ac:dyDescent="0.25">
      <c r="A19" t="s">
        <v>0</v>
      </c>
      <c r="B19" t="s">
        <v>3</v>
      </c>
      <c r="C19" t="s">
        <v>139</v>
      </c>
      <c r="D19" t="s">
        <v>109</v>
      </c>
      <c r="E19" s="4" t="s">
        <v>138</v>
      </c>
    </row>
    <row r="20" spans="1:7" x14ac:dyDescent="0.25">
      <c r="A20" s="2" t="s">
        <v>86</v>
      </c>
      <c r="B20" s="2" t="s">
        <v>13</v>
      </c>
      <c r="C20" s="2" t="s">
        <v>111</v>
      </c>
      <c r="D20" s="2" t="s">
        <v>6</v>
      </c>
      <c r="E20" s="3" t="s">
        <v>141</v>
      </c>
      <c r="F20" s="2" t="s">
        <v>145</v>
      </c>
      <c r="G20" s="2" t="s">
        <v>164</v>
      </c>
    </row>
    <row r="21" spans="1:7" x14ac:dyDescent="0.25">
      <c r="A21" t="s">
        <v>87</v>
      </c>
      <c r="B21" t="s">
        <v>13</v>
      </c>
      <c r="C21" t="s">
        <v>110</v>
      </c>
      <c r="D21" t="s">
        <v>6</v>
      </c>
      <c r="E21" s="4" t="s">
        <v>141</v>
      </c>
      <c r="F21" t="s">
        <v>145</v>
      </c>
      <c r="G21" t="s">
        <v>164</v>
      </c>
    </row>
    <row r="22" spans="1:7" x14ac:dyDescent="0.25">
      <c r="A22" s="2" t="s">
        <v>88</v>
      </c>
      <c r="B22" s="2" t="s">
        <v>13</v>
      </c>
      <c r="C22" s="2" t="s">
        <v>112</v>
      </c>
      <c r="D22" s="2" t="s">
        <v>6</v>
      </c>
      <c r="E22" s="3" t="s">
        <v>141</v>
      </c>
      <c r="F22" s="2" t="s">
        <v>145</v>
      </c>
      <c r="G22" s="2" t="s">
        <v>164</v>
      </c>
    </row>
    <row r="23" spans="1:7" x14ac:dyDescent="0.25">
      <c r="A23" t="s">
        <v>89</v>
      </c>
      <c r="B23" t="s">
        <v>13</v>
      </c>
      <c r="C23" t="s">
        <v>113</v>
      </c>
      <c r="D23" t="s">
        <v>6</v>
      </c>
      <c r="E23" s="4" t="s">
        <v>141</v>
      </c>
      <c r="F23" t="s">
        <v>145</v>
      </c>
      <c r="G23" t="s">
        <v>164</v>
      </c>
    </row>
    <row r="24" spans="1:7" x14ac:dyDescent="0.25">
      <c r="A24" s="2" t="s">
        <v>154</v>
      </c>
      <c r="B24" s="2" t="s">
        <v>13</v>
      </c>
      <c r="C24" s="2" t="s">
        <v>155</v>
      </c>
      <c r="D24" s="2" t="s">
        <v>6</v>
      </c>
      <c r="E24" s="3" t="s">
        <v>141</v>
      </c>
      <c r="F24" s="2" t="s">
        <v>145</v>
      </c>
      <c r="G24" s="2" t="s">
        <v>164</v>
      </c>
    </row>
    <row r="25" spans="1:7" x14ac:dyDescent="0.25">
      <c r="A25" t="s">
        <v>90</v>
      </c>
      <c r="B25" t="s">
        <v>114</v>
      </c>
      <c r="C25" t="s">
        <v>115</v>
      </c>
      <c r="D25" t="s">
        <v>8</v>
      </c>
    </row>
    <row r="26" spans="1:7" x14ac:dyDescent="0.25">
      <c r="A26" s="2" t="s">
        <v>101</v>
      </c>
      <c r="B26" s="2" t="s">
        <v>114</v>
      </c>
      <c r="C26" s="2" t="s">
        <v>116</v>
      </c>
      <c r="D26" s="2" t="s">
        <v>8</v>
      </c>
      <c r="E26" s="3"/>
      <c r="F26" s="2"/>
      <c r="G26" s="2"/>
    </row>
    <row r="27" spans="1:7" x14ac:dyDescent="0.25">
      <c r="A27" t="s">
        <v>102</v>
      </c>
      <c r="B27" t="s">
        <v>104</v>
      </c>
      <c r="C27" t="s">
        <v>28</v>
      </c>
      <c r="D27" t="s">
        <v>18</v>
      </c>
    </row>
    <row r="28" spans="1:7" x14ac:dyDescent="0.25">
      <c r="A28" s="2" t="s">
        <v>33</v>
      </c>
      <c r="B28" s="2" t="s">
        <v>104</v>
      </c>
      <c r="C28" s="2" t="s">
        <v>129</v>
      </c>
      <c r="D28" s="2" t="s">
        <v>125</v>
      </c>
      <c r="E28" s="3"/>
      <c r="F28" s="2"/>
      <c r="G28" s="2"/>
    </row>
    <row r="29" spans="1:7" x14ac:dyDescent="0.25">
      <c r="A29" t="s">
        <v>103</v>
      </c>
      <c r="B29" t="s">
        <v>104</v>
      </c>
      <c r="C29" t="s">
        <v>124</v>
      </c>
      <c r="D29" t="s">
        <v>123</v>
      </c>
    </row>
    <row r="30" spans="1:7" x14ac:dyDescent="0.25">
      <c r="A30" s="2" t="s">
        <v>91</v>
      </c>
      <c r="B30" s="2" t="s">
        <v>13</v>
      </c>
      <c r="C30" s="2" t="s">
        <v>117</v>
      </c>
      <c r="D30" s="2" t="s">
        <v>8</v>
      </c>
      <c r="E30" s="3" t="s">
        <v>141</v>
      </c>
      <c r="F30" s="2" t="s">
        <v>158</v>
      </c>
      <c r="G30" s="2" t="s">
        <v>151</v>
      </c>
    </row>
    <row r="31" spans="1:7" x14ac:dyDescent="0.25">
      <c r="A31" t="s">
        <v>132</v>
      </c>
      <c r="B31" t="s">
        <v>13</v>
      </c>
      <c r="C31" t="s">
        <v>133</v>
      </c>
      <c r="D31" t="s">
        <v>8</v>
      </c>
      <c r="E31" s="4" t="s">
        <v>141</v>
      </c>
      <c r="F31" t="s">
        <v>158</v>
      </c>
      <c r="G31" t="s">
        <v>151</v>
      </c>
    </row>
    <row r="32" spans="1:7" x14ac:dyDescent="0.25">
      <c r="A32" s="2" t="s">
        <v>131</v>
      </c>
      <c r="B32" s="2" t="s">
        <v>13</v>
      </c>
      <c r="C32" s="2" t="s">
        <v>134</v>
      </c>
      <c r="D32" s="2" t="s">
        <v>8</v>
      </c>
      <c r="E32" s="3" t="s">
        <v>141</v>
      </c>
      <c r="F32" s="2" t="s">
        <v>158</v>
      </c>
      <c r="G32" s="2" t="s">
        <v>151</v>
      </c>
    </row>
    <row r="33" spans="1:7" x14ac:dyDescent="0.25">
      <c r="A33" t="s">
        <v>92</v>
      </c>
      <c r="B33" t="s">
        <v>30</v>
      </c>
      <c r="C33" t="s">
        <v>31</v>
      </c>
      <c r="D33" t="s">
        <v>32</v>
      </c>
      <c r="E33" s="4" t="s">
        <v>140</v>
      </c>
      <c r="F33" t="s">
        <v>148</v>
      </c>
    </row>
    <row r="34" spans="1:7" x14ac:dyDescent="0.25">
      <c r="A34" s="2" t="s">
        <v>93</v>
      </c>
      <c r="B34" s="2" t="s">
        <v>13</v>
      </c>
      <c r="C34" s="2" t="s">
        <v>34</v>
      </c>
      <c r="D34" s="2" t="s">
        <v>32</v>
      </c>
      <c r="E34" s="3" t="s">
        <v>141</v>
      </c>
      <c r="F34" s="2" t="s">
        <v>142</v>
      </c>
      <c r="G34" s="2"/>
    </row>
    <row r="35" spans="1:7" x14ac:dyDescent="0.25">
      <c r="A35" t="s">
        <v>94</v>
      </c>
      <c r="B35" t="s">
        <v>13</v>
      </c>
      <c r="C35" t="s">
        <v>118</v>
      </c>
      <c r="D35" t="s">
        <v>8</v>
      </c>
      <c r="E35" s="4" t="s">
        <v>141</v>
      </c>
      <c r="F35" t="s">
        <v>143</v>
      </c>
    </row>
    <row r="36" spans="1:7" x14ac:dyDescent="0.25">
      <c r="A36" s="2" t="s">
        <v>95</v>
      </c>
      <c r="B36" s="2" t="s">
        <v>71</v>
      </c>
      <c r="C36" s="2" t="s">
        <v>119</v>
      </c>
      <c r="D36" s="2" t="s">
        <v>8</v>
      </c>
      <c r="E36" s="3"/>
      <c r="F36" s="2"/>
      <c r="G36" s="2"/>
    </row>
    <row r="37" spans="1:7" x14ac:dyDescent="0.25">
      <c r="A37" t="s">
        <v>96</v>
      </c>
      <c r="B37" t="s">
        <v>120</v>
      </c>
      <c r="C37" t="s">
        <v>165</v>
      </c>
      <c r="D37" t="s">
        <v>8</v>
      </c>
    </row>
    <row r="38" spans="1:7" x14ac:dyDescent="0.25">
      <c r="A38" s="2" t="s">
        <v>97</v>
      </c>
      <c r="B38" s="2" t="s">
        <v>120</v>
      </c>
      <c r="C38" s="2" t="s">
        <v>166</v>
      </c>
      <c r="D38" s="2" t="s">
        <v>8</v>
      </c>
      <c r="E38" s="3"/>
      <c r="F38" s="2"/>
      <c r="G38" s="2"/>
    </row>
    <row r="39" spans="1:7" x14ac:dyDescent="0.25">
      <c r="A39" t="s">
        <v>98</v>
      </c>
      <c r="B39" t="s">
        <v>120</v>
      </c>
      <c r="C39" t="s">
        <v>167</v>
      </c>
      <c r="D39" t="s">
        <v>8</v>
      </c>
    </row>
    <row r="40" spans="1:7" x14ac:dyDescent="0.25">
      <c r="A40" s="2" t="s">
        <v>153</v>
      </c>
      <c r="B40" s="2" t="s">
        <v>120</v>
      </c>
      <c r="C40" s="2" t="s">
        <v>159</v>
      </c>
      <c r="D40" s="2" t="s">
        <v>8</v>
      </c>
      <c r="E40" s="3"/>
      <c r="F40" s="2"/>
      <c r="G40" s="2"/>
    </row>
    <row r="41" spans="1:7" x14ac:dyDescent="0.25">
      <c r="A41" t="s">
        <v>160</v>
      </c>
      <c r="B41" t="s">
        <v>7</v>
      </c>
      <c r="C41" t="s">
        <v>35</v>
      </c>
      <c r="D41" t="s">
        <v>18</v>
      </c>
      <c r="E41" t="s">
        <v>137</v>
      </c>
      <c r="F41" t="s">
        <v>169</v>
      </c>
    </row>
    <row r="42" spans="1:7" x14ac:dyDescent="0.25">
      <c r="A42" s="2"/>
      <c r="B42" s="2"/>
      <c r="C42" s="2"/>
      <c r="D42" s="2"/>
      <c r="E42" s="3"/>
      <c r="F42" s="2"/>
      <c r="G42" s="2"/>
    </row>
    <row r="43" spans="1:7" x14ac:dyDescent="0.25">
      <c r="A43" t="s">
        <v>99</v>
      </c>
      <c r="B43" t="s">
        <v>2</v>
      </c>
      <c r="C43" t="s">
        <v>121</v>
      </c>
      <c r="D43" t="s">
        <v>5</v>
      </c>
    </row>
    <row r="44" spans="1:7" x14ac:dyDescent="0.25">
      <c r="A44" s="2" t="s">
        <v>100</v>
      </c>
      <c r="B44" s="2" t="s">
        <v>2</v>
      </c>
      <c r="C44" s="2" t="s">
        <v>122</v>
      </c>
      <c r="D44" s="2" t="s">
        <v>5</v>
      </c>
      <c r="E44" s="3"/>
      <c r="F44" s="2"/>
      <c r="G44" s="2"/>
    </row>
  </sheetData>
  <autoFilter ref="A1:H44" xr:uid="{00000000-0009-0000-0000-000001000000}"/>
  <hyperlinks>
    <hyperlink ref="E41" r:id="rId1" xr:uid="{00000000-0004-0000-0100-000000000000}"/>
    <hyperlink ref="E8" r:id="rId2" xr:uid="{00000000-0004-0000-0100-000001000000}"/>
    <hyperlink ref="E2" r:id="rId3" xr:uid="{00000000-0004-0000-0100-000002000000}"/>
    <hyperlink ref="E7" r:id="rId4" xr:uid="{00000000-0004-0000-0100-000003000000}"/>
    <hyperlink ref="E19" r:id="rId5" xr:uid="{00000000-0004-0000-0100-000004000000}"/>
    <hyperlink ref="E35" r:id="rId6" xr:uid="{00000000-0004-0000-0100-000005000000}"/>
    <hyperlink ref="E33" r:id="rId7" xr:uid="{00000000-0004-0000-0100-000006000000}"/>
    <hyperlink ref="E4" r:id="rId8" xr:uid="{00000000-0004-0000-0100-000007000000}"/>
    <hyperlink ref="E31" r:id="rId9" xr:uid="{00000000-0004-0000-0100-000008000000}"/>
    <hyperlink ref="E23" r:id="rId10" xr:uid="{00000000-0004-0000-0100-000009000000}"/>
    <hyperlink ref="E9" r:id="rId11" xr:uid="{00000000-0004-0000-0100-00000A000000}"/>
    <hyperlink ref="E15" r:id="rId12" xr:uid="{00000000-0004-0000-0100-00000B000000}"/>
    <hyperlink ref="E21" r:id="rId13" xr:uid="{00000000-0004-0000-0100-00000C000000}"/>
    <hyperlink ref="E20" r:id="rId14" xr:uid="{00000000-0004-0000-0100-00000D000000}"/>
    <hyperlink ref="E34" r:id="rId15" xr:uid="{00000000-0004-0000-0100-00000E000000}"/>
    <hyperlink ref="E5" r:id="rId16" xr:uid="{00000000-0004-0000-0100-00000F000000}"/>
    <hyperlink ref="E6" r:id="rId17" xr:uid="{00000000-0004-0000-0100-000010000000}"/>
    <hyperlink ref="E12" r:id="rId18" xr:uid="{00000000-0004-0000-0100-000011000000}"/>
    <hyperlink ref="E24" r:id="rId19" xr:uid="{00000000-0004-0000-0100-000012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/>
  <dimension ref="B1:J24"/>
  <sheetViews>
    <sheetView workbookViewId="0">
      <selection activeCell="G7" sqref="G7:I16"/>
    </sheetView>
  </sheetViews>
  <sheetFormatPr defaultColWidth="9.140625" defaultRowHeight="15" zeroHeight="1" x14ac:dyDescent="0.25"/>
  <cols>
    <col min="1" max="1" width="4.7109375" customWidth="1"/>
    <col min="2" max="2" width="22" customWidth="1"/>
    <col min="3" max="3" width="21.5703125" customWidth="1"/>
    <col min="4" max="4" width="18" customWidth="1"/>
    <col min="5" max="9" width="9.140625" customWidth="1"/>
    <col min="10" max="10" width="9.5703125" customWidth="1"/>
  </cols>
  <sheetData>
    <row r="1" spans="2:10" s="5" customFormat="1" ht="15.75" thickBot="1" x14ac:dyDescent="0.3"/>
    <row r="2" spans="2:10" s="5" customFormat="1" ht="15.75" thickBot="1" x14ac:dyDescent="0.3">
      <c r="B2" s="131" t="s">
        <v>37</v>
      </c>
      <c r="C2" s="132"/>
      <c r="D2" s="133"/>
    </row>
    <row r="3" spans="2:10" s="5" customFormat="1" x14ac:dyDescent="0.25">
      <c r="B3" s="7" t="s">
        <v>38</v>
      </c>
      <c r="C3" s="8" t="s">
        <v>39</v>
      </c>
      <c r="D3" s="9" t="s">
        <v>40</v>
      </c>
    </row>
    <row r="4" spans="2:10" s="5" customFormat="1" x14ac:dyDescent="0.25">
      <c r="B4" s="7" t="s">
        <v>41</v>
      </c>
      <c r="C4" s="8" t="s">
        <v>42</v>
      </c>
      <c r="D4" s="9" t="s">
        <v>43</v>
      </c>
    </row>
    <row r="5" spans="2:10" s="5" customFormat="1" x14ac:dyDescent="0.25">
      <c r="B5" s="7" t="s">
        <v>44</v>
      </c>
      <c r="C5" s="8" t="s">
        <v>45</v>
      </c>
      <c r="D5" s="9"/>
    </row>
    <row r="6" spans="2:10" s="5" customFormat="1" x14ac:dyDescent="0.25">
      <c r="B6" s="7" t="s">
        <v>46</v>
      </c>
      <c r="C6" s="8" t="s">
        <v>47</v>
      </c>
      <c r="D6" s="9"/>
    </row>
    <row r="7" spans="2:10" s="5" customFormat="1" ht="15.75" thickBot="1" x14ac:dyDescent="0.3">
      <c r="B7" s="10"/>
      <c r="D7" s="11"/>
    </row>
    <row r="8" spans="2:10" s="5" customFormat="1" ht="15" customHeight="1" thickBot="1" x14ac:dyDescent="0.3">
      <c r="B8" s="131" t="s">
        <v>48</v>
      </c>
      <c r="C8" s="132"/>
      <c r="D8" s="133"/>
      <c r="J8" s="6"/>
    </row>
    <row r="9" spans="2:10" s="5" customFormat="1" x14ac:dyDescent="0.25">
      <c r="B9" s="7" t="s">
        <v>49</v>
      </c>
      <c r="C9" s="8" t="s">
        <v>50</v>
      </c>
      <c r="D9" s="11"/>
      <c r="J9" s="6"/>
    </row>
    <row r="10" spans="2:10" s="5" customFormat="1" x14ac:dyDescent="0.25">
      <c r="B10" s="7" t="s">
        <v>51</v>
      </c>
      <c r="C10" s="8" t="s">
        <v>52</v>
      </c>
      <c r="D10" s="11"/>
      <c r="J10" s="6"/>
    </row>
    <row r="11" spans="2:10" s="5" customFormat="1" x14ac:dyDescent="0.25">
      <c r="B11" s="7" t="s">
        <v>53</v>
      </c>
      <c r="C11" s="8" t="s">
        <v>54</v>
      </c>
      <c r="D11" s="11"/>
      <c r="J11" s="6"/>
    </row>
    <row r="12" spans="2:10" s="5" customFormat="1" x14ac:dyDescent="0.25">
      <c r="B12" s="7" t="s">
        <v>55</v>
      </c>
      <c r="C12" s="8" t="s">
        <v>56</v>
      </c>
      <c r="D12" s="11"/>
      <c r="G12" s="32"/>
      <c r="J12" s="6"/>
    </row>
    <row r="13" spans="2:10" s="5" customFormat="1" x14ac:dyDescent="0.25">
      <c r="B13" s="7" t="s">
        <v>55</v>
      </c>
      <c r="C13" s="8" t="s">
        <v>57</v>
      </c>
      <c r="D13" s="11"/>
      <c r="J13" s="6"/>
    </row>
    <row r="14" spans="2:10" s="5" customFormat="1" x14ac:dyDescent="0.25">
      <c r="B14" s="7" t="s">
        <v>58</v>
      </c>
      <c r="C14" s="8" t="s">
        <v>59</v>
      </c>
      <c r="D14" s="11"/>
      <c r="J14" s="6"/>
    </row>
    <row r="15" spans="2:10" s="5" customFormat="1" ht="17.25" x14ac:dyDescent="0.25">
      <c r="B15" s="7" t="s">
        <v>58</v>
      </c>
      <c r="C15" s="8" t="s">
        <v>60</v>
      </c>
      <c r="D15" s="11"/>
    </row>
    <row r="16" spans="2:10" s="5" customFormat="1" x14ac:dyDescent="0.25">
      <c r="B16" s="7" t="s">
        <v>61</v>
      </c>
      <c r="C16" s="8" t="s">
        <v>62</v>
      </c>
      <c r="D16" s="11"/>
    </row>
    <row r="17" spans="2:4" s="5" customFormat="1" ht="15.75" thickBot="1" x14ac:dyDescent="0.3">
      <c r="B17" s="10"/>
      <c r="D17" s="11"/>
    </row>
    <row r="18" spans="2:4" s="5" customFormat="1" ht="15.75" thickBot="1" x14ac:dyDescent="0.3">
      <c r="B18" s="131" t="s">
        <v>63</v>
      </c>
      <c r="C18" s="132"/>
      <c r="D18" s="133"/>
    </row>
    <row r="19" spans="2:4" s="5" customFormat="1" x14ac:dyDescent="0.25">
      <c r="B19" s="7" t="s">
        <v>64</v>
      </c>
      <c r="C19" s="8" t="s">
        <v>65</v>
      </c>
      <c r="D19" s="9" t="s">
        <v>66</v>
      </c>
    </row>
    <row r="20" spans="2:4" s="5" customFormat="1" x14ac:dyDescent="0.25">
      <c r="B20" s="7" t="s">
        <v>67</v>
      </c>
      <c r="C20" s="8" t="s">
        <v>42</v>
      </c>
      <c r="D20" s="9" t="s">
        <v>68</v>
      </c>
    </row>
    <row r="21" spans="2:4" s="5" customFormat="1" x14ac:dyDescent="0.25">
      <c r="B21" s="7" t="s">
        <v>44</v>
      </c>
      <c r="C21" s="8" t="s">
        <v>69</v>
      </c>
      <c r="D21" s="9"/>
    </row>
    <row r="22" spans="2:4" s="5" customFormat="1" x14ac:dyDescent="0.25">
      <c r="B22" s="7" t="s">
        <v>46</v>
      </c>
      <c r="C22" s="8" t="s">
        <v>70</v>
      </c>
      <c r="D22" s="9"/>
    </row>
    <row r="23" spans="2:4" s="5" customFormat="1" ht="15.75" thickBot="1" x14ac:dyDescent="0.3">
      <c r="B23" s="12"/>
      <c r="C23" s="13"/>
      <c r="D23" s="14"/>
    </row>
    <row r="24" spans="2:4" s="5" customFormat="1" x14ac:dyDescent="0.25"/>
  </sheetData>
  <mergeCells count="3">
    <mergeCell ref="B2:D2"/>
    <mergeCell ref="B18:D18"/>
    <mergeCell ref="B8:D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4</vt:i4>
      </vt:variant>
    </vt:vector>
  </HeadingPairs>
  <TitlesOfParts>
    <vt:vector size="7" baseType="lpstr">
      <vt:lpstr>Dados</vt:lpstr>
      <vt:lpstr>Fontes</vt:lpstr>
      <vt:lpstr>Tabela de Conversões</vt:lpstr>
      <vt:lpstr>Gráfico1</vt:lpstr>
      <vt:lpstr>Gráfico2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Ellwanger Pires</dc:creator>
  <cp:lastModifiedBy>Francine Ferraro</cp:lastModifiedBy>
  <cp:lastPrinted>2016-02-17T17:50:32Z</cp:lastPrinted>
  <dcterms:created xsi:type="dcterms:W3CDTF">2014-06-17T13:26:33Z</dcterms:created>
  <dcterms:modified xsi:type="dcterms:W3CDTF">2023-01-02T13:48:54Z</dcterms:modified>
</cp:coreProperties>
</file>