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X:\Biodiesel\Inteligência Competitiva\Informações Mercado\"/>
    </mc:Choice>
  </mc:AlternateContent>
  <xr:revisionPtr revIDLastSave="0" documentId="13_ncr:1_{FE4806D9-9E43-4602-A9A7-79F959D47533}" xr6:coauthVersionLast="47" xr6:coauthVersionMax="47" xr10:uidLastSave="{00000000-0000-0000-0000-000000000000}"/>
  <bookViews>
    <workbookView xWindow="28680" yWindow="45" windowWidth="29040" windowHeight="15840" tabRatio="739" xr2:uid="{00000000-000D-0000-FFFF-FFFF00000000}"/>
  </bookViews>
  <sheets>
    <sheet name="Dados" sheetId="30" r:id="rId1"/>
    <sheet name="Fontes" sheetId="3" state="hidden" r:id="rId2"/>
    <sheet name="Tabela de Conversões" sheetId="18" r:id="rId3"/>
    <sheet name="Gráfico1" sheetId="19" state="hidden" r:id="rId4"/>
    <sheet name="Gráfico2" sheetId="20" state="hidden" r:id="rId5"/>
    <sheet name="Gráfico3" sheetId="21" state="hidden" r:id="rId6"/>
    <sheet name="Gráfico4" sheetId="29" state="hidden" r:id="rId7"/>
  </sheets>
  <externalReferences>
    <externalReference r:id="rId8"/>
  </externalReferences>
  <definedNames>
    <definedName name="_xlnm._FilterDatabase" localSheetId="1" hidden="1">Fontes!$A$1:$H$44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Z8" i="30" l="1"/>
  <c r="MY8" i="30"/>
  <c r="MY37" i="30"/>
  <c r="MX8" i="30"/>
  <c r="MX37" i="30"/>
  <c r="MW8" i="30"/>
  <c r="MW37" i="30"/>
  <c r="MV8" i="30"/>
  <c r="MS8" i="30"/>
  <c r="MZ18" i="30"/>
  <c r="MZ19" i="30" s="1"/>
  <c r="MY18" i="30"/>
  <c r="MY19" i="30" s="1"/>
  <c r="MX18" i="30"/>
  <c r="MX19" i="30" s="1"/>
  <c r="MW18" i="30"/>
  <c r="MW19" i="30" s="1"/>
  <c r="MV18" i="30"/>
  <c r="MV19" i="30" s="1"/>
  <c r="MZ16" i="30"/>
  <c r="MY16" i="30"/>
  <c r="MX16" i="30"/>
  <c r="MW16" i="30"/>
  <c r="MV16" i="30"/>
  <c r="MZ14" i="30"/>
  <c r="MZ15" i="30" s="1"/>
  <c r="MY14" i="30"/>
  <c r="MY15" i="30" s="1"/>
  <c r="MX14" i="30"/>
  <c r="MX15" i="30" s="1"/>
  <c r="MW14" i="30"/>
  <c r="MW15" i="30" s="1"/>
  <c r="MV14" i="30"/>
  <c r="MV15" i="30" s="1"/>
  <c r="MZ11" i="30"/>
  <c r="MZ12" i="30" s="1"/>
  <c r="MY11" i="30"/>
  <c r="MY12" i="30" s="1"/>
  <c r="MX11" i="30"/>
  <c r="MX12" i="30" s="1"/>
  <c r="MW11" i="30"/>
  <c r="MW12" i="30" s="1"/>
  <c r="MV11" i="30"/>
  <c r="MV12" i="30" s="1"/>
  <c r="MZ3" i="30"/>
  <c r="MY3" i="30"/>
  <c r="MX3" i="30"/>
  <c r="MW3" i="30"/>
  <c r="MV3" i="30"/>
  <c r="NG28" i="30"/>
  <c r="NG29" i="30" s="1"/>
  <c r="NF28" i="30"/>
  <c r="NF29" i="30" s="1"/>
  <c r="NE28" i="30"/>
  <c r="NE29" i="30" s="1"/>
  <c r="ND28" i="30"/>
  <c r="ND29" i="30" s="1"/>
  <c r="NC28" i="30"/>
  <c r="NC29" i="30" s="1"/>
  <c r="NG27" i="30"/>
  <c r="NF27" i="30"/>
  <c r="NE27" i="30"/>
  <c r="ND27" i="30"/>
  <c r="NC27" i="30"/>
  <c r="MV37" i="30"/>
  <c r="MS37" i="30"/>
  <c r="MR8" i="30"/>
  <c r="MR37" i="30"/>
  <c r="MQ37" i="30"/>
  <c r="MQ8" i="30"/>
  <c r="MP8" i="30"/>
  <c r="MP37" i="30"/>
  <c r="MO8" i="30"/>
  <c r="MS18" i="30"/>
  <c r="MS19" i="30" s="1"/>
  <c r="MR18" i="30"/>
  <c r="MR19" i="30" s="1"/>
  <c r="MQ18" i="30"/>
  <c r="MQ19" i="30" s="1"/>
  <c r="MP18" i="30"/>
  <c r="MP19" i="30" s="1"/>
  <c r="MO18" i="30"/>
  <c r="MO19" i="30" s="1"/>
  <c r="MS16" i="30"/>
  <c r="MR16" i="30"/>
  <c r="MQ16" i="30"/>
  <c r="MP16" i="30"/>
  <c r="MO16" i="30"/>
  <c r="MS14" i="30"/>
  <c r="MS15" i="30" s="1"/>
  <c r="MR14" i="30"/>
  <c r="MR15" i="30" s="1"/>
  <c r="MQ14" i="30"/>
  <c r="MQ15" i="30" s="1"/>
  <c r="MP14" i="30"/>
  <c r="MP15" i="30" s="1"/>
  <c r="MO14" i="30"/>
  <c r="MO15" i="30" s="1"/>
  <c r="MS11" i="30"/>
  <c r="MS12" i="30" s="1"/>
  <c r="MR11" i="30"/>
  <c r="MR12" i="30" s="1"/>
  <c r="MQ11" i="30"/>
  <c r="MQ12" i="30" s="1"/>
  <c r="MP11" i="30"/>
  <c r="MP12" i="30" s="1"/>
  <c r="MO11" i="30"/>
  <c r="MO12" i="30" s="1"/>
  <c r="MO37" i="30"/>
  <c r="MS3" i="30"/>
  <c r="MR3" i="30"/>
  <c r="MQ3" i="30"/>
  <c r="MP3" i="30"/>
  <c r="MO3" i="30"/>
  <c r="ML8" i="30"/>
  <c r="ML37" i="30"/>
  <c r="MK8" i="30"/>
  <c r="MK37" i="30"/>
  <c r="MJ8" i="30"/>
  <c r="MJ37" i="30"/>
  <c r="MI8" i="30"/>
  <c r="MI37" i="30"/>
  <c r="MH18" i="30"/>
  <c r="MH19" i="30" s="1"/>
  <c r="ML18" i="30"/>
  <c r="ML19" i="30" s="1"/>
  <c r="MK18" i="30"/>
  <c r="MK19" i="30" s="1"/>
  <c r="MJ18" i="30"/>
  <c r="MJ19" i="30" s="1"/>
  <c r="MI18" i="30"/>
  <c r="MI19" i="30" s="1"/>
  <c r="ML16" i="30"/>
  <c r="MK16" i="30"/>
  <c r="MJ16" i="30"/>
  <c r="MI16" i="30"/>
  <c r="MH16" i="30"/>
  <c r="ML14" i="30"/>
  <c r="ML15" i="30" s="1"/>
  <c r="MK14" i="30"/>
  <c r="MK15" i="30" s="1"/>
  <c r="MJ14" i="30"/>
  <c r="MJ15" i="30" s="1"/>
  <c r="MI14" i="30"/>
  <c r="MI15" i="30" s="1"/>
  <c r="MH14" i="30"/>
  <c r="MH15" i="30" s="1"/>
  <c r="ML11" i="30"/>
  <c r="ML12" i="30" s="1"/>
  <c r="MK11" i="30"/>
  <c r="MK12" i="30" s="1"/>
  <c r="MJ11" i="30"/>
  <c r="MJ12" i="30" s="1"/>
  <c r="MI11" i="30"/>
  <c r="MI12" i="30" s="1"/>
  <c r="MH11" i="30"/>
  <c r="MH12" i="30" s="1"/>
  <c r="MH8" i="30"/>
  <c r="MH37" i="30"/>
  <c r="ML3" i="30"/>
  <c r="MK3" i="30"/>
  <c r="MJ3" i="30"/>
  <c r="MI3" i="30"/>
  <c r="MH3" i="30"/>
  <c r="MZ29" i="30"/>
  <c r="MY29" i="30"/>
  <c r="MX29" i="30"/>
  <c r="MW29" i="30"/>
  <c r="MV29" i="30"/>
  <c r="MS29" i="30"/>
  <c r="MR29" i="30"/>
  <c r="MQ29" i="30"/>
  <c r="MP29" i="30"/>
  <c r="MO29" i="30"/>
  <c r="ME8" i="30"/>
  <c r="ME37" i="30"/>
  <c r="MD8" i="30"/>
  <c r="MD37" i="30"/>
  <c r="MC8" i="30"/>
  <c r="MC37" i="30"/>
  <c r="MB8" i="30"/>
  <c r="MB37" i="30"/>
  <c r="MA8" i="30"/>
  <c r="ME18" i="30"/>
  <c r="ME19" i="30" s="1"/>
  <c r="MD18" i="30"/>
  <c r="MD19" i="30" s="1"/>
  <c r="MC18" i="30"/>
  <c r="MC19" i="30" s="1"/>
  <c r="MB18" i="30"/>
  <c r="MB19" i="30" s="1"/>
  <c r="MA18" i="30"/>
  <c r="MA19" i="30" s="1"/>
  <c r="ME16" i="30"/>
  <c r="MD16" i="30"/>
  <c r="MC16" i="30"/>
  <c r="MB16" i="30"/>
  <c r="MA16" i="30"/>
  <c r="ME14" i="30"/>
  <c r="ME15" i="30" s="1"/>
  <c r="MD14" i="30"/>
  <c r="MD15" i="30" s="1"/>
  <c r="MC14" i="30"/>
  <c r="MC15" i="30" s="1"/>
  <c r="MB14" i="30"/>
  <c r="MB15" i="30" s="1"/>
  <c r="MA14" i="30"/>
  <c r="MA15" i="30" s="1"/>
  <c r="ME11" i="30"/>
  <c r="ME12" i="30" s="1"/>
  <c r="MD11" i="30"/>
  <c r="MD12" i="30" s="1"/>
  <c r="MC11" i="30"/>
  <c r="MC12" i="30" s="1"/>
  <c r="MB11" i="30"/>
  <c r="MB12" i="30" s="1"/>
  <c r="MA11" i="30"/>
  <c r="MA12" i="30" s="1"/>
  <c r="ME3" i="30"/>
  <c r="MD3" i="30"/>
  <c r="MC3" i="30"/>
  <c r="MB3" i="30"/>
  <c r="MA3" i="30"/>
  <c r="MA37" i="30"/>
  <c r="LX8" i="30"/>
  <c r="LX37" i="30"/>
  <c r="LW8" i="30"/>
  <c r="LW37" i="30"/>
  <c r="LV8" i="30"/>
  <c r="LV37" i="30"/>
  <c r="LU8" i="30"/>
  <c r="LU37" i="30"/>
  <c r="LT8" i="30"/>
  <c r="LX18" i="30"/>
  <c r="LX19" i="30" s="1"/>
  <c r="LW18" i="30"/>
  <c r="LW19" i="30" s="1"/>
  <c r="LV18" i="30"/>
  <c r="LV19" i="30" s="1"/>
  <c r="LU18" i="30"/>
  <c r="LU19" i="30" s="1"/>
  <c r="LT18" i="30"/>
  <c r="LT19" i="30" s="1"/>
  <c r="LX16" i="30"/>
  <c r="LW16" i="30"/>
  <c r="LV16" i="30"/>
  <c r="LU16" i="30"/>
  <c r="LT16" i="30"/>
  <c r="LX14" i="30"/>
  <c r="LX15" i="30" s="1"/>
  <c r="LW14" i="30"/>
  <c r="LW15" i="30" s="1"/>
  <c r="LV14" i="30"/>
  <c r="LV15" i="30" s="1"/>
  <c r="LU14" i="30"/>
  <c r="LU15" i="30" s="1"/>
  <c r="LT14" i="30"/>
  <c r="LT15" i="30" s="1"/>
  <c r="LX11" i="30"/>
  <c r="LX12" i="30" s="1"/>
  <c r="LW11" i="30"/>
  <c r="LW12" i="30" s="1"/>
  <c r="LV11" i="30"/>
  <c r="LV12" i="30" s="1"/>
  <c r="LU11" i="30"/>
  <c r="LU12" i="30" s="1"/>
  <c r="LT11" i="30"/>
  <c r="LT12" i="30" s="1"/>
  <c r="LT37" i="30"/>
  <c r="LX3" i="30"/>
  <c r="LW3" i="30"/>
  <c r="LV3" i="30"/>
  <c r="LU3" i="30"/>
  <c r="LT3" i="30"/>
  <c r="LQ8" i="30"/>
  <c r="LQ37" i="30"/>
  <c r="LP8" i="30"/>
  <c r="LP37" i="30"/>
  <c r="LO8" i="30"/>
  <c r="LO37" i="30"/>
  <c r="LN8" i="30"/>
  <c r="LN37" i="30"/>
  <c r="ML29" i="30"/>
  <c r="MK29" i="30"/>
  <c r="MJ29" i="30"/>
  <c r="MI29" i="30"/>
  <c r="MH29" i="30"/>
  <c r="ME29" i="30"/>
  <c r="MD29" i="30"/>
  <c r="MC29" i="30"/>
  <c r="MB29" i="30"/>
  <c r="MA29" i="30"/>
  <c r="LM8" i="30"/>
  <c r="LQ18" i="30"/>
  <c r="LQ19" i="30" s="1"/>
  <c r="LP18" i="30"/>
  <c r="LP19" i="30" s="1"/>
  <c r="LO18" i="30"/>
  <c r="LO19" i="30" s="1"/>
  <c r="LN18" i="30"/>
  <c r="LN19" i="30" s="1"/>
  <c r="LM18" i="30"/>
  <c r="LM19" i="30" s="1"/>
  <c r="LQ16" i="30"/>
  <c r="LP16" i="30"/>
  <c r="LO16" i="30"/>
  <c r="LN16" i="30"/>
  <c r="LM16" i="30"/>
  <c r="LQ14" i="30"/>
  <c r="LQ15" i="30" s="1"/>
  <c r="LP14" i="30"/>
  <c r="LP15" i="30" s="1"/>
  <c r="LO14" i="30"/>
  <c r="LO15" i="30" s="1"/>
  <c r="LN14" i="30"/>
  <c r="LN15" i="30" s="1"/>
  <c r="LM14" i="30"/>
  <c r="LM15" i="30" s="1"/>
  <c r="LQ11" i="30"/>
  <c r="LQ12" i="30" s="1"/>
  <c r="LP11" i="30"/>
  <c r="LP12" i="30" s="1"/>
  <c r="LO11" i="30"/>
  <c r="LO12" i="30" s="1"/>
  <c r="LN11" i="30"/>
  <c r="LN12" i="30" s="1"/>
  <c r="LM11" i="30"/>
  <c r="LM12" i="30" s="1"/>
  <c r="LM37" i="30"/>
  <c r="LQ3" i="30"/>
  <c r="LP3" i="30"/>
  <c r="LO3" i="30"/>
  <c r="LN3" i="30"/>
  <c r="LM3" i="30"/>
  <c r="LJ8" i="30"/>
  <c r="LJ37" i="30"/>
  <c r="LI37" i="30"/>
  <c r="LI8" i="30"/>
  <c r="LH8" i="30"/>
  <c r="LG8" i="30"/>
  <c r="LH37" i="30"/>
  <c r="LG37" i="30"/>
  <c r="LJ18" i="30"/>
  <c r="LJ19" i="30" s="1"/>
  <c r="LI18" i="30"/>
  <c r="LI19" i="30" s="1"/>
  <c r="LH18" i="30"/>
  <c r="LH19" i="30" s="1"/>
  <c r="LG18" i="30"/>
  <c r="LG19" i="30" s="1"/>
  <c r="LF18" i="30"/>
  <c r="LF19" i="30" s="1"/>
  <c r="LJ16" i="30"/>
  <c r="LI16" i="30"/>
  <c r="LH16" i="30"/>
  <c r="LG16" i="30"/>
  <c r="LF16" i="30"/>
  <c r="LJ14" i="30"/>
  <c r="LJ15" i="30" s="1"/>
  <c r="LI14" i="30"/>
  <c r="LI15" i="30" s="1"/>
  <c r="LH14" i="30"/>
  <c r="LH15" i="30" s="1"/>
  <c r="LG14" i="30"/>
  <c r="LG15" i="30" s="1"/>
  <c r="LF14" i="30"/>
  <c r="LF15" i="30" s="1"/>
  <c r="LJ11" i="30"/>
  <c r="LJ12" i="30" s="1"/>
  <c r="LI11" i="30"/>
  <c r="LI12" i="30" s="1"/>
  <c r="LH11" i="30"/>
  <c r="LH12" i="30" s="1"/>
  <c r="LG11" i="30"/>
  <c r="LG12" i="30" s="1"/>
  <c r="LF11" i="30"/>
  <c r="LF12" i="30" s="1"/>
  <c r="LF8" i="30"/>
  <c r="LJ3" i="30"/>
  <c r="LI3" i="30"/>
  <c r="LH3" i="30"/>
  <c r="LG3" i="30"/>
  <c r="LF3" i="30"/>
  <c r="LF37" i="30"/>
  <c r="LC8" i="30"/>
  <c r="LC37" i="30"/>
  <c r="LX29" i="30"/>
  <c r="LW29" i="30"/>
  <c r="LV29" i="30"/>
  <c r="LU29" i="30"/>
  <c r="LT29" i="30"/>
  <c r="LQ29" i="30"/>
  <c r="LP29" i="30"/>
  <c r="LO29" i="30"/>
  <c r="LN29" i="30"/>
  <c r="LM29" i="30"/>
  <c r="LB8" i="30"/>
  <c r="LB37" i="30"/>
  <c r="LA8" i="30"/>
  <c r="LA37" i="30"/>
  <c r="KZ8" i="30"/>
  <c r="KZ37" i="30"/>
  <c r="LC18" i="30"/>
  <c r="LC19" i="30" s="1"/>
  <c r="LB18" i="30"/>
  <c r="LB19" i="30" s="1"/>
  <c r="LA18" i="30"/>
  <c r="LA19" i="30" s="1"/>
  <c r="KZ18" i="30"/>
  <c r="KZ19" i="30" s="1"/>
  <c r="KY18" i="30"/>
  <c r="KY19" i="30" s="1"/>
  <c r="LC16" i="30"/>
  <c r="LB16" i="30"/>
  <c r="LA16" i="30"/>
  <c r="KZ16" i="30"/>
  <c r="KY16" i="30"/>
  <c r="LC14" i="30"/>
  <c r="LC15" i="30" s="1"/>
  <c r="LB14" i="30"/>
  <c r="LB15" i="30" s="1"/>
  <c r="LA14" i="30"/>
  <c r="LA15" i="30" s="1"/>
  <c r="KZ14" i="30"/>
  <c r="KZ15" i="30" s="1"/>
  <c r="KY14" i="30"/>
  <c r="KY15" i="30" s="1"/>
  <c r="LC11" i="30"/>
  <c r="LC12" i="30" s="1"/>
  <c r="LB11" i="30"/>
  <c r="LB12" i="30" s="1"/>
  <c r="LA11" i="30"/>
  <c r="LA12" i="30" s="1"/>
  <c r="KZ11" i="30"/>
  <c r="KZ12" i="30" s="1"/>
  <c r="KY11" i="30"/>
  <c r="KY12" i="30" s="1"/>
  <c r="KY8" i="30"/>
  <c r="KY37" i="30"/>
  <c r="LC3" i="30"/>
  <c r="LB3" i="30"/>
  <c r="LA3" i="30"/>
  <c r="KZ3" i="30"/>
  <c r="KY3" i="30"/>
  <c r="KV8" i="30"/>
  <c r="KV37" i="30"/>
  <c r="KU8" i="30"/>
  <c r="KT8" i="30"/>
  <c r="KU37" i="30"/>
  <c r="KT37" i="30"/>
  <c r="KS8" i="30"/>
  <c r="KS37" i="30"/>
  <c r="KR8" i="30"/>
  <c r="KV18" i="30"/>
  <c r="KV19" i="30" s="1"/>
  <c r="KU18" i="30"/>
  <c r="KU19" i="30" s="1"/>
  <c r="KT18" i="30"/>
  <c r="KT19" i="30" s="1"/>
  <c r="KS18" i="30"/>
  <c r="KS19" i="30" s="1"/>
  <c r="KR18" i="30"/>
  <c r="KR19" i="30" s="1"/>
  <c r="KV16" i="30"/>
  <c r="KU16" i="30"/>
  <c r="KT16" i="30"/>
  <c r="KS16" i="30"/>
  <c r="KR16" i="30"/>
  <c r="KV14" i="30"/>
  <c r="KV15" i="30" s="1"/>
  <c r="KU14" i="30"/>
  <c r="KU15" i="30" s="1"/>
  <c r="KT14" i="30"/>
  <c r="KT15" i="30" s="1"/>
  <c r="KS14" i="30"/>
  <c r="KS15" i="30" s="1"/>
  <c r="KR14" i="30"/>
  <c r="KR15" i="30" s="1"/>
  <c r="KV11" i="30"/>
  <c r="KV12" i="30" s="1"/>
  <c r="KU11" i="30"/>
  <c r="KU12" i="30" s="1"/>
  <c r="KT11" i="30"/>
  <c r="KT12" i="30" s="1"/>
  <c r="KS11" i="30"/>
  <c r="KS12" i="30" s="1"/>
  <c r="KR11" i="30"/>
  <c r="KR12" i="30" s="1"/>
  <c r="KR37" i="30"/>
  <c r="KV3" i="30"/>
  <c r="KU3" i="30"/>
  <c r="KT3" i="30"/>
  <c r="KS3" i="30"/>
  <c r="KR3" i="30"/>
  <c r="KO8" i="30"/>
  <c r="KO37" i="30"/>
  <c r="KN8" i="30"/>
  <c r="KN37" i="30"/>
  <c r="KM8" i="30"/>
  <c r="KM37" i="30"/>
  <c r="KL8" i="30"/>
  <c r="KL37" i="30"/>
  <c r="LJ29" i="30"/>
  <c r="LI29" i="30"/>
  <c r="LH29" i="30"/>
  <c r="LG29" i="30"/>
  <c r="LF30" i="30"/>
  <c r="LB29" i="30"/>
  <c r="LA29" i="30"/>
  <c r="KZ29" i="30"/>
  <c r="KK8" i="30"/>
  <c r="KO18" i="30"/>
  <c r="KO19" i="30" s="1"/>
  <c r="KN18" i="30"/>
  <c r="KN19" i="30" s="1"/>
  <c r="KM18" i="30"/>
  <c r="KM19" i="30" s="1"/>
  <c r="KL18" i="30"/>
  <c r="KL19" i="30" s="1"/>
  <c r="KK18" i="30"/>
  <c r="KK19" i="30" s="1"/>
  <c r="KO16" i="30"/>
  <c r="KN16" i="30"/>
  <c r="KM16" i="30"/>
  <c r="KL16" i="30"/>
  <c r="KK16" i="30"/>
  <c r="KO14" i="30"/>
  <c r="KO15" i="30" s="1"/>
  <c r="KN14" i="30"/>
  <c r="KN15" i="30" s="1"/>
  <c r="KM14" i="30"/>
  <c r="KM15" i="30" s="1"/>
  <c r="KL14" i="30"/>
  <c r="KL15" i="30" s="1"/>
  <c r="KK14" i="30"/>
  <c r="KK15" i="30" s="1"/>
  <c r="KO11" i="30"/>
  <c r="KO12" i="30" s="1"/>
  <c r="KN11" i="30"/>
  <c r="KN12" i="30" s="1"/>
  <c r="KM11" i="30"/>
  <c r="KM12" i="30" s="1"/>
  <c r="KL11" i="30"/>
  <c r="KL12" i="30" s="1"/>
  <c r="KK11" i="30"/>
  <c r="KK12" i="30" s="1"/>
  <c r="KK37" i="30"/>
  <c r="KO3" i="30"/>
  <c r="KN3" i="30"/>
  <c r="KM3" i="30"/>
  <c r="KL3" i="30"/>
  <c r="KK3" i="30"/>
  <c r="KH8" i="30"/>
  <c r="KH37" i="30"/>
  <c r="KG8" i="30"/>
  <c r="KG37" i="30"/>
  <c r="KF8" i="30"/>
  <c r="KF3" i="30"/>
  <c r="KF37" i="30"/>
  <c r="KE8" i="30"/>
  <c r="KE37" i="30"/>
  <c r="KD8" i="30"/>
  <c r="KD37" i="30"/>
  <c r="KG18" i="30"/>
  <c r="KG19" i="30" s="1"/>
  <c r="KH18" i="30"/>
  <c r="KH19" i="30" s="1"/>
  <c r="KF18" i="30"/>
  <c r="KF19" i="30" s="1"/>
  <c r="KE18" i="30"/>
  <c r="KE19" i="30" s="1"/>
  <c r="KD18" i="30"/>
  <c r="KD19" i="30" s="1"/>
  <c r="KG16" i="30"/>
  <c r="KG14" i="30"/>
  <c r="KG15" i="30" s="1"/>
  <c r="KH16" i="30"/>
  <c r="KF16" i="30"/>
  <c r="KE16" i="30"/>
  <c r="KD16" i="30"/>
  <c r="KH14" i="30"/>
  <c r="KH15" i="30" s="1"/>
  <c r="KF14" i="30"/>
  <c r="KF15" i="30" s="1"/>
  <c r="KE14" i="30"/>
  <c r="KE15" i="30" s="1"/>
  <c r="KD14" i="30"/>
  <c r="KD15" i="30" s="1"/>
  <c r="KG11" i="30"/>
  <c r="KG12" i="30" s="1"/>
  <c r="KH11" i="30"/>
  <c r="KH12" i="30" s="1"/>
  <c r="KF11" i="30"/>
  <c r="KF12" i="30" s="1"/>
  <c r="KE11" i="30"/>
  <c r="KE12" i="30" s="1"/>
  <c r="KD11" i="30"/>
  <c r="KD12" i="30" s="1"/>
  <c r="KG3" i="30"/>
  <c r="KH3" i="30"/>
  <c r="KE3" i="30"/>
  <c r="KD3" i="30"/>
  <c r="KV29" i="30"/>
  <c r="KV30" i="30" s="1"/>
  <c r="KU29" i="30"/>
  <c r="KU30" i="30" s="1"/>
  <c r="KT29" i="30"/>
  <c r="KS29" i="30"/>
  <c r="KR29" i="30"/>
  <c r="KM29" i="30"/>
  <c r="KL29" i="30"/>
  <c r="KK29" i="30"/>
  <c r="KA8" i="30"/>
  <c r="KA37" i="30"/>
  <c r="JZ37" i="30"/>
  <c r="JY37" i="30"/>
  <c r="JY8" i="30"/>
  <c r="JX8" i="30"/>
  <c r="JX37" i="30"/>
  <c r="JW8" i="30"/>
  <c r="KA18" i="30"/>
  <c r="KA19" i="30" s="1"/>
  <c r="JY18" i="30"/>
  <c r="JY19" i="30" s="1"/>
  <c r="JX18" i="30"/>
  <c r="JX19" i="30" s="1"/>
  <c r="JW18" i="30"/>
  <c r="JW19" i="30" s="1"/>
  <c r="KA16" i="30"/>
  <c r="JY16" i="30"/>
  <c r="JX16" i="30"/>
  <c r="JW16" i="30"/>
  <c r="KA14" i="30"/>
  <c r="KA15" i="30" s="1"/>
  <c r="JY14" i="30"/>
  <c r="JY15" i="30" s="1"/>
  <c r="JX14" i="30"/>
  <c r="JX15" i="30" s="1"/>
  <c r="JW14" i="30"/>
  <c r="JW15" i="30" s="1"/>
  <c r="KA11" i="30"/>
  <c r="KA12" i="30" s="1"/>
  <c r="JY11" i="30"/>
  <c r="JY12" i="30" s="1"/>
  <c r="JX11" i="30"/>
  <c r="JX12" i="30" s="1"/>
  <c r="JW11" i="30"/>
  <c r="JW12" i="30" s="1"/>
  <c r="KA3" i="30"/>
  <c r="JY3" i="30"/>
  <c r="JX3" i="30"/>
  <c r="JW3" i="30"/>
  <c r="JW37" i="30"/>
  <c r="JT37" i="30"/>
  <c r="JT8" i="30"/>
  <c r="JS8" i="30"/>
  <c r="JS37" i="30"/>
  <c r="JR8" i="30"/>
  <c r="JR37" i="30"/>
  <c r="NC31" i="30" l="1"/>
  <c r="ND31" i="30"/>
  <c r="ND30" i="30"/>
  <c r="NE31" i="30"/>
  <c r="NE30" i="30"/>
  <c r="NF31" i="30"/>
  <c r="NF30" i="30"/>
  <c r="NG31" i="30"/>
  <c r="NG30" i="30"/>
  <c r="NC30" i="30"/>
  <c r="MW31" i="30"/>
  <c r="MQ31" i="30"/>
  <c r="MX31" i="30"/>
  <c r="MV31" i="30"/>
  <c r="MY30" i="30"/>
  <c r="MY31" i="30"/>
  <c r="MO31" i="30"/>
  <c r="MZ31" i="30"/>
  <c r="MZ30" i="30"/>
  <c r="MV30" i="30"/>
  <c r="MW30" i="30"/>
  <c r="MX30" i="30"/>
  <c r="MR31" i="30"/>
  <c r="MR30" i="30"/>
  <c r="MS31" i="30"/>
  <c r="MS30" i="30"/>
  <c r="MP31" i="30"/>
  <c r="MP30" i="30"/>
  <c r="MO30" i="30"/>
  <c r="MQ30" i="30"/>
  <c r="MK31" i="30"/>
  <c r="MI31" i="30"/>
  <c r="MD31" i="30"/>
  <c r="MA31" i="30"/>
  <c r="MH31" i="30"/>
  <c r="MJ31" i="30"/>
  <c r="MJ30" i="30"/>
  <c r="ML31" i="30"/>
  <c r="ML30" i="30"/>
  <c r="MH30" i="30"/>
  <c r="MI30" i="30"/>
  <c r="MK30" i="30"/>
  <c r="ME31" i="30"/>
  <c r="ME30" i="30"/>
  <c r="MB31" i="30"/>
  <c r="MB30" i="30"/>
  <c r="MC31" i="30"/>
  <c r="MC30" i="30"/>
  <c r="MA30" i="30"/>
  <c r="MD30" i="30"/>
  <c r="LX31" i="30"/>
  <c r="LW31" i="30"/>
  <c r="LC29" i="30"/>
  <c r="LC31" i="30" s="1"/>
  <c r="LM31" i="30"/>
  <c r="LT31" i="30"/>
  <c r="LT30" i="30"/>
  <c r="LU31" i="30"/>
  <c r="LU30" i="30"/>
  <c r="LV31" i="30"/>
  <c r="LV30" i="30"/>
  <c r="LW30" i="30"/>
  <c r="LX30" i="30"/>
  <c r="LQ31" i="30"/>
  <c r="LQ30" i="30"/>
  <c r="LN31" i="30"/>
  <c r="LN30" i="30"/>
  <c r="LO31" i="30"/>
  <c r="LO30" i="30"/>
  <c r="LP31" i="30"/>
  <c r="LP30" i="30"/>
  <c r="LM30" i="30"/>
  <c r="KY29" i="30"/>
  <c r="KY31" i="30" s="1"/>
  <c r="LI31" i="30"/>
  <c r="KN29" i="30"/>
  <c r="KN31" i="30" s="1"/>
  <c r="KN30" i="30" s="1"/>
  <c r="KO29" i="30"/>
  <c r="KO31" i="30" s="1"/>
  <c r="LG31" i="30"/>
  <c r="LF29" i="30"/>
  <c r="LF31" i="30" s="1"/>
  <c r="LH30" i="30"/>
  <c r="LH31" i="30"/>
  <c r="LJ31" i="30"/>
  <c r="LJ30" i="30"/>
  <c r="LG30" i="30"/>
  <c r="LI30" i="30"/>
  <c r="KZ31" i="30"/>
  <c r="KZ30" i="30"/>
  <c r="LA31" i="30"/>
  <c r="LA30" i="30"/>
  <c r="LB31" i="30"/>
  <c r="LB30" i="30"/>
  <c r="KY30" i="30"/>
  <c r="KT31" i="30"/>
  <c r="KM31" i="30"/>
  <c r="KS31" i="30"/>
  <c r="KR31" i="30"/>
  <c r="KR30" i="30"/>
  <c r="KS30" i="30"/>
  <c r="KV31" i="30"/>
  <c r="KU31" i="30"/>
  <c r="KT30" i="30"/>
  <c r="KL31" i="30"/>
  <c r="KL30" i="30"/>
  <c r="KK30" i="30"/>
  <c r="KM30" i="30"/>
  <c r="JQ8" i="30"/>
  <c r="JQ37" i="30"/>
  <c r="JT18" i="30"/>
  <c r="JT19" i="30" s="1"/>
  <c r="JS18" i="30"/>
  <c r="JS19" i="30" s="1"/>
  <c r="JR18" i="30"/>
  <c r="JR19" i="30" s="1"/>
  <c r="JQ18" i="30"/>
  <c r="JQ19" i="30" s="1"/>
  <c r="JP18" i="30"/>
  <c r="JP19" i="30" s="1"/>
  <c r="JT16" i="30"/>
  <c r="JS16" i="30"/>
  <c r="JR16" i="30"/>
  <c r="JQ16" i="30"/>
  <c r="JP16" i="30"/>
  <c r="JT14" i="30"/>
  <c r="JT15" i="30" s="1"/>
  <c r="JS14" i="30"/>
  <c r="JS15" i="30" s="1"/>
  <c r="JR14" i="30"/>
  <c r="JR15" i="30" s="1"/>
  <c r="JQ14" i="30"/>
  <c r="JQ15" i="30" s="1"/>
  <c r="JP14" i="30"/>
  <c r="JP15" i="30" s="1"/>
  <c r="JT11" i="30"/>
  <c r="JT12" i="30" s="1"/>
  <c r="JS11" i="30"/>
  <c r="JS12" i="30" s="1"/>
  <c r="JR11" i="30"/>
  <c r="JR12" i="30" s="1"/>
  <c r="JQ11" i="30"/>
  <c r="JQ12" i="30" s="1"/>
  <c r="JP11" i="30"/>
  <c r="JP12" i="30" s="1"/>
  <c r="JP8" i="30"/>
  <c r="JT3" i="30"/>
  <c r="JS3" i="30"/>
  <c r="JR3" i="30"/>
  <c r="JQ3" i="30"/>
  <c r="JP3" i="30"/>
  <c r="JP37" i="30"/>
  <c r="JM8" i="30"/>
  <c r="JM37" i="30"/>
  <c r="JL8" i="30"/>
  <c r="JL37" i="30"/>
  <c r="JK8" i="30"/>
  <c r="JK37" i="30"/>
  <c r="JK3" i="30"/>
  <c r="JJ8" i="30"/>
  <c r="JJ37" i="30"/>
  <c r="JI8" i="30"/>
  <c r="JM18" i="30"/>
  <c r="JM19" i="30" s="1"/>
  <c r="JL18" i="30"/>
  <c r="JL19" i="30" s="1"/>
  <c r="JK18" i="30"/>
  <c r="JK19" i="30" s="1"/>
  <c r="JJ18" i="30"/>
  <c r="JJ19" i="30" s="1"/>
  <c r="JI18" i="30"/>
  <c r="JI19" i="30" s="1"/>
  <c r="JM16" i="30"/>
  <c r="JL16" i="30"/>
  <c r="JK16" i="30"/>
  <c r="JJ16" i="30"/>
  <c r="JI16" i="30"/>
  <c r="JM14" i="30"/>
  <c r="JM15" i="30" s="1"/>
  <c r="JL14" i="30"/>
  <c r="JL15" i="30" s="1"/>
  <c r="JK14" i="30"/>
  <c r="JK15" i="30" s="1"/>
  <c r="JJ14" i="30"/>
  <c r="JJ15" i="30" s="1"/>
  <c r="JI14" i="30"/>
  <c r="JI15" i="30" s="1"/>
  <c r="JM11" i="30"/>
  <c r="JM12" i="30" s="1"/>
  <c r="JL11" i="30"/>
  <c r="JL12" i="30" s="1"/>
  <c r="JK11" i="30"/>
  <c r="JK12" i="30" s="1"/>
  <c r="JJ11" i="30"/>
  <c r="JJ12" i="30" s="1"/>
  <c r="JI11" i="30"/>
  <c r="JI12" i="30" s="1"/>
  <c r="JI37" i="30"/>
  <c r="JM3" i="30"/>
  <c r="JL3" i="30"/>
  <c r="JJ3" i="30"/>
  <c r="JI3" i="30"/>
  <c r="JF8" i="30"/>
  <c r="JF37" i="30"/>
  <c r="JE8" i="30"/>
  <c r="JE37" i="30"/>
  <c r="KH29" i="30"/>
  <c r="KG29" i="30"/>
  <c r="KF29" i="30"/>
  <c r="KE29" i="30"/>
  <c r="KD30" i="30"/>
  <c r="KA29" i="30"/>
  <c r="JY29" i="30"/>
  <c r="JX29" i="30"/>
  <c r="JW30" i="30"/>
  <c r="JD8" i="30"/>
  <c r="JC8" i="30"/>
  <c r="JD37" i="30"/>
  <c r="JC37" i="30"/>
  <c r="JB8" i="30"/>
  <c r="JF18" i="30"/>
  <c r="JF19" i="30" s="1"/>
  <c r="JE18" i="30"/>
  <c r="JE19" i="30" s="1"/>
  <c r="JD18" i="30"/>
  <c r="JD19" i="30" s="1"/>
  <c r="JC18" i="30"/>
  <c r="JC19" i="30" s="1"/>
  <c r="JB18" i="30"/>
  <c r="JB19" i="30" s="1"/>
  <c r="JF16" i="30"/>
  <c r="JE16" i="30"/>
  <c r="JD16" i="30"/>
  <c r="JC16" i="30"/>
  <c r="JB16" i="30"/>
  <c r="JF14" i="30"/>
  <c r="JF15" i="30" s="1"/>
  <c r="JE14" i="30"/>
  <c r="JE15" i="30" s="1"/>
  <c r="JD14" i="30"/>
  <c r="JD15" i="30" s="1"/>
  <c r="JC14" i="30"/>
  <c r="JC15" i="30" s="1"/>
  <c r="JB14" i="30"/>
  <c r="JB15" i="30" s="1"/>
  <c r="JF11" i="30"/>
  <c r="JF12" i="30" s="1"/>
  <c r="JE11" i="30"/>
  <c r="JE12" i="30" s="1"/>
  <c r="JD11" i="30"/>
  <c r="JD12" i="30" s="1"/>
  <c r="JC11" i="30"/>
  <c r="JC12" i="30" s="1"/>
  <c r="JB11" i="30"/>
  <c r="JB12" i="30" s="1"/>
  <c r="JB37" i="30"/>
  <c r="JF3" i="30"/>
  <c r="JE3" i="30"/>
  <c r="JD3" i="30"/>
  <c r="JC3" i="30"/>
  <c r="JB3" i="30"/>
  <c r="IY8" i="30"/>
  <c r="IY37" i="30"/>
  <c r="IX8" i="30"/>
  <c r="IX37" i="30"/>
  <c r="LC30" i="30" l="1"/>
  <c r="KO30" i="30"/>
  <c r="KK31" i="30"/>
  <c r="KD29" i="30"/>
  <c r="KD31" i="30" s="1"/>
  <c r="KG30" i="30"/>
  <c r="KG31" i="30"/>
  <c r="KE30" i="30"/>
  <c r="KE31" i="30"/>
  <c r="KF30" i="30"/>
  <c r="KF31" i="30"/>
  <c r="KH30" i="30"/>
  <c r="KH31" i="30"/>
  <c r="KA31" i="30"/>
  <c r="KA30" i="30"/>
  <c r="JX31" i="30"/>
  <c r="JX30" i="30"/>
  <c r="JY31" i="30"/>
  <c r="JY30" i="30"/>
  <c r="JW29" i="30"/>
  <c r="JT29" i="30"/>
  <c r="JS29" i="30"/>
  <c r="JR29" i="30"/>
  <c r="JQ29" i="30"/>
  <c r="JP29" i="30"/>
  <c r="JM29" i="30"/>
  <c r="JL29" i="30"/>
  <c r="JK29" i="30"/>
  <c r="JJ29" i="30"/>
  <c r="JI30" i="30"/>
  <c r="IW8" i="30"/>
  <c r="IW37" i="30"/>
  <c r="IV8" i="30"/>
  <c r="IV37" i="30"/>
  <c r="IY18" i="30"/>
  <c r="IY19" i="30" s="1"/>
  <c r="IX18" i="30"/>
  <c r="IX19" i="30" s="1"/>
  <c r="IW18" i="30"/>
  <c r="IW19" i="30" s="1"/>
  <c r="IV18" i="30"/>
  <c r="IV19" i="30" s="1"/>
  <c r="IU18" i="30"/>
  <c r="IU19" i="30" s="1"/>
  <c r="IY16" i="30"/>
  <c r="IX16" i="30"/>
  <c r="IW16" i="30"/>
  <c r="IV16" i="30"/>
  <c r="IU16" i="30"/>
  <c r="IY14" i="30"/>
  <c r="IY15" i="30" s="1"/>
  <c r="IX14" i="30"/>
  <c r="IX15" i="30" s="1"/>
  <c r="IW14" i="30"/>
  <c r="IW15" i="30" s="1"/>
  <c r="IV14" i="30"/>
  <c r="IV15" i="30" s="1"/>
  <c r="IU14" i="30"/>
  <c r="IU15" i="30" s="1"/>
  <c r="IY11" i="30"/>
  <c r="IY12" i="30" s="1"/>
  <c r="IX11" i="30"/>
  <c r="IX12" i="30" s="1"/>
  <c r="IW11" i="30"/>
  <c r="IW12" i="30" s="1"/>
  <c r="IV11" i="30"/>
  <c r="IV12" i="30" s="1"/>
  <c r="IU11" i="30"/>
  <c r="IU12" i="30" s="1"/>
  <c r="IU8" i="30"/>
  <c r="IY3" i="30"/>
  <c r="IX3" i="30"/>
  <c r="IW3" i="30"/>
  <c r="IV3" i="30"/>
  <c r="IU3" i="30"/>
  <c r="IU37" i="30"/>
  <c r="JW31" i="30" l="1"/>
  <c r="JP31" i="30"/>
  <c r="JT31" i="30"/>
  <c r="JJ31" i="30"/>
  <c r="JS31" i="30"/>
  <c r="JK31" i="30"/>
  <c r="JI29" i="30"/>
  <c r="JI31" i="30" s="1"/>
  <c r="JP30" i="30"/>
  <c r="JQ31" i="30"/>
  <c r="JQ30" i="30"/>
  <c r="JR30" i="30"/>
  <c r="JR31" i="30"/>
  <c r="JS30" i="30"/>
  <c r="JT30" i="30"/>
  <c r="JL31" i="30"/>
  <c r="JL30" i="30"/>
  <c r="JM31" i="30"/>
  <c r="JM30" i="30"/>
  <c r="JJ30" i="30"/>
  <c r="JK30" i="30"/>
  <c r="IR8" i="30"/>
  <c r="IR37" i="30"/>
  <c r="JB30" i="30"/>
  <c r="JF29" i="30"/>
  <c r="JF31" i="30" s="1"/>
  <c r="JE29" i="30"/>
  <c r="JE30" i="30" s="1"/>
  <c r="JD29" i="30"/>
  <c r="JD30" i="30" s="1"/>
  <c r="JC29" i="30"/>
  <c r="JC30" i="30" s="1"/>
  <c r="JB29" i="30"/>
  <c r="JB31" i="30" s="1"/>
  <c r="IQ8" i="30"/>
  <c r="IP8" i="30"/>
  <c r="IQ37" i="30"/>
  <c r="IP37" i="30"/>
  <c r="IO8" i="30"/>
  <c r="IO37" i="30"/>
  <c r="JC31" i="30" l="1"/>
  <c r="JD31" i="30"/>
  <c r="JF30" i="30"/>
  <c r="JE31" i="30"/>
  <c r="IR18" i="30"/>
  <c r="IR19" i="30" s="1"/>
  <c r="IQ18" i="30"/>
  <c r="IQ19" i="30" s="1"/>
  <c r="IP18" i="30"/>
  <c r="IP19" i="30" s="1"/>
  <c r="IO18" i="30"/>
  <c r="IO19" i="30" s="1"/>
  <c r="IN18" i="30"/>
  <c r="IN19" i="30" s="1"/>
  <c r="IR16" i="30"/>
  <c r="IQ16" i="30"/>
  <c r="IP16" i="30"/>
  <c r="IO16" i="30"/>
  <c r="IN16" i="30"/>
  <c r="IR14" i="30"/>
  <c r="IR15" i="30" s="1"/>
  <c r="IQ14" i="30"/>
  <c r="IQ15" i="30" s="1"/>
  <c r="IP14" i="30"/>
  <c r="IP15" i="30" s="1"/>
  <c r="IO14" i="30"/>
  <c r="IO15" i="30" s="1"/>
  <c r="IN14" i="30"/>
  <c r="IN15" i="30" s="1"/>
  <c r="IR11" i="30"/>
  <c r="IR12" i="30" s="1"/>
  <c r="IQ11" i="30"/>
  <c r="IQ12" i="30" s="1"/>
  <c r="IP11" i="30"/>
  <c r="IP12" i="30" s="1"/>
  <c r="IO11" i="30"/>
  <c r="IO12" i="30" s="1"/>
  <c r="IN11" i="30"/>
  <c r="IN12" i="30" s="1"/>
  <c r="IN8" i="30"/>
  <c r="IN37" i="30"/>
  <c r="IR3" i="30"/>
  <c r="IQ3" i="30"/>
  <c r="IP3" i="30"/>
  <c r="IO3" i="30"/>
  <c r="IN3" i="30"/>
  <c r="IK8" i="30"/>
  <c r="IK37" i="30"/>
  <c r="IJ8" i="30"/>
  <c r="IJ37" i="30"/>
  <c r="II8" i="30"/>
  <c r="II37" i="30"/>
  <c r="IH8" i="30" l="1"/>
  <c r="IH37" i="30"/>
  <c r="IU30" i="30"/>
  <c r="IY29" i="30"/>
  <c r="IY31" i="30" s="1"/>
  <c r="IX29" i="30"/>
  <c r="IX31" i="30" s="1"/>
  <c r="IW29" i="30"/>
  <c r="IW30" i="30" s="1"/>
  <c r="IV29" i="30"/>
  <c r="IV30" i="30" s="1"/>
  <c r="IU29" i="30"/>
  <c r="IU31" i="30" s="1"/>
  <c r="IN30" i="30"/>
  <c r="IR29" i="30"/>
  <c r="IR31" i="30" s="1"/>
  <c r="IQ29" i="30"/>
  <c r="IQ31" i="30" s="1"/>
  <c r="IP29" i="30"/>
  <c r="IP31" i="30" s="1"/>
  <c r="IO29" i="30"/>
  <c r="IO31" i="30" s="1"/>
  <c r="IN29" i="30"/>
  <c r="IN31" i="30" s="1"/>
  <c r="IV31" i="30" l="1"/>
  <c r="IW31" i="30"/>
  <c r="IX30" i="30"/>
  <c r="IY30" i="30"/>
  <c r="IO30" i="30"/>
  <c r="IP30" i="30"/>
  <c r="IQ30" i="30"/>
  <c r="IR30" i="30"/>
  <c r="IG8" i="30"/>
  <c r="IG30" i="30"/>
  <c r="IK29" i="30"/>
  <c r="IK30" i="30" s="1"/>
  <c r="IJ29" i="30"/>
  <c r="IJ31" i="30" s="1"/>
  <c r="II29" i="30"/>
  <c r="II31" i="30" s="1"/>
  <c r="IH29" i="30"/>
  <c r="IH30" i="30" s="1"/>
  <c r="IG29" i="30"/>
  <c r="IG31" i="30" s="1"/>
  <c r="IK18" i="30"/>
  <c r="IK19" i="30" s="1"/>
  <c r="IJ18" i="30"/>
  <c r="IJ19" i="30" s="1"/>
  <c r="II18" i="30"/>
  <c r="II19" i="30" s="1"/>
  <c r="IH18" i="30"/>
  <c r="IH19" i="30" s="1"/>
  <c r="IG18" i="30"/>
  <c r="IG19" i="30" s="1"/>
  <c r="IK16" i="30"/>
  <c r="IJ16" i="30"/>
  <c r="II16" i="30"/>
  <c r="IH16" i="30"/>
  <c r="IG16" i="30"/>
  <c r="IK14" i="30"/>
  <c r="IK15" i="30" s="1"/>
  <c r="IJ14" i="30"/>
  <c r="IJ15" i="30" s="1"/>
  <c r="II14" i="30"/>
  <c r="II15" i="30" s="1"/>
  <c r="IH14" i="30"/>
  <c r="IH15" i="30" s="1"/>
  <c r="IG14" i="30"/>
  <c r="IG15" i="30" s="1"/>
  <c r="IK11" i="30"/>
  <c r="IK12" i="30" s="1"/>
  <c r="IJ11" i="30"/>
  <c r="IJ12" i="30" s="1"/>
  <c r="II11" i="30"/>
  <c r="II12" i="30" s="1"/>
  <c r="IH11" i="30"/>
  <c r="IH12" i="30" s="1"/>
  <c r="IG11" i="30"/>
  <c r="IG12" i="30" s="1"/>
  <c r="IK3" i="30"/>
  <c r="IJ3" i="30"/>
  <c r="II3" i="30"/>
  <c r="IH3" i="30"/>
  <c r="IG3" i="30"/>
  <c r="IG37" i="30"/>
  <c r="ID8" i="30"/>
  <c r="ID37" i="30"/>
  <c r="IC8" i="30"/>
  <c r="IC37" i="30"/>
  <c r="IB8" i="30"/>
  <c r="IB37" i="30"/>
  <c r="IA8" i="30"/>
  <c r="IA37" i="30"/>
  <c r="IH31" i="30" l="1"/>
  <c r="IK31" i="30"/>
  <c r="II30" i="30"/>
  <c r="IJ30" i="30"/>
  <c r="ID18" i="30"/>
  <c r="ID19" i="30" s="1"/>
  <c r="IC18" i="30"/>
  <c r="IC19" i="30" s="1"/>
  <c r="IB18" i="30"/>
  <c r="IB19" i="30" s="1"/>
  <c r="IA18" i="30"/>
  <c r="IA19" i="30" s="1"/>
  <c r="HZ18" i="30"/>
  <c r="HZ19" i="30" s="1"/>
  <c r="ID16" i="30"/>
  <c r="IC16" i="30"/>
  <c r="IB16" i="30"/>
  <c r="IA16" i="30"/>
  <c r="HZ16" i="30"/>
  <c r="ID14" i="30"/>
  <c r="ID15" i="30" s="1"/>
  <c r="IC14" i="30"/>
  <c r="IC15" i="30" s="1"/>
  <c r="IB14" i="30"/>
  <c r="IB15" i="30" s="1"/>
  <c r="IA14" i="30"/>
  <c r="IA15" i="30" s="1"/>
  <c r="HZ14" i="30"/>
  <c r="HZ15" i="30" s="1"/>
  <c r="ID11" i="30"/>
  <c r="ID12" i="30" s="1"/>
  <c r="IC11" i="30"/>
  <c r="IC12" i="30" s="1"/>
  <c r="IB11" i="30"/>
  <c r="IB12" i="30" s="1"/>
  <c r="IA11" i="30"/>
  <c r="IA12" i="30" s="1"/>
  <c r="HZ11" i="30"/>
  <c r="HZ12" i="30" s="1"/>
  <c r="ID3" i="30"/>
  <c r="IC3" i="30"/>
  <c r="IB3" i="30"/>
  <c r="IA3" i="30"/>
  <c r="HZ3" i="30"/>
  <c r="HZ8" i="30"/>
  <c r="HZ37" i="30"/>
  <c r="HW8" i="30" l="1"/>
  <c r="HW37" i="30"/>
  <c r="HV8" i="30" l="1"/>
  <c r="HV37" i="30"/>
  <c r="HU8" i="30"/>
  <c r="HU37" i="30"/>
  <c r="HT8" i="30"/>
  <c r="HT37" i="30"/>
  <c r="HW3" i="30"/>
  <c r="HV3" i="30"/>
  <c r="HU3" i="30"/>
  <c r="HT3" i="30"/>
  <c r="HS3" i="30"/>
  <c r="HW18" i="30"/>
  <c r="HW19" i="30" s="1"/>
  <c r="HV18" i="30"/>
  <c r="HV19" i="30" s="1"/>
  <c r="HU18" i="30"/>
  <c r="HU19" i="30" s="1"/>
  <c r="HT18" i="30"/>
  <c r="HT19" i="30" s="1"/>
  <c r="HS18" i="30"/>
  <c r="HS19" i="30" s="1"/>
  <c r="HW16" i="30"/>
  <c r="HV16" i="30"/>
  <c r="HU16" i="30"/>
  <c r="HT16" i="30"/>
  <c r="HS16" i="30"/>
  <c r="HW14" i="30"/>
  <c r="HW15" i="30" s="1"/>
  <c r="HV14" i="30"/>
  <c r="HV15" i="30" s="1"/>
  <c r="HU14" i="30"/>
  <c r="HU15" i="30" s="1"/>
  <c r="HT14" i="30"/>
  <c r="HT15" i="30" s="1"/>
  <c r="HS14" i="30"/>
  <c r="HS15" i="30" s="1"/>
  <c r="HW11" i="30"/>
  <c r="HW12" i="30" s="1"/>
  <c r="HV11" i="30"/>
  <c r="HV12" i="30" s="1"/>
  <c r="HU11" i="30"/>
  <c r="HU12" i="30" s="1"/>
  <c r="HT11" i="30"/>
  <c r="HT12" i="30" s="1"/>
  <c r="HS11" i="30"/>
  <c r="HS12" i="30" s="1"/>
  <c r="HS37" i="30"/>
  <c r="HS8" i="30"/>
  <c r="HP8" i="30"/>
  <c r="HP37" i="30"/>
  <c r="HO8" i="30" l="1"/>
  <c r="HO37" i="30"/>
  <c r="HZ30" i="30"/>
  <c r="ID29" i="30"/>
  <c r="ID30" i="30" s="1"/>
  <c r="IC29" i="30"/>
  <c r="IC30" i="30" s="1"/>
  <c r="IB29" i="30"/>
  <c r="IB30" i="30" s="1"/>
  <c r="IA29" i="30"/>
  <c r="IA31" i="30" s="1"/>
  <c r="HZ29" i="30"/>
  <c r="HZ31" i="30" s="1"/>
  <c r="HN8" i="30"/>
  <c r="HN37" i="30"/>
  <c r="HM8" i="30"/>
  <c r="HM37" i="30"/>
  <c r="HL8" i="30"/>
  <c r="HP18" i="30"/>
  <c r="HP19" i="30" s="1"/>
  <c r="HO18" i="30"/>
  <c r="HO19" i="30" s="1"/>
  <c r="HN18" i="30"/>
  <c r="HN19" i="30" s="1"/>
  <c r="HM18" i="30"/>
  <c r="HM19" i="30" s="1"/>
  <c r="HL18" i="30"/>
  <c r="HL19" i="30" s="1"/>
  <c r="HP16" i="30"/>
  <c r="HO16" i="30"/>
  <c r="HN16" i="30"/>
  <c r="HM16" i="30"/>
  <c r="HL16" i="30"/>
  <c r="HP14" i="30"/>
  <c r="HP15" i="30" s="1"/>
  <c r="HO14" i="30"/>
  <c r="HO15" i="30" s="1"/>
  <c r="HN14" i="30"/>
  <c r="HN15" i="30" s="1"/>
  <c r="HM14" i="30"/>
  <c r="HM15" i="30" s="1"/>
  <c r="HL14" i="30"/>
  <c r="HL15" i="30" s="1"/>
  <c r="HP11" i="30"/>
  <c r="HP12" i="30" s="1"/>
  <c r="HO11" i="30"/>
  <c r="HO12" i="30" s="1"/>
  <c r="HN11" i="30"/>
  <c r="HN12" i="30" s="1"/>
  <c r="HM11" i="30"/>
  <c r="HM12" i="30" s="1"/>
  <c r="HL11" i="30"/>
  <c r="HL12" i="30" s="1"/>
  <c r="HL37" i="30"/>
  <c r="HP3" i="30"/>
  <c r="HO3" i="30"/>
  <c r="HN3" i="30"/>
  <c r="HM3" i="30"/>
  <c r="HL3" i="30"/>
  <c r="HI8" i="30"/>
  <c r="HI37" i="30"/>
  <c r="HS30" i="30"/>
  <c r="HW29" i="30"/>
  <c r="HW31" i="30" s="1"/>
  <c r="HV29" i="30"/>
  <c r="HV30" i="30" s="1"/>
  <c r="HU29" i="30"/>
  <c r="HU31" i="30" s="1"/>
  <c r="HT29" i="30"/>
  <c r="HT31" i="30" s="1"/>
  <c r="HS29" i="30"/>
  <c r="HS31" i="30" s="1"/>
  <c r="HH8" i="30"/>
  <c r="HH37" i="30"/>
  <c r="HG8" i="30"/>
  <c r="HG37" i="30"/>
  <c r="HF8" i="30"/>
  <c r="HF37" i="30"/>
  <c r="HI18" i="30"/>
  <c r="HI19" i="30" s="1"/>
  <c r="HH18" i="30"/>
  <c r="HH19" i="30" s="1"/>
  <c r="HG18" i="30"/>
  <c r="HG19" i="30" s="1"/>
  <c r="HF18" i="30"/>
  <c r="HF19" i="30" s="1"/>
  <c r="HE18" i="30"/>
  <c r="HE19" i="30" s="1"/>
  <c r="HI16" i="30"/>
  <c r="HH16" i="30"/>
  <c r="HG16" i="30"/>
  <c r="HF16" i="30"/>
  <c r="HE16" i="30"/>
  <c r="HI14" i="30"/>
  <c r="HI15" i="30" s="1"/>
  <c r="HH14" i="30"/>
  <c r="HH15" i="30" s="1"/>
  <c r="HG14" i="30"/>
  <c r="HG15" i="30" s="1"/>
  <c r="HF14" i="30"/>
  <c r="HF15" i="30" s="1"/>
  <c r="HE14" i="30"/>
  <c r="HE15" i="30" s="1"/>
  <c r="HI11" i="30"/>
  <c r="HI12" i="30" s="1"/>
  <c r="HH11" i="30"/>
  <c r="HH12" i="30" s="1"/>
  <c r="HG11" i="30"/>
  <c r="HG12" i="30" s="1"/>
  <c r="HF11" i="30"/>
  <c r="HF12" i="30" s="1"/>
  <c r="HE11" i="30"/>
  <c r="HE12" i="30" s="1"/>
  <c r="HE8" i="30"/>
  <c r="HI3" i="30"/>
  <c r="HH3" i="30"/>
  <c r="HG3" i="30"/>
  <c r="HF3" i="30"/>
  <c r="HE3" i="30"/>
  <c r="HE37" i="30"/>
  <c r="HB8" i="30"/>
  <c r="HB37" i="30"/>
  <c r="HL30" i="30"/>
  <c r="HO29" i="30"/>
  <c r="HO31" i="30" s="1"/>
  <c r="HN29" i="30"/>
  <c r="HN31" i="30" s="1"/>
  <c r="HM29" i="30"/>
  <c r="HM31" i="30" s="1"/>
  <c r="HL29" i="30"/>
  <c r="HL31" i="30" s="1"/>
  <c r="HA8" i="30"/>
  <c r="HA37" i="30"/>
  <c r="GZ8" i="30"/>
  <c r="GY8" i="30"/>
  <c r="GZ37" i="30"/>
  <c r="GY37" i="30"/>
  <c r="HB18" i="30"/>
  <c r="HB19" i="30" s="1"/>
  <c r="HA18" i="30"/>
  <c r="HA19" i="30" s="1"/>
  <c r="GZ18" i="30"/>
  <c r="GZ19" i="30" s="1"/>
  <c r="GY18" i="30"/>
  <c r="GY19" i="30" s="1"/>
  <c r="GX18" i="30"/>
  <c r="GX19" i="30" s="1"/>
  <c r="HB16" i="30"/>
  <c r="HA16" i="30"/>
  <c r="GZ16" i="30"/>
  <c r="GY16" i="30"/>
  <c r="GX16" i="30"/>
  <c r="HB14" i="30"/>
  <c r="HB15" i="30" s="1"/>
  <c r="HA14" i="30"/>
  <c r="HA15" i="30" s="1"/>
  <c r="GZ14" i="30"/>
  <c r="GZ15" i="30" s="1"/>
  <c r="GY14" i="30"/>
  <c r="GY15" i="30" s="1"/>
  <c r="GX14" i="30"/>
  <c r="GX15" i="30" s="1"/>
  <c r="HB11" i="30"/>
  <c r="HB12" i="30" s="1"/>
  <c r="HA11" i="30"/>
  <c r="HA12" i="30" s="1"/>
  <c r="GZ11" i="30"/>
  <c r="GZ12" i="30" s="1"/>
  <c r="GY11" i="30"/>
  <c r="GY12" i="30" s="1"/>
  <c r="GX11" i="30"/>
  <c r="GX12" i="30" s="1"/>
  <c r="GX8" i="30"/>
  <c r="GX37" i="30"/>
  <c r="HE30" i="30"/>
  <c r="HI29" i="30"/>
  <c r="HI31" i="30" s="1"/>
  <c r="HH29" i="30"/>
  <c r="HH30" i="30" s="1"/>
  <c r="HG29" i="30"/>
  <c r="HG30" i="30" s="1"/>
  <c r="HF29" i="30"/>
  <c r="HF30" i="30" s="1"/>
  <c r="HE29" i="30"/>
  <c r="HE31" i="30" s="1"/>
  <c r="HB3" i="30"/>
  <c r="HA3" i="30"/>
  <c r="GZ3" i="30"/>
  <c r="GY3" i="30"/>
  <c r="GX3" i="30"/>
  <c r="GU8" i="30"/>
  <c r="GU37" i="30"/>
  <c r="GT8" i="30"/>
  <c r="GT37" i="30"/>
  <c r="GS8" i="30"/>
  <c r="GS37" i="30"/>
  <c r="GR8" i="30"/>
  <c r="GR37" i="30"/>
  <c r="GX30" i="30"/>
  <c r="HB29" i="30"/>
  <c r="HB30" i="30" s="1"/>
  <c r="HA29" i="30"/>
  <c r="HA30" i="30" s="1"/>
  <c r="GZ29" i="30"/>
  <c r="GZ30" i="30" s="1"/>
  <c r="GY29" i="30"/>
  <c r="GY30" i="30" s="1"/>
  <c r="GX29" i="30"/>
  <c r="GX31" i="30" s="1"/>
  <c r="GQ29" i="30"/>
  <c r="GQ31" i="30" s="1"/>
  <c r="GQ30" i="30"/>
  <c r="GU29" i="30"/>
  <c r="GU31" i="30" s="1"/>
  <c r="GT29" i="30"/>
  <c r="GT31" i="30" s="1"/>
  <c r="GS29" i="30"/>
  <c r="GS31" i="30" s="1"/>
  <c r="GR29" i="30"/>
  <c r="GR31" i="30" s="1"/>
  <c r="GU18" i="30"/>
  <c r="GU19" i="30" s="1"/>
  <c r="GT18" i="30"/>
  <c r="GT19" i="30" s="1"/>
  <c r="GS18" i="30"/>
  <c r="GS19" i="30" s="1"/>
  <c r="GR18" i="30"/>
  <c r="GR19" i="30" s="1"/>
  <c r="GQ18" i="30"/>
  <c r="GQ19" i="30" s="1"/>
  <c r="GU16" i="30"/>
  <c r="GT16" i="30"/>
  <c r="GS16" i="30"/>
  <c r="GR16" i="30"/>
  <c r="GQ16" i="30"/>
  <c r="GU14" i="30"/>
  <c r="GU15" i="30" s="1"/>
  <c r="GT14" i="30"/>
  <c r="GT15" i="30" s="1"/>
  <c r="GS14" i="30"/>
  <c r="GS15" i="30" s="1"/>
  <c r="GR14" i="30"/>
  <c r="GR15" i="30" s="1"/>
  <c r="GQ14" i="30"/>
  <c r="GQ15" i="30" s="1"/>
  <c r="GU11" i="30"/>
  <c r="GU12" i="30" s="1"/>
  <c r="GT11" i="30"/>
  <c r="GT12" i="30" s="1"/>
  <c r="GS11" i="30"/>
  <c r="GS12" i="30" s="1"/>
  <c r="GR11" i="30"/>
  <c r="GR12" i="30" s="1"/>
  <c r="GQ11" i="30"/>
  <c r="GQ12" i="30" s="1"/>
  <c r="GQ8" i="30"/>
  <c r="GQ37" i="30"/>
  <c r="GU3" i="30"/>
  <c r="GT3" i="30"/>
  <c r="GS3" i="30"/>
  <c r="GR3" i="30"/>
  <c r="GQ3" i="30"/>
  <c r="GN8" i="30"/>
  <c r="GN37" i="30"/>
  <c r="GM8" i="30"/>
  <c r="GM37" i="30"/>
  <c r="GL8" i="30"/>
  <c r="GL37" i="30"/>
  <c r="GK8" i="30"/>
  <c r="GK37" i="30"/>
  <c r="GN18" i="30"/>
  <c r="GN19" i="30" s="1"/>
  <c r="GM18" i="30"/>
  <c r="GM19" i="30" s="1"/>
  <c r="GL18" i="30"/>
  <c r="GL19" i="30" s="1"/>
  <c r="GK18" i="30"/>
  <c r="GK19" i="30" s="1"/>
  <c r="GJ18" i="30"/>
  <c r="GJ19" i="30" s="1"/>
  <c r="GN16" i="30"/>
  <c r="GM16" i="30"/>
  <c r="GL16" i="30"/>
  <c r="GK16" i="30"/>
  <c r="GJ16" i="30"/>
  <c r="GN14" i="30"/>
  <c r="GN15" i="30" s="1"/>
  <c r="GM14" i="30"/>
  <c r="GM15" i="30" s="1"/>
  <c r="GL14" i="30"/>
  <c r="GL15" i="30" s="1"/>
  <c r="GK14" i="30"/>
  <c r="GK15" i="30" s="1"/>
  <c r="GJ14" i="30"/>
  <c r="GJ15" i="30" s="1"/>
  <c r="GN11" i="30"/>
  <c r="GN12" i="30" s="1"/>
  <c r="GM11" i="30"/>
  <c r="GM12" i="30" s="1"/>
  <c r="GL11" i="30"/>
  <c r="GL12" i="30" s="1"/>
  <c r="GK11" i="30"/>
  <c r="GK12" i="30" s="1"/>
  <c r="GJ11" i="30"/>
  <c r="GJ12" i="30" s="1"/>
  <c r="GJ8" i="30"/>
  <c r="GJ37" i="30"/>
  <c r="GN3" i="30"/>
  <c r="GM3" i="30"/>
  <c r="GL3" i="30"/>
  <c r="GK3" i="30"/>
  <c r="GJ3" i="30"/>
  <c r="GG8" i="30"/>
  <c r="GG37" i="30"/>
  <c r="GF8" i="30"/>
  <c r="GF37" i="30"/>
  <c r="GE8" i="30"/>
  <c r="GE37" i="30"/>
  <c r="GD8" i="30"/>
  <c r="GD37" i="30"/>
  <c r="GC30" i="30"/>
  <c r="GC29" i="30"/>
  <c r="GC31" i="30" s="1"/>
  <c r="GG18" i="30"/>
  <c r="GG19" i="30" s="1"/>
  <c r="GF18" i="30"/>
  <c r="GF19" i="30" s="1"/>
  <c r="GE18" i="30"/>
  <c r="GE19" i="30" s="1"/>
  <c r="GD18" i="30"/>
  <c r="GD19" i="30" s="1"/>
  <c r="GC18" i="30"/>
  <c r="GC19" i="30" s="1"/>
  <c r="GG16" i="30"/>
  <c r="GF16" i="30"/>
  <c r="GE16" i="30"/>
  <c r="GD16" i="30"/>
  <c r="GC16" i="30"/>
  <c r="GG14" i="30"/>
  <c r="GG15" i="30" s="1"/>
  <c r="GF14" i="30"/>
  <c r="GF15" i="30" s="1"/>
  <c r="GE14" i="30"/>
  <c r="GE15" i="30" s="1"/>
  <c r="GD14" i="30"/>
  <c r="GD15" i="30" s="1"/>
  <c r="GC14" i="30"/>
  <c r="GC15" i="30" s="1"/>
  <c r="GG11" i="30"/>
  <c r="GG12" i="30" s="1"/>
  <c r="GF11" i="30"/>
  <c r="GF12" i="30" s="1"/>
  <c r="GE11" i="30"/>
  <c r="GE12" i="30" s="1"/>
  <c r="GD11" i="30"/>
  <c r="GD12" i="30" s="1"/>
  <c r="GC11" i="30"/>
  <c r="GC12" i="30" s="1"/>
  <c r="GC8" i="30"/>
  <c r="GC37" i="30"/>
  <c r="GG3" i="30"/>
  <c r="GF3" i="30"/>
  <c r="GE3" i="30"/>
  <c r="GD3" i="30"/>
  <c r="GC3" i="30"/>
  <c r="FZ8" i="30"/>
  <c r="FZ37" i="30"/>
  <c r="FY8" i="30"/>
  <c r="FY37" i="30"/>
  <c r="FX8" i="30"/>
  <c r="FX37" i="30"/>
  <c r="FW8" i="30"/>
  <c r="FW37" i="30"/>
  <c r="FZ18" i="30"/>
  <c r="FZ19" i="30" s="1"/>
  <c r="FY18" i="30"/>
  <c r="FY19" i="30" s="1"/>
  <c r="FX18" i="30"/>
  <c r="FX19" i="30" s="1"/>
  <c r="FW18" i="30"/>
  <c r="FW19" i="30" s="1"/>
  <c r="FV18" i="30"/>
  <c r="FV19" i="30" s="1"/>
  <c r="FZ16" i="30"/>
  <c r="FY16" i="30"/>
  <c r="FX16" i="30"/>
  <c r="FW16" i="30"/>
  <c r="FV16" i="30"/>
  <c r="FZ14" i="30"/>
  <c r="FZ15" i="30" s="1"/>
  <c r="FY14" i="30"/>
  <c r="FY15" i="30" s="1"/>
  <c r="FX14" i="30"/>
  <c r="FX15" i="30" s="1"/>
  <c r="FW14" i="30"/>
  <c r="FW15" i="30" s="1"/>
  <c r="FV14" i="30"/>
  <c r="FV15" i="30" s="1"/>
  <c r="FZ11" i="30"/>
  <c r="FZ12" i="30" s="1"/>
  <c r="FY11" i="30"/>
  <c r="FY12" i="30" s="1"/>
  <c r="FX11" i="30"/>
  <c r="FX12" i="30" s="1"/>
  <c r="FW11" i="30"/>
  <c r="FW12" i="30" s="1"/>
  <c r="FV11" i="30"/>
  <c r="FV12" i="30" s="1"/>
  <c r="FV8" i="30"/>
  <c r="FV37" i="30"/>
  <c r="FZ3" i="30"/>
  <c r="FY3" i="30"/>
  <c r="FX3" i="30"/>
  <c r="FW3" i="30"/>
  <c r="FV3" i="30"/>
  <c r="GN29" i="30"/>
  <c r="GM29" i="30"/>
  <c r="GM30" i="30" s="1"/>
  <c r="GL29" i="30"/>
  <c r="GK29" i="30"/>
  <c r="GK31" i="30" s="1"/>
  <c r="GJ30" i="30"/>
  <c r="GG29" i="30"/>
  <c r="GG30" i="30" s="1"/>
  <c r="GF29" i="30"/>
  <c r="GF31" i="30" s="1"/>
  <c r="GE29" i="30"/>
  <c r="GD29" i="30"/>
  <c r="GD31" i="30" s="1"/>
  <c r="FS8" i="30"/>
  <c r="FS37" i="30"/>
  <c r="FR8" i="30"/>
  <c r="FR37" i="30"/>
  <c r="FQ8" i="30"/>
  <c r="FQ37" i="30"/>
  <c r="FL8" i="30"/>
  <c r="FP8" i="30"/>
  <c r="FP37" i="30"/>
  <c r="FO8" i="30"/>
  <c r="FS18" i="30"/>
  <c r="FS19" i="30" s="1"/>
  <c r="FR18" i="30"/>
  <c r="FR19" i="30" s="1"/>
  <c r="FQ18" i="30"/>
  <c r="FQ19" i="30" s="1"/>
  <c r="FP18" i="30"/>
  <c r="FP19" i="30" s="1"/>
  <c r="FO18" i="30"/>
  <c r="FO19" i="30" s="1"/>
  <c r="FS16" i="30"/>
  <c r="FR16" i="30"/>
  <c r="FQ16" i="30"/>
  <c r="FP16" i="30"/>
  <c r="FO16" i="30"/>
  <c r="FS14" i="30"/>
  <c r="FS15" i="30" s="1"/>
  <c r="FR14" i="30"/>
  <c r="FR15" i="30" s="1"/>
  <c r="FQ14" i="30"/>
  <c r="FQ15" i="30" s="1"/>
  <c r="FP14" i="30"/>
  <c r="FP15" i="30" s="1"/>
  <c r="FO14" i="30"/>
  <c r="FO15" i="30" s="1"/>
  <c r="FS11" i="30"/>
  <c r="FS12" i="30" s="1"/>
  <c r="FR11" i="30"/>
  <c r="FR12" i="30" s="1"/>
  <c r="FQ11" i="30"/>
  <c r="FQ12" i="30" s="1"/>
  <c r="FP11" i="30"/>
  <c r="FP12" i="30" s="1"/>
  <c r="FO11" i="30"/>
  <c r="FO12" i="30" s="1"/>
  <c r="FO37" i="30"/>
  <c r="FS3" i="30"/>
  <c r="FR3" i="30"/>
  <c r="FQ3" i="30"/>
  <c r="FP3" i="30"/>
  <c r="FO3" i="30"/>
  <c r="FL37" i="30"/>
  <c r="FZ29" i="30"/>
  <c r="FZ30" i="30" s="1"/>
  <c r="FY29" i="30"/>
  <c r="FY31" i="30" s="1"/>
  <c r="FX29" i="30"/>
  <c r="FX31" i="30" s="1"/>
  <c r="FW29" i="30"/>
  <c r="FW31" i="30" s="1"/>
  <c r="FV30" i="30"/>
  <c r="FK8" i="30"/>
  <c r="FK37" i="30"/>
  <c r="FJ8" i="30"/>
  <c r="FJ37" i="30"/>
  <c r="FI8" i="30"/>
  <c r="FI37" i="30"/>
  <c r="FH8" i="30"/>
  <c r="FK18" i="30"/>
  <c r="FK19" i="30" s="1"/>
  <c r="FL18" i="30"/>
  <c r="FL19" i="30" s="1"/>
  <c r="FJ18" i="30"/>
  <c r="FJ19" i="30" s="1"/>
  <c r="FI18" i="30"/>
  <c r="FI19" i="30" s="1"/>
  <c r="FH18" i="30"/>
  <c r="FH19" i="30" s="1"/>
  <c r="FK16" i="30"/>
  <c r="FL16" i="30"/>
  <c r="FJ16" i="30"/>
  <c r="FI16" i="30"/>
  <c r="FH16" i="30"/>
  <c r="FK14" i="30"/>
  <c r="FK15" i="30" s="1"/>
  <c r="FL14" i="30"/>
  <c r="FL15" i="30" s="1"/>
  <c r="FJ14" i="30"/>
  <c r="FJ15" i="30" s="1"/>
  <c r="FI14" i="30"/>
  <c r="FI15" i="30" s="1"/>
  <c r="FH14" i="30"/>
  <c r="FH15" i="30" s="1"/>
  <c r="FK11" i="30"/>
  <c r="FK12" i="30" s="1"/>
  <c r="FL11" i="30"/>
  <c r="FL12" i="30" s="1"/>
  <c r="FJ11" i="30"/>
  <c r="FJ12" i="30" s="1"/>
  <c r="FI11" i="30"/>
  <c r="FI12" i="30" s="1"/>
  <c r="FH11" i="30"/>
  <c r="FH12" i="30" s="1"/>
  <c r="FH37" i="30"/>
  <c r="FL3" i="30"/>
  <c r="FK3" i="30"/>
  <c r="FJ3" i="30"/>
  <c r="FI3" i="30"/>
  <c r="FH3" i="30"/>
  <c r="FD3" i="30"/>
  <c r="FS29" i="30"/>
  <c r="FS31" i="30" s="1"/>
  <c r="FR29" i="30"/>
  <c r="FQ29" i="30"/>
  <c r="FQ31" i="30" s="1"/>
  <c r="FP29" i="30"/>
  <c r="FP31" i="30" s="1"/>
  <c r="FO30" i="30"/>
  <c r="FE8" i="30"/>
  <c r="FE37" i="30"/>
  <c r="FD37" i="30"/>
  <c r="FC37" i="30"/>
  <c r="FC8" i="30"/>
  <c r="IC31" i="30" l="1"/>
  <c r="IB31" i="30"/>
  <c r="ID31" i="30"/>
  <c r="IA30" i="30"/>
  <c r="HU30" i="30"/>
  <c r="HV31" i="30"/>
  <c r="HT30" i="30"/>
  <c r="HW30" i="30"/>
  <c r="HM30" i="30"/>
  <c r="HN30" i="30"/>
  <c r="HO30" i="30"/>
  <c r="HI30" i="30"/>
  <c r="HF31" i="30"/>
  <c r="HG31" i="30"/>
  <c r="HH31" i="30"/>
  <c r="GY31" i="30"/>
  <c r="GZ31" i="30"/>
  <c r="HA31" i="30"/>
  <c r="HB31" i="30"/>
  <c r="GU30" i="30"/>
  <c r="GR30" i="30"/>
  <c r="GS30" i="30"/>
  <c r="GT30" i="30"/>
  <c r="GL30" i="30"/>
  <c r="GL31" i="30"/>
  <c r="GN31" i="30"/>
  <c r="GN30" i="30"/>
  <c r="GJ29" i="30"/>
  <c r="GJ31" i="30" s="1"/>
  <c r="GM31" i="30"/>
  <c r="GK30" i="30"/>
  <c r="GE31" i="30"/>
  <c r="GG31" i="30"/>
  <c r="GD30" i="30"/>
  <c r="GE30" i="30"/>
  <c r="GF30" i="30"/>
  <c r="FV29" i="30"/>
  <c r="FV31" i="30" s="1"/>
  <c r="FZ31" i="30"/>
  <c r="FX30" i="30"/>
  <c r="FY30" i="30"/>
  <c r="FW30" i="30"/>
  <c r="FR31" i="30"/>
  <c r="FO29" i="30"/>
  <c r="FQ30" i="30"/>
  <c r="FR30" i="30"/>
  <c r="FS30" i="30"/>
  <c r="FP30" i="30"/>
  <c r="FB8" i="30"/>
  <c r="FB37" i="30"/>
  <c r="FA29" i="30"/>
  <c r="FA31" i="30" s="1"/>
  <c r="FA8" i="30"/>
  <c r="FE18" i="30"/>
  <c r="FE19" i="30" s="1"/>
  <c r="FC18" i="30"/>
  <c r="FC19" i="30" s="1"/>
  <c r="FB18" i="30"/>
  <c r="FB19" i="30" s="1"/>
  <c r="FA18" i="30"/>
  <c r="FA19" i="30" s="1"/>
  <c r="FE16" i="30"/>
  <c r="FC16" i="30"/>
  <c r="FB16" i="30"/>
  <c r="FA16" i="30"/>
  <c r="FE14" i="30"/>
  <c r="FE15" i="30" s="1"/>
  <c r="FC14" i="30"/>
  <c r="FC15" i="30" s="1"/>
  <c r="FB14" i="30"/>
  <c r="FB15" i="30" s="1"/>
  <c r="FA14" i="30"/>
  <c r="FA15" i="30" s="1"/>
  <c r="FE11" i="30"/>
  <c r="FE12" i="30" s="1"/>
  <c r="FC11" i="30"/>
  <c r="FC12" i="30" s="1"/>
  <c r="FB11" i="30"/>
  <c r="FB12" i="30" s="1"/>
  <c r="FA11" i="30"/>
  <c r="FA12" i="30" s="1"/>
  <c r="FA37" i="30"/>
  <c r="FE3" i="30"/>
  <c r="FC3" i="30"/>
  <c r="FB3" i="30"/>
  <c r="FA3" i="30"/>
  <c r="EX8" i="30"/>
  <c r="EX37" i="30"/>
  <c r="EW8" i="30"/>
  <c r="EW37" i="30"/>
  <c r="FK29" i="30"/>
  <c r="FJ29" i="30"/>
  <c r="FI29" i="30"/>
  <c r="EV8" i="30"/>
  <c r="EV37" i="30"/>
  <c r="EU8" i="30"/>
  <c r="EU37" i="30"/>
  <c r="ET8" i="30"/>
  <c r="ET37" i="30"/>
  <c r="EX18" i="30"/>
  <c r="EX19" i="30" s="1"/>
  <c r="EW18" i="30"/>
  <c r="EW19" i="30" s="1"/>
  <c r="EV18" i="30"/>
  <c r="EV19" i="30" s="1"/>
  <c r="EU18" i="30"/>
  <c r="EU19" i="30" s="1"/>
  <c r="ET18" i="30"/>
  <c r="ET19" i="30" s="1"/>
  <c r="EX16" i="30"/>
  <c r="EW16" i="30"/>
  <c r="EV16" i="30"/>
  <c r="EU16" i="30"/>
  <c r="ET16" i="30"/>
  <c r="EX14" i="30"/>
  <c r="EX15" i="30" s="1"/>
  <c r="EW14" i="30"/>
  <c r="EW15" i="30" s="1"/>
  <c r="EV14" i="30"/>
  <c r="EV15" i="30" s="1"/>
  <c r="EU14" i="30"/>
  <c r="EU15" i="30" s="1"/>
  <c r="ET14" i="30"/>
  <c r="ET15" i="30" s="1"/>
  <c r="EX11" i="30"/>
  <c r="EX12" i="30" s="1"/>
  <c r="EW11" i="30"/>
  <c r="EW12" i="30" s="1"/>
  <c r="EV11" i="30"/>
  <c r="EV12" i="30" s="1"/>
  <c r="EU11" i="30"/>
  <c r="EU12" i="30" s="1"/>
  <c r="ET11" i="30"/>
  <c r="ET12" i="30" s="1"/>
  <c r="EX3" i="30"/>
  <c r="EW3" i="30"/>
  <c r="EV3" i="30"/>
  <c r="EU3" i="30"/>
  <c r="ET3" i="30"/>
  <c r="EQ8" i="30"/>
  <c r="EQ37" i="30"/>
  <c r="EQ3" i="30"/>
  <c r="EP8" i="30"/>
  <c r="EP37" i="30"/>
  <c r="FE29" i="30"/>
  <c r="FE30" i="30" s="1"/>
  <c r="FC29" i="30"/>
  <c r="FC31" i="30" s="1"/>
  <c r="FB29" i="30"/>
  <c r="FB31" i="30" s="1"/>
  <c r="FA30" i="30"/>
  <c r="EO8" i="30"/>
  <c r="EO37" i="30"/>
  <c r="EN8" i="30"/>
  <c r="EN37" i="30"/>
  <c r="EM8" i="30"/>
  <c r="EQ18" i="30"/>
  <c r="EQ19" i="30" s="1"/>
  <c r="EP18" i="30"/>
  <c r="EP19" i="30" s="1"/>
  <c r="EO18" i="30"/>
  <c r="EO19" i="30" s="1"/>
  <c r="EN18" i="30"/>
  <c r="EN19" i="30" s="1"/>
  <c r="EM18" i="30"/>
  <c r="EM19" i="30" s="1"/>
  <c r="EQ16" i="30"/>
  <c r="EP16" i="30"/>
  <c r="EO16" i="30"/>
  <c r="EN16" i="30"/>
  <c r="EM16" i="30"/>
  <c r="EQ14" i="30"/>
  <c r="EQ15" i="30" s="1"/>
  <c r="EP14" i="30"/>
  <c r="EP15" i="30" s="1"/>
  <c r="EO14" i="30"/>
  <c r="EO15" i="30" s="1"/>
  <c r="EN14" i="30"/>
  <c r="EN15" i="30" s="1"/>
  <c r="EM14" i="30"/>
  <c r="EM15" i="30" s="1"/>
  <c r="EQ11" i="30"/>
  <c r="EQ12" i="30" s="1"/>
  <c r="EP11" i="30"/>
  <c r="EP12" i="30" s="1"/>
  <c r="EO11" i="30"/>
  <c r="EO12" i="30" s="1"/>
  <c r="EN11" i="30"/>
  <c r="EN12" i="30" s="1"/>
  <c r="EM11" i="30"/>
  <c r="EM12" i="30" s="1"/>
  <c r="EM37" i="30"/>
  <c r="EP3" i="30"/>
  <c r="EO3" i="30"/>
  <c r="EN3" i="30"/>
  <c r="EM3" i="30"/>
  <c r="EJ8" i="30"/>
  <c r="EJ37" i="30"/>
  <c r="EI8" i="30"/>
  <c r="EI37" i="30"/>
  <c r="EH8" i="30"/>
  <c r="EH37" i="30"/>
  <c r="EG8" i="30"/>
  <c r="EG37" i="30"/>
  <c r="EX29" i="30"/>
  <c r="EX30" i="30" s="1"/>
  <c r="EW29" i="30"/>
  <c r="EW30" i="30" s="1"/>
  <c r="EV29" i="30"/>
  <c r="EV31" i="30" s="1"/>
  <c r="EU29" i="30"/>
  <c r="EU31" i="30" s="1"/>
  <c r="ET30" i="30"/>
  <c r="EF8" i="30"/>
  <c r="EJ18" i="30"/>
  <c r="EJ19" i="30" s="1"/>
  <c r="EI18" i="30"/>
  <c r="EI19" i="30" s="1"/>
  <c r="EH18" i="30"/>
  <c r="EH19" i="30" s="1"/>
  <c r="EG18" i="30"/>
  <c r="EG19" i="30" s="1"/>
  <c r="EF18" i="30"/>
  <c r="EF19" i="30" s="1"/>
  <c r="EJ16" i="30"/>
  <c r="EI16" i="30"/>
  <c r="EH16" i="30"/>
  <c r="EG16" i="30"/>
  <c r="EF16" i="30"/>
  <c r="EJ14" i="30"/>
  <c r="EJ15" i="30" s="1"/>
  <c r="EI14" i="30"/>
  <c r="EI15" i="30" s="1"/>
  <c r="EH14" i="30"/>
  <c r="EH15" i="30" s="1"/>
  <c r="EG14" i="30"/>
  <c r="EG15" i="30" s="1"/>
  <c r="EF14" i="30"/>
  <c r="EF15" i="30" s="1"/>
  <c r="EJ11" i="30"/>
  <c r="EJ12" i="30" s="1"/>
  <c r="EI11" i="30"/>
  <c r="EI12" i="30" s="1"/>
  <c r="EH11" i="30"/>
  <c r="EH12" i="30" s="1"/>
  <c r="EG11" i="30"/>
  <c r="EG12" i="30" s="1"/>
  <c r="EF11" i="30"/>
  <c r="EF12" i="30" s="1"/>
  <c r="EJ3" i="30"/>
  <c r="EI3" i="30"/>
  <c r="EH3" i="30"/>
  <c r="EG3" i="30"/>
  <c r="EF3" i="30"/>
  <c r="EF37" i="30"/>
  <c r="EC8" i="30"/>
  <c r="EC37" i="30"/>
  <c r="EB8" i="30"/>
  <c r="EB37" i="30"/>
  <c r="EA8" i="30"/>
  <c r="EA37" i="30"/>
  <c r="DZ8" i="30"/>
  <c r="DZ37" i="30"/>
  <c r="DY8" i="30"/>
  <c r="EC14" i="30"/>
  <c r="EC15" i="30" s="1"/>
  <c r="EB14" i="30"/>
  <c r="EB15" i="30" s="1"/>
  <c r="EA14" i="30"/>
  <c r="EA15" i="30" s="1"/>
  <c r="DZ14" i="30"/>
  <c r="DZ15" i="30" s="1"/>
  <c r="DY14" i="30"/>
  <c r="DY15" i="30" s="1"/>
  <c r="DY37" i="30"/>
  <c r="EC18" i="30"/>
  <c r="EC19" i="30" s="1"/>
  <c r="EB18" i="30"/>
  <c r="EB19" i="30" s="1"/>
  <c r="EA18" i="30"/>
  <c r="EA19" i="30" s="1"/>
  <c r="DZ18" i="30"/>
  <c r="DZ19" i="30" s="1"/>
  <c r="DY18" i="30"/>
  <c r="DY19" i="30" s="1"/>
  <c r="EC16" i="30"/>
  <c r="EB16" i="30"/>
  <c r="EA16" i="30"/>
  <c r="DZ16" i="30"/>
  <c r="DY16" i="30"/>
  <c r="EC11" i="30"/>
  <c r="EC12" i="30" s="1"/>
  <c r="EB11" i="30"/>
  <c r="EB12" i="30" s="1"/>
  <c r="EA11" i="30"/>
  <c r="EA12" i="30" s="1"/>
  <c r="DZ11" i="30"/>
  <c r="DZ12" i="30" s="1"/>
  <c r="DY11" i="30"/>
  <c r="DY12" i="30" s="1"/>
  <c r="EC3" i="30"/>
  <c r="EB3" i="30"/>
  <c r="EA3" i="30"/>
  <c r="DZ3" i="30"/>
  <c r="DY3" i="30"/>
  <c r="DV8" i="30"/>
  <c r="DV37" i="30"/>
  <c r="EQ29" i="30"/>
  <c r="EQ30" i="30" s="1"/>
  <c r="EP29" i="30"/>
  <c r="EO29" i="30"/>
  <c r="EO31" i="30" s="1"/>
  <c r="EN29" i="30"/>
  <c r="EN31" i="30" s="1"/>
  <c r="EM30" i="30"/>
  <c r="EJ29" i="30"/>
  <c r="EJ30" i="30" s="1"/>
  <c r="EI29" i="30"/>
  <c r="EI30" i="30" s="1"/>
  <c r="EH29" i="30"/>
  <c r="EH30" i="30" s="1"/>
  <c r="EF29" i="30"/>
  <c r="EF31" i="30" s="1"/>
  <c r="DU8" i="30"/>
  <c r="DU37" i="30"/>
  <c r="DT8" i="30"/>
  <c r="DT37" i="30"/>
  <c r="DS8" i="30"/>
  <c r="DS37" i="30"/>
  <c r="DV18" i="30"/>
  <c r="DV19" i="30" s="1"/>
  <c r="DU18" i="30"/>
  <c r="DU19" i="30" s="1"/>
  <c r="DT18" i="30"/>
  <c r="DT19" i="30" s="1"/>
  <c r="DS18" i="30"/>
  <c r="DS19" i="30" s="1"/>
  <c r="DR18" i="30"/>
  <c r="DR19" i="30" s="1"/>
  <c r="DV16" i="30"/>
  <c r="DU16" i="30"/>
  <c r="DT16" i="30"/>
  <c r="DS16" i="30"/>
  <c r="DR16" i="30"/>
  <c r="DV14" i="30"/>
  <c r="DV15" i="30" s="1"/>
  <c r="DU14" i="30"/>
  <c r="DU15" i="30" s="1"/>
  <c r="DT14" i="30"/>
  <c r="DT15" i="30" s="1"/>
  <c r="DS14" i="30"/>
  <c r="DS15" i="30" s="1"/>
  <c r="DR14" i="30"/>
  <c r="DR15" i="30" s="1"/>
  <c r="DV11" i="30"/>
  <c r="DV12" i="30" s="1"/>
  <c r="DU11" i="30"/>
  <c r="DU12" i="30" s="1"/>
  <c r="DT11" i="30"/>
  <c r="DT12" i="30" s="1"/>
  <c r="DS11" i="30"/>
  <c r="DS12" i="30" s="1"/>
  <c r="DR11" i="30"/>
  <c r="DR12" i="30" s="1"/>
  <c r="DV3" i="30"/>
  <c r="DU3" i="30"/>
  <c r="DT3" i="30"/>
  <c r="DS3" i="30"/>
  <c r="DR3" i="30"/>
  <c r="DR8" i="30"/>
  <c r="DO8" i="30"/>
  <c r="DR37" i="30"/>
  <c r="DO37" i="30"/>
  <c r="EC29" i="30"/>
  <c r="EB29" i="30"/>
  <c r="EB30" i="30" s="1"/>
  <c r="DZ29" i="30"/>
  <c r="DZ30" i="30" s="1"/>
  <c r="DY29" i="30"/>
  <c r="DY31" i="30" s="1"/>
  <c r="DN8" i="30"/>
  <c r="DN37" i="30"/>
  <c r="DM8" i="30"/>
  <c r="DM37" i="30"/>
  <c r="DL8" i="30"/>
  <c r="DL37" i="30"/>
  <c r="DO3" i="30"/>
  <c r="DN3" i="30"/>
  <c r="DM3" i="30"/>
  <c r="DL3" i="30"/>
  <c r="DK3" i="30"/>
  <c r="DK37" i="30"/>
  <c r="DO18" i="30"/>
  <c r="DO19" i="30" s="1"/>
  <c r="DN18" i="30"/>
  <c r="DN19" i="30" s="1"/>
  <c r="DM18" i="30"/>
  <c r="DM19" i="30" s="1"/>
  <c r="DL18" i="30"/>
  <c r="DL19" i="30" s="1"/>
  <c r="DK18" i="30"/>
  <c r="DK19" i="30" s="1"/>
  <c r="DO16" i="30"/>
  <c r="DN16" i="30"/>
  <c r="DM16" i="30"/>
  <c r="DL16" i="30"/>
  <c r="DK16" i="30"/>
  <c r="DO14" i="30"/>
  <c r="DO15" i="30" s="1"/>
  <c r="DN14" i="30"/>
  <c r="DN15" i="30" s="1"/>
  <c r="DM14" i="30"/>
  <c r="DM15" i="30" s="1"/>
  <c r="DL14" i="30"/>
  <c r="DL15" i="30" s="1"/>
  <c r="DK14" i="30"/>
  <c r="DK15" i="30" s="1"/>
  <c r="DO11" i="30"/>
  <c r="DO12" i="30" s="1"/>
  <c r="DN11" i="30"/>
  <c r="DN12" i="30" s="1"/>
  <c r="DM11" i="30"/>
  <c r="DM12" i="30" s="1"/>
  <c r="DL11" i="30"/>
  <c r="DL12" i="30" s="1"/>
  <c r="DK11" i="30"/>
  <c r="DK12" i="30" s="1"/>
  <c r="DK8" i="30"/>
  <c r="DH8" i="30"/>
  <c r="DG8" i="30"/>
  <c r="DH37" i="30"/>
  <c r="DG37" i="30"/>
  <c r="DF8" i="30"/>
  <c r="DF37" i="30"/>
  <c r="DV29" i="30"/>
  <c r="DU29" i="30"/>
  <c r="DT29" i="30"/>
  <c r="DS29" i="30"/>
  <c r="DR30" i="30"/>
  <c r="DE8" i="30"/>
  <c r="DE37" i="30"/>
  <c r="DH3" i="30"/>
  <c r="DG3" i="30"/>
  <c r="DF3" i="30"/>
  <c r="DE3" i="30"/>
  <c r="DD3" i="30"/>
  <c r="DD8" i="30"/>
  <c r="DH18" i="30"/>
  <c r="DH19" i="30" s="1"/>
  <c r="DG18" i="30"/>
  <c r="DG19" i="30" s="1"/>
  <c r="DF18" i="30"/>
  <c r="DF19" i="30" s="1"/>
  <c r="DE18" i="30"/>
  <c r="DE19" i="30" s="1"/>
  <c r="DD18" i="30"/>
  <c r="DD19" i="30" s="1"/>
  <c r="DH16" i="30"/>
  <c r="DG16" i="30"/>
  <c r="DF16" i="30"/>
  <c r="DE16" i="30"/>
  <c r="DD16" i="30"/>
  <c r="DH14" i="30"/>
  <c r="DH15" i="30" s="1"/>
  <c r="DG14" i="30"/>
  <c r="DG15" i="30" s="1"/>
  <c r="DF14" i="30"/>
  <c r="DF15" i="30" s="1"/>
  <c r="DE14" i="30"/>
  <c r="DE15" i="30" s="1"/>
  <c r="DD14" i="30"/>
  <c r="DD15" i="30" s="1"/>
  <c r="DH11" i="30"/>
  <c r="DH12" i="30" s="1"/>
  <c r="DG11" i="30"/>
  <c r="DG12" i="30" s="1"/>
  <c r="DF11" i="30"/>
  <c r="DF12" i="30" s="1"/>
  <c r="DE11" i="30"/>
  <c r="DE12" i="30" s="1"/>
  <c r="DD11" i="30"/>
  <c r="DD12" i="30" s="1"/>
  <c r="DD37" i="30"/>
  <c r="DA8" i="30"/>
  <c r="DA37" i="30"/>
  <c r="CZ8" i="30"/>
  <c r="FO31" i="30" l="1"/>
  <c r="FL29" i="30"/>
  <c r="FL30" i="30" s="1"/>
  <c r="FK31" i="30"/>
  <c r="FI30" i="30"/>
  <c r="FI31" i="30"/>
  <c r="FJ30" i="30"/>
  <c r="FJ31" i="30"/>
  <c r="FH30" i="30"/>
  <c r="FH29" i="30"/>
  <c r="FH31" i="30" s="1"/>
  <c r="FK30" i="30"/>
  <c r="ET29" i="30"/>
  <c r="ET31" i="30" s="1"/>
  <c r="FE31" i="30"/>
  <c r="FB30" i="30"/>
  <c r="FC30" i="30"/>
  <c r="EX31" i="30"/>
  <c r="EW31" i="30"/>
  <c r="EU30" i="30"/>
  <c r="EV30" i="30"/>
  <c r="EP31" i="30"/>
  <c r="EM29" i="30"/>
  <c r="EM31" i="30" s="1"/>
  <c r="EN30" i="30"/>
  <c r="EO30" i="30"/>
  <c r="EP30" i="30"/>
  <c r="EQ31" i="30"/>
  <c r="EG29" i="30"/>
  <c r="EG30" i="30" s="1"/>
  <c r="EF30" i="30"/>
  <c r="EH31" i="30"/>
  <c r="EI31" i="30"/>
  <c r="EJ31" i="30"/>
  <c r="EC31" i="30"/>
  <c r="EA29" i="30"/>
  <c r="EA30" i="30" s="1"/>
  <c r="DY30" i="30"/>
  <c r="DZ31" i="30"/>
  <c r="EB31" i="30"/>
  <c r="EC30" i="30"/>
  <c r="DT30" i="30"/>
  <c r="DT31" i="30"/>
  <c r="DU30" i="30"/>
  <c r="DU31" i="30"/>
  <c r="DS30" i="30"/>
  <c r="DS31" i="30"/>
  <c r="DV30" i="30"/>
  <c r="DV31" i="30"/>
  <c r="DR29" i="30"/>
  <c r="CZ37" i="30"/>
  <c r="CY8" i="30"/>
  <c r="CY37" i="30"/>
  <c r="CX8" i="30"/>
  <c r="CX37" i="30"/>
  <c r="DA18" i="30"/>
  <c r="DA19" i="30" s="1"/>
  <c r="CZ18" i="30"/>
  <c r="CZ19" i="30" s="1"/>
  <c r="CY18" i="30"/>
  <c r="CY19" i="30" s="1"/>
  <c r="CX18" i="30"/>
  <c r="CX19" i="30" s="1"/>
  <c r="CW18" i="30"/>
  <c r="CW19" i="30" s="1"/>
  <c r="DA16" i="30"/>
  <c r="CZ16" i="30"/>
  <c r="CY16" i="30"/>
  <c r="CX16" i="30"/>
  <c r="CW16" i="30"/>
  <c r="DA14" i="30"/>
  <c r="DA15" i="30" s="1"/>
  <c r="CZ14" i="30"/>
  <c r="CZ15" i="30" s="1"/>
  <c r="CY14" i="30"/>
  <c r="CY15" i="30" s="1"/>
  <c r="CX14" i="30"/>
  <c r="CX15" i="30" s="1"/>
  <c r="CW14" i="30"/>
  <c r="CW15" i="30" s="1"/>
  <c r="DA11" i="30"/>
  <c r="DA12" i="30" s="1"/>
  <c r="CZ11" i="30"/>
  <c r="CZ12" i="30" s="1"/>
  <c r="CY11" i="30"/>
  <c r="CY12" i="30" s="1"/>
  <c r="CX11" i="30"/>
  <c r="CX12" i="30" s="1"/>
  <c r="CW11" i="30"/>
  <c r="CW12" i="30" s="1"/>
  <c r="DA3" i="30"/>
  <c r="CZ3" i="30"/>
  <c r="CY3" i="30"/>
  <c r="CX3" i="30"/>
  <c r="CW3" i="30"/>
  <c r="CW8" i="30"/>
  <c r="CW37" i="30"/>
  <c r="DO29" i="30"/>
  <c r="DN29" i="30"/>
  <c r="DM29" i="30"/>
  <c r="DL29" i="30"/>
  <c r="DG29" i="30"/>
  <c r="DG31" i="30" s="1"/>
  <c r="DF29" i="30"/>
  <c r="DF31" i="30" s="1"/>
  <c r="DE29" i="30"/>
  <c r="DE31" i="30" s="1"/>
  <c r="CT8" i="30"/>
  <c r="CS8" i="30"/>
  <c r="CT37" i="30"/>
  <c r="CS37" i="30"/>
  <c r="CR8" i="30"/>
  <c r="CR37" i="30"/>
  <c r="CQ37" i="30"/>
  <c r="CQ8" i="30"/>
  <c r="CP37" i="30"/>
  <c r="CP30" i="30"/>
  <c r="CP29" i="30"/>
  <c r="CP31" i="30" s="1"/>
  <c r="CT3" i="30"/>
  <c r="CS3" i="30"/>
  <c r="CR3" i="30"/>
  <c r="CQ3" i="30"/>
  <c r="CP3" i="30"/>
  <c r="CT11" i="30"/>
  <c r="CT12" i="30" s="1"/>
  <c r="CS11" i="30"/>
  <c r="CS12" i="30" s="1"/>
  <c r="CR11" i="30"/>
  <c r="CR12" i="30" s="1"/>
  <c r="CQ11" i="30"/>
  <c r="CQ12" i="30" s="1"/>
  <c r="CP11" i="30"/>
  <c r="CP12" i="30" s="1"/>
  <c r="CT16" i="30"/>
  <c r="CS16" i="30"/>
  <c r="CR16" i="30"/>
  <c r="CQ16" i="30"/>
  <c r="CP16" i="30"/>
  <c r="CT14" i="30"/>
  <c r="CT15" i="30" s="1"/>
  <c r="CS14" i="30"/>
  <c r="CS15" i="30" s="1"/>
  <c r="CR14" i="30"/>
  <c r="CR15" i="30" s="1"/>
  <c r="CQ14" i="30"/>
  <c r="CQ15" i="30" s="1"/>
  <c r="CP14" i="30"/>
  <c r="CP15" i="30" s="1"/>
  <c r="CT18" i="30"/>
  <c r="CT19" i="30" s="1"/>
  <c r="CS18" i="30"/>
  <c r="CS19" i="30" s="1"/>
  <c r="CR18" i="30"/>
  <c r="CR19" i="30" s="1"/>
  <c r="CQ18" i="30"/>
  <c r="CQ19" i="30" s="1"/>
  <c r="CP18" i="30"/>
  <c r="CP19" i="30" s="1"/>
  <c r="CP8" i="30"/>
  <c r="CM8" i="30"/>
  <c r="CM37" i="30"/>
  <c r="FL31" i="30" l="1"/>
  <c r="EG31" i="30"/>
  <c r="EA31" i="30"/>
  <c r="DR31" i="30"/>
  <c r="DN31" i="30"/>
  <c r="DO31" i="30"/>
  <c r="DM31" i="30"/>
  <c r="DL31" i="30"/>
  <c r="DO30" i="30"/>
  <c r="DM30" i="30"/>
  <c r="DN30" i="30"/>
  <c r="DK30" i="30"/>
  <c r="DK29" i="30"/>
  <c r="DK31" i="30" s="1"/>
  <c r="DL30" i="30"/>
  <c r="DH29" i="30"/>
  <c r="DH30" i="30" s="1"/>
  <c r="DG30" i="30"/>
  <c r="DD30" i="30"/>
  <c r="DD29" i="30"/>
  <c r="DD31" i="30" s="1"/>
  <c r="DE30" i="30"/>
  <c r="DF30" i="30"/>
  <c r="CL8" i="30"/>
  <c r="CL11" i="30"/>
  <c r="CL37" i="30"/>
  <c r="CK8" i="30"/>
  <c r="DH31" i="30" l="1"/>
  <c r="CK37" i="30"/>
  <c r="CJ8" i="30"/>
  <c r="CJ37" i="30"/>
  <c r="CI8" i="30"/>
  <c r="CI37" i="30"/>
  <c r="CM18" i="30"/>
  <c r="CM19" i="30" s="1"/>
  <c r="CL18" i="30"/>
  <c r="CL19" i="30" s="1"/>
  <c r="CK18" i="30"/>
  <c r="CK19" i="30" s="1"/>
  <c r="CJ18" i="30"/>
  <c r="CJ19" i="30" s="1"/>
  <c r="CI18" i="30"/>
  <c r="CI19" i="30" s="1"/>
  <c r="CM16" i="30"/>
  <c r="CL16" i="30"/>
  <c r="CK16" i="30"/>
  <c r="CJ16" i="30"/>
  <c r="CI16" i="30"/>
  <c r="CM14" i="30"/>
  <c r="CM15" i="30" s="1"/>
  <c r="CL14" i="30"/>
  <c r="CL15" i="30" s="1"/>
  <c r="CK14" i="30"/>
  <c r="CK15" i="30" s="1"/>
  <c r="CJ14" i="30"/>
  <c r="CJ15" i="30" s="1"/>
  <c r="CI14" i="30"/>
  <c r="CI15" i="30" s="1"/>
  <c r="CM11" i="30"/>
  <c r="CM12" i="30" s="1"/>
  <c r="CL12" i="30"/>
  <c r="CK11" i="30"/>
  <c r="CK12" i="30" s="1"/>
  <c r="CJ11" i="30"/>
  <c r="CJ12" i="30" s="1"/>
  <c r="CI11" i="30"/>
  <c r="CI12" i="30" s="1"/>
  <c r="CM3" i="30"/>
  <c r="CL3" i="30"/>
  <c r="CK3" i="30"/>
  <c r="CJ3" i="30"/>
  <c r="CI3" i="30"/>
  <c r="DA29" i="30"/>
  <c r="CZ29" i="30"/>
  <c r="CY29" i="30"/>
  <c r="CX29" i="30"/>
  <c r="CT29" i="30"/>
  <c r="CS29" i="30"/>
  <c r="CR29" i="30"/>
  <c r="CQ29" i="30"/>
  <c r="CF8" i="30"/>
  <c r="CF37" i="30"/>
  <c r="CE8" i="30"/>
  <c r="CE37" i="30"/>
  <c r="CD8" i="30"/>
  <c r="CD37" i="30"/>
  <c r="CC8" i="30"/>
  <c r="CC37" i="30"/>
  <c r="CB8" i="30"/>
  <c r="CF18" i="30"/>
  <c r="CF19" i="30" s="1"/>
  <c r="CE18" i="30"/>
  <c r="CE19" i="30" s="1"/>
  <c r="CD18" i="30"/>
  <c r="CD19" i="30" s="1"/>
  <c r="CC18" i="30"/>
  <c r="CC19" i="30" s="1"/>
  <c r="CB18" i="30"/>
  <c r="CB19" i="30" s="1"/>
  <c r="CF16" i="30"/>
  <c r="CE16" i="30"/>
  <c r="CD16" i="30"/>
  <c r="CC16" i="30"/>
  <c r="CB16" i="30"/>
  <c r="CF14" i="30"/>
  <c r="CF15" i="30" s="1"/>
  <c r="CE14" i="30"/>
  <c r="CE15" i="30" s="1"/>
  <c r="CD14" i="30"/>
  <c r="CD15" i="30" s="1"/>
  <c r="CC14" i="30"/>
  <c r="CC15" i="30" s="1"/>
  <c r="CB14" i="30"/>
  <c r="CB15" i="30" s="1"/>
  <c r="CF11" i="30"/>
  <c r="CF12" i="30" s="1"/>
  <c r="CE11" i="30"/>
  <c r="CE12" i="30" s="1"/>
  <c r="CD11" i="30"/>
  <c r="CD12" i="30" s="1"/>
  <c r="CC11" i="30"/>
  <c r="CC12" i="30" s="1"/>
  <c r="CB11" i="30"/>
  <c r="CB12" i="30" s="1"/>
  <c r="CB37" i="30"/>
  <c r="CF3" i="30"/>
  <c r="CE3" i="30"/>
  <c r="CD3" i="30"/>
  <c r="CC3" i="30"/>
  <c r="CB3" i="30"/>
  <c r="BY8" i="30"/>
  <c r="BY28" i="30"/>
  <c r="BY27" i="30"/>
  <c r="CM29" i="30"/>
  <c r="CM31" i="30" s="1"/>
  <c r="CL29" i="30"/>
  <c r="CL31" i="30" s="1"/>
  <c r="CK29" i="30"/>
  <c r="CK31" i="30" s="1"/>
  <c r="CJ29" i="30"/>
  <c r="CJ31" i="30" s="1"/>
  <c r="CI30" i="30"/>
  <c r="BY37" i="30"/>
  <c r="BX8" i="30"/>
  <c r="BX37" i="30"/>
  <c r="BW8" i="30"/>
  <c r="BW37" i="30"/>
  <c r="BV8" i="30"/>
  <c r="BV37" i="30"/>
  <c r="BU8" i="30"/>
  <c r="BU37" i="30"/>
  <c r="CZ30" i="30" l="1"/>
  <c r="CZ31" i="30"/>
  <c r="CW30" i="30"/>
  <c r="CW29" i="30"/>
  <c r="CW31" i="30" s="1"/>
  <c r="DA30" i="30"/>
  <c r="DA31" i="30"/>
  <c r="CX30" i="30"/>
  <c r="CX31" i="30"/>
  <c r="CY30" i="30"/>
  <c r="CY31" i="30"/>
  <c r="CQ30" i="30"/>
  <c r="CQ31" i="30"/>
  <c r="CR31" i="30"/>
  <c r="CR30" i="30"/>
  <c r="CS31" i="30"/>
  <c r="CS30" i="30"/>
  <c r="CT31" i="30"/>
  <c r="CT30" i="30"/>
  <c r="CI29" i="30"/>
  <c r="CJ30" i="30"/>
  <c r="CK30" i="30"/>
  <c r="CL30" i="30"/>
  <c r="CM30" i="30"/>
  <c r="BY18" i="30"/>
  <c r="BY19" i="30" s="1"/>
  <c r="BX18" i="30"/>
  <c r="BX19" i="30" s="1"/>
  <c r="BW18" i="30"/>
  <c r="BW19" i="30" s="1"/>
  <c r="BV18" i="30"/>
  <c r="BV19" i="30" s="1"/>
  <c r="BU18" i="30"/>
  <c r="BU19" i="30" s="1"/>
  <c r="BY16" i="30"/>
  <c r="BX16" i="30"/>
  <c r="BW16" i="30"/>
  <c r="BV16" i="30"/>
  <c r="BU16" i="30"/>
  <c r="BY14" i="30"/>
  <c r="BY15" i="30" s="1"/>
  <c r="BX14" i="30"/>
  <c r="BX15" i="30" s="1"/>
  <c r="BW14" i="30"/>
  <c r="BW15" i="30" s="1"/>
  <c r="BV14" i="30"/>
  <c r="BV15" i="30" s="1"/>
  <c r="BU14" i="30"/>
  <c r="BU15" i="30" s="1"/>
  <c r="BY11" i="30"/>
  <c r="BY12" i="30" s="1"/>
  <c r="BX11" i="30"/>
  <c r="BX12" i="30" s="1"/>
  <c r="BW11" i="30"/>
  <c r="BW12" i="30" s="1"/>
  <c r="BV11" i="30"/>
  <c r="BV12" i="30" s="1"/>
  <c r="BU11" i="30"/>
  <c r="BU12" i="30" s="1"/>
  <c r="BU3" i="30"/>
  <c r="BV3" i="30"/>
  <c r="BW3" i="30"/>
  <c r="BX3" i="30"/>
  <c r="BY3" i="30"/>
  <c r="BR8" i="30"/>
  <c r="BR37" i="30"/>
  <c r="CF29" i="30"/>
  <c r="CF30" i="30" s="1"/>
  <c r="CD29" i="30"/>
  <c r="CD31" i="30" s="1"/>
  <c r="CC29" i="30"/>
  <c r="CC30" i="30" s="1"/>
  <c r="BQ8" i="30"/>
  <c r="BQ37" i="30"/>
  <c r="BP8" i="30"/>
  <c r="BP37" i="30"/>
  <c r="BO8" i="30"/>
  <c r="BO37" i="30"/>
  <c r="BN8" i="30"/>
  <c r="BR18" i="30"/>
  <c r="BR19" i="30" s="1"/>
  <c r="BQ18" i="30"/>
  <c r="BQ19" i="30" s="1"/>
  <c r="BP18" i="30"/>
  <c r="BP19" i="30" s="1"/>
  <c r="BO18" i="30"/>
  <c r="BO19" i="30" s="1"/>
  <c r="BN18" i="30"/>
  <c r="BN19" i="30" s="1"/>
  <c r="BR16" i="30"/>
  <c r="BQ16" i="30"/>
  <c r="BP16" i="30"/>
  <c r="BO16" i="30"/>
  <c r="BN16" i="30"/>
  <c r="BR14" i="30"/>
  <c r="BR15" i="30" s="1"/>
  <c r="BQ14" i="30"/>
  <c r="BQ15" i="30" s="1"/>
  <c r="BP14" i="30"/>
  <c r="BP15" i="30" s="1"/>
  <c r="BO14" i="30"/>
  <c r="BO15" i="30" s="1"/>
  <c r="BN14" i="30"/>
  <c r="BN15" i="30" s="1"/>
  <c r="BR11" i="30"/>
  <c r="BR12" i="30" s="1"/>
  <c r="BQ11" i="30"/>
  <c r="BQ12" i="30" s="1"/>
  <c r="BP11" i="30"/>
  <c r="BP12" i="30" s="1"/>
  <c r="BO11" i="30"/>
  <c r="BO12" i="30" s="1"/>
  <c r="BN11" i="30"/>
  <c r="BN12" i="30" s="1"/>
  <c r="BN37" i="30"/>
  <c r="BR3" i="30"/>
  <c r="BQ3" i="30"/>
  <c r="BP3" i="30"/>
  <c r="BO3" i="30"/>
  <c r="BN3" i="30"/>
  <c r="BK8" i="30"/>
  <c r="BK37" i="30"/>
  <c r="BY29" i="30"/>
  <c r="BX28" i="30"/>
  <c r="BW29" i="30"/>
  <c r="BV29" i="30"/>
  <c r="BU30" i="30"/>
  <c r="BX27" i="30"/>
  <c r="BJ8" i="30"/>
  <c r="BJ37" i="30"/>
  <c r="BI8" i="30"/>
  <c r="BX29" i="30" l="1"/>
  <c r="BX31" i="30" s="1"/>
  <c r="CI31" i="30"/>
  <c r="CE29" i="30"/>
  <c r="CE31" i="30" s="1"/>
  <c r="CB29" i="30"/>
  <c r="CB31" i="30" s="1"/>
  <c r="CB30" i="30"/>
  <c r="CC31" i="30"/>
  <c r="CD30" i="30"/>
  <c r="CF31" i="30"/>
  <c r="BW30" i="30"/>
  <c r="BW31" i="30"/>
  <c r="BY31" i="30"/>
  <c r="BY30" i="30"/>
  <c r="BV30" i="30"/>
  <c r="BV31" i="30"/>
  <c r="BU29" i="30"/>
  <c r="BU31" i="30" s="1"/>
  <c r="BI37" i="30"/>
  <c r="BH8" i="30"/>
  <c r="BH37" i="30"/>
  <c r="BG30" i="30"/>
  <c r="BG29" i="30"/>
  <c r="BG31" i="30" s="1"/>
  <c r="BK11" i="30"/>
  <c r="BK12" i="30" s="1"/>
  <c r="BJ11" i="30"/>
  <c r="BJ12" i="30" s="1"/>
  <c r="BI11" i="30"/>
  <c r="BI12" i="30" s="1"/>
  <c r="BH11" i="30"/>
  <c r="BH12" i="30" s="1"/>
  <c r="BG11" i="30"/>
  <c r="BG12" i="30" s="1"/>
  <c r="BG8" i="30"/>
  <c r="BK18" i="30"/>
  <c r="BK19" i="30" s="1"/>
  <c r="BJ18" i="30"/>
  <c r="BJ19" i="30" s="1"/>
  <c r="BI18" i="30"/>
  <c r="BI19" i="30" s="1"/>
  <c r="BH18" i="30"/>
  <c r="BH19" i="30" s="1"/>
  <c r="BG18" i="30"/>
  <c r="BG19" i="30" s="1"/>
  <c r="BK16" i="30"/>
  <c r="BJ16" i="30"/>
  <c r="BI16" i="30"/>
  <c r="BH16" i="30"/>
  <c r="BG16" i="30"/>
  <c r="BK14" i="30"/>
  <c r="BK15" i="30" s="1"/>
  <c r="BJ14" i="30"/>
  <c r="BJ15" i="30" s="1"/>
  <c r="BI14" i="30"/>
  <c r="BI15" i="30" s="1"/>
  <c r="BH14" i="30"/>
  <c r="BH15" i="30" s="1"/>
  <c r="BG14" i="30"/>
  <c r="BG15" i="30" s="1"/>
  <c r="BG37" i="30"/>
  <c r="BK3" i="30"/>
  <c r="BJ3" i="30"/>
  <c r="BI3" i="30"/>
  <c r="BH3" i="30"/>
  <c r="BG3" i="30"/>
  <c r="AZ30" i="30"/>
  <c r="AS30" i="30"/>
  <c r="BD8" i="30"/>
  <c r="BD37" i="30"/>
  <c r="BC8" i="30"/>
  <c r="BC37" i="30"/>
  <c r="BB8" i="30"/>
  <c r="BB37" i="30"/>
  <c r="BR29" i="30"/>
  <c r="BQ29" i="30"/>
  <c r="BO29" i="30"/>
  <c r="BD18" i="30"/>
  <c r="BD19" i="30" s="1"/>
  <c r="BC18" i="30"/>
  <c r="BC19" i="30" s="1"/>
  <c r="BB18" i="30"/>
  <c r="BB19" i="30" s="1"/>
  <c r="BA18" i="30"/>
  <c r="BA19" i="30" s="1"/>
  <c r="AZ18" i="30"/>
  <c r="AZ19" i="30" s="1"/>
  <c r="BD16" i="30"/>
  <c r="BC16" i="30"/>
  <c r="BB16" i="30"/>
  <c r="BA16" i="30"/>
  <c r="AZ16" i="30"/>
  <c r="BD14" i="30"/>
  <c r="BD15" i="30" s="1"/>
  <c r="BC14" i="30"/>
  <c r="BC15" i="30" s="1"/>
  <c r="BB14" i="30"/>
  <c r="BB15" i="30" s="1"/>
  <c r="BA14" i="30"/>
  <c r="BA15" i="30" s="1"/>
  <c r="AZ14" i="30"/>
  <c r="AZ15" i="30" s="1"/>
  <c r="BD11" i="30"/>
  <c r="BD12" i="30" s="1"/>
  <c r="BC11" i="30"/>
  <c r="BC12" i="30" s="1"/>
  <c r="BB11" i="30"/>
  <c r="BB12" i="30" s="1"/>
  <c r="BA11" i="30"/>
  <c r="BA12" i="30" s="1"/>
  <c r="AZ11" i="30"/>
  <c r="AZ12" i="30" s="1"/>
  <c r="BA8" i="30"/>
  <c r="AZ8" i="30"/>
  <c r="BC29" i="30"/>
  <c r="BC31" i="30" s="1"/>
  <c r="BB29" i="30"/>
  <c r="BB30" i="30" s="1"/>
  <c r="BA29" i="30"/>
  <c r="BA31" i="30" s="1"/>
  <c r="AZ29" i="30"/>
  <c r="AZ31" i="30" s="1"/>
  <c r="AW8" i="30"/>
  <c r="BX30" i="30" l="1"/>
  <c r="CE30" i="30"/>
  <c r="BP29" i="30"/>
  <c r="BP31" i="30" s="1"/>
  <c r="BO30" i="30"/>
  <c r="BO31" i="30"/>
  <c r="BQ31" i="30"/>
  <c r="BQ30" i="30"/>
  <c r="BN29" i="30"/>
  <c r="BN30" i="30"/>
  <c r="BR30" i="30"/>
  <c r="BR31" i="30"/>
  <c r="BC30" i="30"/>
  <c r="BB31" i="30"/>
  <c r="BA30" i="30"/>
  <c r="BA37" i="30"/>
  <c r="AZ37" i="30"/>
  <c r="AW37" i="30"/>
  <c r="BD3" i="30"/>
  <c r="BC3" i="30"/>
  <c r="BB3" i="30"/>
  <c r="BA3" i="30"/>
  <c r="AZ3" i="30"/>
  <c r="BK28" i="30"/>
  <c r="BI29" i="30"/>
  <c r="BH29" i="30"/>
  <c r="BK27" i="30"/>
  <c r="AV8" i="30"/>
  <c r="AV37" i="30"/>
  <c r="AU8" i="30"/>
  <c r="AU37" i="30"/>
  <c r="AT8" i="30"/>
  <c r="AT37" i="30"/>
  <c r="AW29" i="30"/>
  <c r="AV29" i="30"/>
  <c r="AU29" i="30"/>
  <c r="AT29" i="30"/>
  <c r="AS29" i="30"/>
  <c r="AS31" i="30" s="1"/>
  <c r="AS8" i="30"/>
  <c r="AS37" i="30"/>
  <c r="AP8" i="30"/>
  <c r="AP37" i="30"/>
  <c r="AW3" i="30"/>
  <c r="AV3" i="30"/>
  <c r="AU3" i="30"/>
  <c r="AT3" i="30"/>
  <c r="AS3" i="30"/>
  <c r="AW18" i="30"/>
  <c r="AW19" i="30" s="1"/>
  <c r="AV18" i="30"/>
  <c r="AV19" i="30" s="1"/>
  <c r="AU18" i="30"/>
  <c r="AU19" i="30" s="1"/>
  <c r="AT18" i="30"/>
  <c r="AT19" i="30" s="1"/>
  <c r="AS18" i="30"/>
  <c r="AS19" i="30" s="1"/>
  <c r="AW16" i="30"/>
  <c r="AV16" i="30"/>
  <c r="AU16" i="30"/>
  <c r="AT16" i="30"/>
  <c r="AS16" i="30"/>
  <c r="AW14" i="30"/>
  <c r="AW15" i="30" s="1"/>
  <c r="AV14" i="30"/>
  <c r="AV15" i="30" s="1"/>
  <c r="AU14" i="30"/>
  <c r="AU15" i="30" s="1"/>
  <c r="AT14" i="30"/>
  <c r="AT15" i="30" s="1"/>
  <c r="AS14" i="30"/>
  <c r="AS15" i="30" s="1"/>
  <c r="AW11" i="30"/>
  <c r="AW12" i="30" s="1"/>
  <c r="AV11" i="30"/>
  <c r="AV12" i="30" s="1"/>
  <c r="AU11" i="30"/>
  <c r="AU12" i="30" s="1"/>
  <c r="AT11" i="30"/>
  <c r="AT12" i="30" s="1"/>
  <c r="AS11" i="30"/>
  <c r="AS12" i="30" s="1"/>
  <c r="BP30" i="30" l="1"/>
  <c r="BN31" i="30"/>
  <c r="BK29" i="30"/>
  <c r="BK30" i="30" s="1"/>
  <c r="BJ29" i="30"/>
  <c r="BJ30" i="30" s="1"/>
  <c r="BH31" i="30"/>
  <c r="BH30" i="30"/>
  <c r="BI31" i="30"/>
  <c r="BI30" i="30"/>
  <c r="AW30" i="30"/>
  <c r="AW31" i="30"/>
  <c r="AT31" i="30"/>
  <c r="AT30" i="30"/>
  <c r="AU31" i="30"/>
  <c r="AU30" i="30"/>
  <c r="AV31" i="30"/>
  <c r="AV30" i="30"/>
  <c r="AO8" i="30"/>
  <c r="AO37" i="30"/>
  <c r="AN8" i="30"/>
  <c r="AN37" i="30"/>
  <c r="AP18" i="30"/>
  <c r="AP19" i="30" s="1"/>
  <c r="AO18" i="30"/>
  <c r="AO19" i="30" s="1"/>
  <c r="AN18" i="30"/>
  <c r="AN19" i="30" s="1"/>
  <c r="AM18" i="30"/>
  <c r="AM19" i="30" s="1"/>
  <c r="AP16" i="30"/>
  <c r="AO16" i="30"/>
  <c r="AN16" i="30"/>
  <c r="AM16" i="30"/>
  <c r="AP14" i="30"/>
  <c r="AP15" i="30" s="1"/>
  <c r="AO14" i="30"/>
  <c r="AO15" i="30" s="1"/>
  <c r="AN14" i="30"/>
  <c r="AN15" i="30" s="1"/>
  <c r="AM14" i="30"/>
  <c r="AM15" i="30" s="1"/>
  <c r="AP11" i="30"/>
  <c r="AP12" i="30" s="1"/>
  <c r="AO11" i="30"/>
  <c r="AO12" i="30" s="1"/>
  <c r="AN11" i="30"/>
  <c r="AN12" i="30" s="1"/>
  <c r="AM11" i="30"/>
  <c r="AM12" i="30" s="1"/>
  <c r="AM8" i="30"/>
  <c r="AM37" i="30"/>
  <c r="AL30" i="30"/>
  <c r="AL29" i="30"/>
  <c r="AL31" i="30" s="1"/>
  <c r="BJ31" i="30" l="1"/>
  <c r="BK31" i="30"/>
  <c r="AL18" i="30"/>
  <c r="AL19" i="30" s="1"/>
  <c r="AL16" i="30"/>
  <c r="AL14" i="30"/>
  <c r="AL15" i="30" s="1"/>
  <c r="AL11" i="30"/>
  <c r="AL12" i="30" s="1"/>
  <c r="AL8" i="30"/>
  <c r="AL37" i="30"/>
  <c r="BD29" i="30"/>
  <c r="AN29" i="30"/>
  <c r="AO29" i="30"/>
  <c r="AP29" i="30"/>
  <c r="AI8" i="30"/>
  <c r="AH8" i="30"/>
  <c r="AI37" i="30"/>
  <c r="AP3" i="30"/>
  <c r="AO3" i="30"/>
  <c r="AN3" i="30"/>
  <c r="AM3" i="30"/>
  <c r="AL3" i="30"/>
  <c r="AG29" i="30"/>
  <c r="AG8" i="30"/>
  <c r="AH37" i="30"/>
  <c r="AH29" i="30"/>
  <c r="AH31" i="30" s="1"/>
  <c r="AH18" i="30"/>
  <c r="AH19" i="30" s="1"/>
  <c r="AH16" i="30"/>
  <c r="AH14" i="30"/>
  <c r="AH15" i="30" s="1"/>
  <c r="AH11" i="30"/>
  <c r="AH12" i="30" s="1"/>
  <c r="AH3" i="30"/>
  <c r="AG37" i="30"/>
  <c r="AF8" i="30"/>
  <c r="AF37" i="30"/>
  <c r="AE30" i="30"/>
  <c r="AE29" i="30"/>
  <c r="AE31" i="30" s="1"/>
  <c r="AI11" i="30"/>
  <c r="AI12" i="30" s="1"/>
  <c r="AG11" i="30"/>
  <c r="AG12" i="30" s="1"/>
  <c r="AF11" i="30"/>
  <c r="AF12" i="30" s="1"/>
  <c r="AE11" i="30"/>
  <c r="AE12" i="30" s="1"/>
  <c r="AI16" i="30"/>
  <c r="AG16" i="30"/>
  <c r="AF16" i="30"/>
  <c r="AE16" i="30"/>
  <c r="AI14" i="30"/>
  <c r="AI15" i="30" s="1"/>
  <c r="AG14" i="30"/>
  <c r="AG15" i="30" s="1"/>
  <c r="AF14" i="30"/>
  <c r="AF15" i="30" s="1"/>
  <c r="AE14" i="30"/>
  <c r="AE15" i="30" s="1"/>
  <c r="AI18" i="30"/>
  <c r="AI19" i="30" s="1"/>
  <c r="AG18" i="30"/>
  <c r="AG19" i="30" s="1"/>
  <c r="AF18" i="30"/>
  <c r="AF19" i="30" s="1"/>
  <c r="AE18" i="30"/>
  <c r="AE19" i="30" s="1"/>
  <c r="AE8" i="30"/>
  <c r="AE37" i="30"/>
  <c r="AI3" i="30"/>
  <c r="AG3" i="30"/>
  <c r="AF3" i="30"/>
  <c r="AE3" i="30"/>
  <c r="AF29" i="30"/>
  <c r="AI29" i="30"/>
  <c r="AI31" i="30" s="1"/>
  <c r="AB8" i="30"/>
  <c r="AB37" i="30"/>
  <c r="AA8" i="30"/>
  <c r="AA37" i="30"/>
  <c r="Z8" i="30"/>
  <c r="Z37" i="30"/>
  <c r="Y8" i="30"/>
  <c r="Y37" i="30"/>
  <c r="AB18" i="30"/>
  <c r="AB19" i="30" s="1"/>
  <c r="AA18" i="30"/>
  <c r="AA19" i="30" s="1"/>
  <c r="Z18" i="30"/>
  <c r="Z19" i="30" s="1"/>
  <c r="Y18" i="30"/>
  <c r="Y19" i="30" s="1"/>
  <c r="X18" i="30"/>
  <c r="X19" i="30" s="1"/>
  <c r="AB16" i="30"/>
  <c r="AA16" i="30"/>
  <c r="Z16" i="30"/>
  <c r="Y16" i="30"/>
  <c r="X16" i="30"/>
  <c r="AB14" i="30"/>
  <c r="AB15" i="30" s="1"/>
  <c r="AA14" i="30"/>
  <c r="AA15" i="30" s="1"/>
  <c r="Z14" i="30"/>
  <c r="Z15" i="30" s="1"/>
  <c r="Y14" i="30"/>
  <c r="Y15" i="30" s="1"/>
  <c r="X14" i="30"/>
  <c r="X15" i="30" s="1"/>
  <c r="AB3" i="30"/>
  <c r="AA3" i="30"/>
  <c r="Z3" i="30"/>
  <c r="Y3" i="30"/>
  <c r="X3" i="30"/>
  <c r="AB11" i="30"/>
  <c r="AB12" i="30" s="1"/>
  <c r="AA11" i="30"/>
  <c r="AA12" i="30" s="1"/>
  <c r="Z11" i="30"/>
  <c r="Z12" i="30" s="1"/>
  <c r="Y11" i="30"/>
  <c r="Y12" i="30" s="1"/>
  <c r="X11" i="30"/>
  <c r="X12" i="30" s="1"/>
  <c r="Q11" i="30"/>
  <c r="Q12" i="30" s="1"/>
  <c r="R11" i="30"/>
  <c r="R12" i="30" s="1"/>
  <c r="S11" i="30"/>
  <c r="S12" i="30" s="1"/>
  <c r="T11" i="30"/>
  <c r="T12" i="30" s="1"/>
  <c r="U11" i="30"/>
  <c r="U12" i="30" s="1"/>
  <c r="X30" i="30"/>
  <c r="X29" i="30"/>
  <c r="X31" i="30" s="1"/>
  <c r="X8" i="30"/>
  <c r="X37" i="30"/>
  <c r="U8" i="30"/>
  <c r="U37" i="30"/>
  <c r="AB29" i="30"/>
  <c r="AA29" i="30"/>
  <c r="AA31" i="30" s="1"/>
  <c r="Z29" i="30"/>
  <c r="Z31" i="30" s="1"/>
  <c r="Y29" i="30"/>
  <c r="Y30" i="30" s="1"/>
  <c r="BD31" i="30" l="1"/>
  <c r="BD30" i="30"/>
  <c r="AM29" i="30"/>
  <c r="AM30" i="30" s="1"/>
  <c r="AP31" i="30"/>
  <c r="AP30" i="30"/>
  <c r="AO31" i="30"/>
  <c r="AO30" i="30"/>
  <c r="AN30" i="30"/>
  <c r="AN31" i="30"/>
  <c r="AH30" i="30"/>
  <c r="AF30" i="30"/>
  <c r="AF31" i="30"/>
  <c r="AG31" i="30"/>
  <c r="AG30" i="30"/>
  <c r="AI30" i="30"/>
  <c r="AB31" i="30"/>
  <c r="Z30" i="30"/>
  <c r="Y31" i="30"/>
  <c r="AA30" i="30"/>
  <c r="AB30" i="30"/>
  <c r="T8" i="30"/>
  <c r="T37" i="30"/>
  <c r="S37" i="30"/>
  <c r="S8" i="30"/>
  <c r="R8" i="30"/>
  <c r="R37" i="30"/>
  <c r="AM31" i="30" l="1"/>
  <c r="U3" i="30"/>
  <c r="T3" i="30"/>
  <c r="S3" i="30"/>
  <c r="R3" i="30"/>
  <c r="Q3" i="30"/>
  <c r="U16" i="30"/>
  <c r="T16" i="30"/>
  <c r="S16" i="30"/>
  <c r="R16" i="30"/>
  <c r="Q16" i="30"/>
  <c r="U14" i="30"/>
  <c r="U15" i="30" s="1"/>
  <c r="T14" i="30"/>
  <c r="T15" i="30" s="1"/>
  <c r="S14" i="30"/>
  <c r="S15" i="30" s="1"/>
  <c r="R14" i="30"/>
  <c r="R15" i="30" s="1"/>
  <c r="Q14" i="30"/>
  <c r="Q15" i="30" s="1"/>
  <c r="U18" i="30"/>
  <c r="U19" i="30" s="1"/>
  <c r="T18" i="30"/>
  <c r="T19" i="30" s="1"/>
  <c r="S18" i="30"/>
  <c r="S19" i="30" s="1"/>
  <c r="R18" i="30"/>
  <c r="R19" i="30" s="1"/>
  <c r="Q18" i="30"/>
  <c r="Q19" i="30" s="1"/>
  <c r="Q30" i="30"/>
  <c r="Q29" i="30"/>
  <c r="Q31" i="30" s="1"/>
  <c r="Q8" i="30"/>
  <c r="Q37" i="30"/>
  <c r="N8" i="30" l="1"/>
  <c r="N37" i="30"/>
  <c r="M8" i="30" l="1"/>
  <c r="M37" i="30"/>
  <c r="L37" i="30"/>
  <c r="L8" i="30"/>
  <c r="K8" i="30"/>
  <c r="K37" i="30"/>
  <c r="J30" i="30"/>
  <c r="J29" i="30"/>
  <c r="J31" i="30" s="1"/>
  <c r="J14" i="30"/>
  <c r="J15" i="30" s="1"/>
  <c r="N14" i="30"/>
  <c r="N15" i="30" s="1"/>
  <c r="M14" i="30"/>
  <c r="M15" i="30" s="1"/>
  <c r="L14" i="30"/>
  <c r="L15" i="30" s="1"/>
  <c r="K14" i="30"/>
  <c r="K15" i="30" s="1"/>
  <c r="U29" i="30"/>
  <c r="T29" i="30"/>
  <c r="S29" i="30"/>
  <c r="R29" i="30"/>
  <c r="N29" i="30"/>
  <c r="K29" i="30"/>
  <c r="K31" i="30" s="1"/>
  <c r="L29" i="30"/>
  <c r="L31" i="30" s="1"/>
  <c r="M29" i="30"/>
  <c r="N18" i="30"/>
  <c r="N19" i="30" s="1"/>
  <c r="M18" i="30"/>
  <c r="M19" i="30" s="1"/>
  <c r="L18" i="30"/>
  <c r="L19" i="30" s="1"/>
  <c r="K18" i="30"/>
  <c r="K19" i="30" s="1"/>
  <c r="J18" i="30"/>
  <c r="J19" i="30" s="1"/>
  <c r="N16" i="30"/>
  <c r="M16" i="30"/>
  <c r="L16" i="30"/>
  <c r="K16" i="30"/>
  <c r="J16" i="30"/>
  <c r="N11" i="30"/>
  <c r="N12" i="30" s="1"/>
  <c r="M11" i="30"/>
  <c r="M12" i="30" s="1"/>
  <c r="L11" i="30"/>
  <c r="K11" i="30"/>
  <c r="K12" i="30" s="1"/>
  <c r="J11" i="30"/>
  <c r="J12" i="30" s="1"/>
  <c r="N3" i="30"/>
  <c r="M3" i="30"/>
  <c r="L3" i="30"/>
  <c r="K3" i="30"/>
  <c r="J3" i="30"/>
  <c r="J8" i="30"/>
  <c r="J37" i="30"/>
  <c r="T31" i="30" l="1"/>
  <c r="T30" i="30"/>
  <c r="U31" i="30"/>
  <c r="U30" i="30"/>
  <c r="R30" i="30"/>
  <c r="R31" i="30"/>
  <c r="S31" i="30"/>
  <c r="S30" i="30"/>
  <c r="L12" i="30"/>
  <c r="N31" i="30"/>
  <c r="M31" i="30"/>
  <c r="M30" i="30"/>
  <c r="N30" i="30"/>
  <c r="K30" i="30"/>
  <c r="L30" i="30"/>
  <c r="G8" i="30" l="1"/>
  <c r="G37" i="30"/>
  <c r="F8" i="30" l="1"/>
  <c r="E8" i="30"/>
  <c r="F37" i="30"/>
  <c r="E29" i="30"/>
  <c r="E31" i="30" s="1"/>
  <c r="F29" i="30"/>
  <c r="F30" i="30" s="1"/>
  <c r="G29" i="30"/>
  <c r="G31" i="30" s="1"/>
  <c r="E37" i="30"/>
  <c r="E30" i="30" l="1"/>
  <c r="F31" i="30"/>
  <c r="G30" i="30"/>
  <c r="D8" i="30"/>
  <c r="D37" i="30"/>
  <c r="C8" i="30" l="1"/>
  <c r="C29" i="30"/>
  <c r="C37" i="30"/>
  <c r="D14" i="30"/>
  <c r="D15" i="30" s="1"/>
  <c r="D11" i="30"/>
  <c r="D12" i="30" s="1"/>
  <c r="D29" i="30"/>
  <c r="D31" i="30" s="1"/>
  <c r="C18" i="30"/>
  <c r="C19" i="30" s="1"/>
  <c r="E14" i="30"/>
  <c r="E15" i="30" s="1"/>
  <c r="F14" i="30"/>
  <c r="F15" i="30" s="1"/>
  <c r="G14" i="30"/>
  <c r="G15" i="30" s="1"/>
  <c r="D16" i="30"/>
  <c r="E16" i="30"/>
  <c r="F16" i="30"/>
  <c r="G16" i="30"/>
  <c r="C16" i="30"/>
  <c r="C14" i="30"/>
  <c r="C15" i="30" s="1"/>
  <c r="G3" i="30"/>
  <c r="G11" i="30"/>
  <c r="G12" i="30" s="1"/>
  <c r="E11" i="30"/>
  <c r="E12" i="30" s="1"/>
  <c r="F11" i="30"/>
  <c r="F12" i="30" s="1"/>
  <c r="D3" i="30"/>
  <c r="E3" i="30"/>
  <c r="F3" i="30"/>
  <c r="C11" i="30"/>
  <c r="C12" i="30" s="1"/>
  <c r="C3" i="30"/>
  <c r="C30" i="30" l="1"/>
  <c r="D30" i="30"/>
  <c r="D18" i="30" l="1"/>
  <c r="D19" i="30" s="1"/>
  <c r="G18" i="30"/>
  <c r="G19" i="30" s="1"/>
  <c r="F18" i="30"/>
  <c r="F19" i="30" s="1"/>
  <c r="E18" i="30"/>
  <c r="E19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tc={ABC8001D-A99B-4E00-A533-BC7264445C81}</author>
    <author>tc={D03DD0B9-9149-46EC-BE1B-9CC5E51AAD1B}</author>
    <author>tc={38BCEA16-5584-414E-9213-5290C6FB3357}</author>
    <author>tc={FDB72CFD-2ECB-4AF2-8B8C-95608768C70F}</author>
    <author>tc={17DB6312-D743-4193-A93A-877397F44615}</author>
    <author>Victoria Ellwanger Pires</author>
  </authors>
  <commentList>
    <comment ref="A2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Passo Fundo</t>
        </r>
      </text>
    </comment>
    <comment ref="A23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Barreiras</t>
        </r>
      </text>
    </comment>
    <comment ref="A24" authorId="2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Ponta Grossa</t>
        </r>
      </text>
    </comment>
    <comment ref="A25" authorId="3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Rondonópolis</t>
        </r>
      </text>
    </comment>
    <comment ref="A26" authorId="4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Rio Verde</t>
        </r>
      </text>
    </comment>
    <comment ref="A48" authorId="5" shapeId="0" xr:uid="{834BA073-ABF1-472B-AF21-D6CFF5A6AA64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</t>
        </r>
      </text>
    </comment>
    <comment ref="A49" authorId="5" shapeId="0" xr:uid="{113C81FB-4E07-447F-AA02-9FD91C945170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</t>
        </r>
      </text>
    </comment>
    <comment ref="A50" authorId="5" shapeId="0" xr:uid="{801FDE2C-043C-4F77-A487-4C6F75A568A2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 (Comercial Bio)</t>
        </r>
      </text>
    </comment>
    <comment ref="A53" authorId="5" shapeId="0" xr:uid="{A7256E58-F2AE-4E01-A56B-D1C0A8B366F3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Email Argus</t>
        </r>
      </text>
    </comment>
    <comment ref="A55" authorId="5" shapeId="0" xr:uid="{C2DB29F5-CB30-4A82-A53E-C69F9742A174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Email Global Platts</t>
        </r>
      </text>
    </comment>
    <comment ref="A57" authorId="5" shapeId="0" xr:uid="{0952BE6C-E739-456B-8021-9D548C9919AD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Preços ANP
https://www.gov.br/anp/pt-br/assuntos/precos-e-defesa-da-concorrencia/precos/precos-de-produtores-e-importadores-de-derivados-de-petroleo</t>
        </r>
      </text>
    </comment>
  </commentList>
</comments>
</file>

<file path=xl/sharedStrings.xml><?xml version="1.0" encoding="utf-8"?>
<sst xmlns="http://schemas.openxmlformats.org/spreadsheetml/2006/main" count="312" uniqueCount="190">
  <si>
    <t>Taxa Dólar</t>
  </si>
  <si>
    <t>Fonte</t>
  </si>
  <si>
    <t>Agência Nacional do Petróleo</t>
  </si>
  <si>
    <t>Banco Central do Brasil</t>
  </si>
  <si>
    <t>Informações</t>
  </si>
  <si>
    <t>R$/M3</t>
  </si>
  <si>
    <t>R$/saca de 60Kg</t>
  </si>
  <si>
    <t>Valor Econômico</t>
  </si>
  <si>
    <t>R$/ton</t>
  </si>
  <si>
    <t>US$/MT</t>
  </si>
  <si>
    <t>CME Group - chapter 1150</t>
  </si>
  <si>
    <t>CME Group - chapter 1148</t>
  </si>
  <si>
    <t>CME Group</t>
  </si>
  <si>
    <t>Safras e Mercado</t>
  </si>
  <si>
    <t>Preço do petróleo bruto Brendt spot</t>
  </si>
  <si>
    <t>FAME 0 Biodiesel FOB Rdam (Argus) (RED Compliant) vs. Gasoil Futures spot</t>
  </si>
  <si>
    <t>Preço spot</t>
  </si>
  <si>
    <t>US$/ton curta</t>
  </si>
  <si>
    <t>US$/ton</t>
  </si>
  <si>
    <t>Óleo de Soja Chicago (pontos)</t>
  </si>
  <si>
    <t>Preço do petróleo bruto Brendt spot multiplicado por 7,33</t>
  </si>
  <si>
    <t>US$/barril</t>
  </si>
  <si>
    <t>pontos</t>
  </si>
  <si>
    <t>Pontos no fechamento da CBOT</t>
  </si>
  <si>
    <t>Pontos no fechamento da CBOT multiplicado por 0,220462</t>
  </si>
  <si>
    <t>Prêmio de venda de óleo de soja em Rio Grande</t>
  </si>
  <si>
    <t>Valor do óleo de soja RIG de acordo com o dólar do dia</t>
  </si>
  <si>
    <t>Pontos no fechamento da CBOT convertidos pela calculadora do Safrasnet</t>
  </si>
  <si>
    <t>Preço do óleo de soja local de acordo com o dólar do dia</t>
  </si>
  <si>
    <t>US$/saca de 60kg</t>
  </si>
  <si>
    <t>ESALQ</t>
  </si>
  <si>
    <t>Média ponderada do boi gordo no Estado de São Paulo</t>
  </si>
  <si>
    <t>R$/arroba</t>
  </si>
  <si>
    <t>Múltiplo OV/Brendt</t>
  </si>
  <si>
    <t>Média boi gordo RS à vista</t>
  </si>
  <si>
    <t>Óleo de palma bruto/Malásia CIF Roterdam spot</t>
  </si>
  <si>
    <t>Múltiplo OV Cbot/Brendt</t>
  </si>
  <si>
    <t>Soja e Trigo</t>
  </si>
  <si>
    <t>1 bushel de soja</t>
  </si>
  <si>
    <t>60 libras</t>
  </si>
  <si>
    <t>27,2155 kg</t>
  </si>
  <si>
    <t>1 saca de soja</t>
  </si>
  <si>
    <t>60 kg</t>
  </si>
  <si>
    <t>2,20462 bushels</t>
  </si>
  <si>
    <t>1 bushel/acre</t>
  </si>
  <si>
    <t>67,25 kg/ha</t>
  </si>
  <si>
    <t>1.00 dólar/bushel</t>
  </si>
  <si>
    <t>2,2046 dólar/saca</t>
  </si>
  <si>
    <t>Tabela de Conversão Agrícola</t>
  </si>
  <si>
    <t>1 ton.</t>
  </si>
  <si>
    <t>1.000 kg</t>
  </si>
  <si>
    <t>1 kg</t>
  </si>
  <si>
    <t>2.20462 libras</t>
  </si>
  <si>
    <t>1 libra</t>
  </si>
  <si>
    <t>0,45359 kg</t>
  </si>
  <si>
    <t>1 acre</t>
  </si>
  <si>
    <t>0,40469 hectares</t>
  </si>
  <si>
    <t>0,1840 alqueire</t>
  </si>
  <si>
    <t>1 hectare</t>
  </si>
  <si>
    <t>2,47105 acres</t>
  </si>
  <si>
    <r>
      <t>10.000 m</t>
    </r>
    <r>
      <rPr>
        <vertAlign val="superscript"/>
        <sz val="11"/>
        <color theme="1"/>
        <rFont val="Calibri"/>
        <family val="2"/>
        <scheme val="minor"/>
      </rPr>
      <t>2</t>
    </r>
  </si>
  <si>
    <t>1 alqueire</t>
  </si>
  <si>
    <t>5,4363 acres</t>
  </si>
  <si>
    <t>Milho</t>
  </si>
  <si>
    <t>1 bushel de milho</t>
  </si>
  <si>
    <t>56 libras</t>
  </si>
  <si>
    <t>25,40 kg</t>
  </si>
  <si>
    <t>1 saca de milho</t>
  </si>
  <si>
    <t>2,36210 bushels</t>
  </si>
  <si>
    <t>62,77 kg/ha</t>
  </si>
  <si>
    <t>2,3621 dólar/saca</t>
  </si>
  <si>
    <t>BR Soluções</t>
  </si>
  <si>
    <t>Petróleo Brendt (US$/barril)</t>
  </si>
  <si>
    <t>Petróleo Brendt (US$/ton)</t>
  </si>
  <si>
    <t>Gasoil (US$/MT)</t>
  </si>
  <si>
    <t>FAME Biodiesel (US$/MT)</t>
  </si>
  <si>
    <t>Prêmio RME (US$/MT)</t>
  </si>
  <si>
    <t>Soja Chicago (US$/saca 60kg)</t>
  </si>
  <si>
    <t>Farelo Chicago (US$/ton curta)</t>
  </si>
  <si>
    <t>Óleo de Soja Chicago (US$/ton)</t>
  </si>
  <si>
    <t>Prêmio Exportação RIG (pontos)</t>
  </si>
  <si>
    <t>Óleo de Soja FOB RIG (US$/ton)</t>
  </si>
  <si>
    <t>Óleo de Soja FOB RIG (R$/ton)</t>
  </si>
  <si>
    <t>Prêmio Exportação PRG (pontos)</t>
  </si>
  <si>
    <t>Óleo de Soja FOB PRG (US$/ton)</t>
  </si>
  <si>
    <t>Óleo de Soja FOB PRG (R$/ton)</t>
  </si>
  <si>
    <t>Soja Rio Grande do Sul (R$/saca 60kg)</t>
  </si>
  <si>
    <t>Soja Bahia (R$/saca 60kg)</t>
  </si>
  <si>
    <t>Soja Paraná (R$/saca 60kg)</t>
  </si>
  <si>
    <t>Soja Mato Grosso (R$/saca 60kg)</t>
  </si>
  <si>
    <t>Farelo Veranópolis (R$/ton)</t>
  </si>
  <si>
    <t>Óleo de Soja LEM (R$/ton)</t>
  </si>
  <si>
    <t>Boi Gordo São Paulo (R$/@)</t>
  </si>
  <si>
    <t>Boi Gordo RS (R$/@)</t>
  </si>
  <si>
    <t>Gordura Animal Safras (R$/ton)</t>
  </si>
  <si>
    <t>Gordura Animal BR Soluções (R$/ton)</t>
  </si>
  <si>
    <t>Gordura Animal Oleoplan (R$/ton)</t>
  </si>
  <si>
    <t>Gordura Animal Oleoplan Nordeste (R$/ton)</t>
  </si>
  <si>
    <t>Ácido Graxo Oleoplan (R$/ton)</t>
  </si>
  <si>
    <t>Biodiesel Oleoplan (R$/M3)</t>
  </si>
  <si>
    <t>Biodiesel Oleoplan Nordeste (R$/M3)</t>
  </si>
  <si>
    <t>Óleo de Soja CIF Veranópolis (R$/ton)</t>
  </si>
  <si>
    <t>Óleo de Soja CIF Veranópolis (US$/ton)</t>
  </si>
  <si>
    <t>Variação Óleo de Soja CIF Veranópolis</t>
  </si>
  <si>
    <t>Fórmula</t>
  </si>
  <si>
    <t>Prêmio de venda de óleo de soja em Paranaguá</t>
  </si>
  <si>
    <t>Valor do óleo de soja PRG de acordo com o dólar do dia</t>
  </si>
  <si>
    <t>Soma dos pontos de CBOT com o prêmio PRG multiplicado por 0,220462</t>
  </si>
  <si>
    <t>Soma dos pontos de CBOT com o prêmio RIG multiplicado por 0,220462</t>
  </si>
  <si>
    <t>R$/US$</t>
  </si>
  <si>
    <t xml:space="preserve">Soja em grão à granel, CIF Barreiras-BA </t>
  </si>
  <si>
    <t>Soja em grão à granel, FOB Passo Fundo-RS</t>
  </si>
  <si>
    <t>Soja em grão à granel, FOB Ponta Grossa-PR</t>
  </si>
  <si>
    <t>Soja em grão à granel, FOB Rondonopolis-MT</t>
  </si>
  <si>
    <t>Comercial Soja</t>
  </si>
  <si>
    <t>Preço de venda do farelo do dia da Oleoplan</t>
  </si>
  <si>
    <t>Preço de compra/cotação do óleo do dia da Oleoplan</t>
  </si>
  <si>
    <t>ICMS diferido, Barreiras-BA</t>
  </si>
  <si>
    <t>ICMS diferido, CIF São Paulo-SP</t>
  </si>
  <si>
    <t>ICMS 12%, CIF São Paulo-SP 30 dd</t>
  </si>
  <si>
    <t>Comercial Biodiesel</t>
  </si>
  <si>
    <t>Preço médio homologado pela ANP para Veranópolis</t>
  </si>
  <si>
    <t>Preço médio homologado pela ANP para Iraquara</t>
  </si>
  <si>
    <t>%</t>
  </si>
  <si>
    <t>Variação diária do preço do OVD Veranópolis</t>
  </si>
  <si>
    <t>número</t>
  </si>
  <si>
    <t>Prêmio Exportação RIG (US$/ton)</t>
  </si>
  <si>
    <t>Pontos do prêmio exportação RIG multiplicado por 0,220462</t>
  </si>
  <si>
    <t>Relação entre OV CBOT e Brendt barril - quanto mais perto de 7 mais indicada é a compra</t>
  </si>
  <si>
    <t>Relação entre OV Veranópolis e Brendt barril - quanto mais perto de 7 mais indicada é a compra</t>
  </si>
  <si>
    <t>Variável</t>
  </si>
  <si>
    <t>Óleo de Soja Cuiabá (R$/ton)</t>
  </si>
  <si>
    <t>Óleo de Soja Rio Verde (R$/ton)</t>
  </si>
  <si>
    <t>Óleo de soja bruto, FOB, sem PIS/COFINS, 7% ICMS</t>
  </si>
  <si>
    <t>Óleo de soja bruto, FOB, sem PIS/COFINS, s/ ICMS</t>
  </si>
  <si>
    <t>http://www.valor.com.br/valor-data/commodities/minerais</t>
  </si>
  <si>
    <t>Link</t>
  </si>
  <si>
    <t>http://www.valor.com.br/valor-data/commodities/agricolas</t>
  </si>
  <si>
    <t>http://www.bcb.gov.br/pt-br/paginas/default.aspx</t>
  </si>
  <si>
    <t>Média Ptax's do dia</t>
  </si>
  <si>
    <t>http://cepea.esalq.usp.br/boi/</t>
  </si>
  <si>
    <t>http://www.safras.com.br/safrasprodutos/Safrasnet.aspx</t>
  </si>
  <si>
    <t>Log in: vendas@oleoplan.com.br; Senha: 741109; Diretório: Boi/Cotações de preços físicos</t>
  </si>
  <si>
    <t>Log in: vendas@oleoplan.com.br; Senha: 741109; Diretório: Boi/Informativo Diário</t>
  </si>
  <si>
    <t>Log in: vendas@oleoplan.com.br; Senha: 741109; Diretório: Soja/Informativo Diário Óleo</t>
  </si>
  <si>
    <t>Log in: vendas@oleoplan.com.br; Senha: 741109; Diretório: Soja/Informativo Diário Soja</t>
  </si>
  <si>
    <t>Log in: vendas@oleoplan.com.br; Senha: 741109; Diretório: Soja/Informativo Diário Soja (transformar os pontos em dólares por meio da Conversão de Unidades Agrícolas)</t>
  </si>
  <si>
    <t>Petróleo Brent (US$/barril)</t>
  </si>
  <si>
    <t>Média Móvel</t>
  </si>
  <si>
    <t>View All Energy Products</t>
  </si>
  <si>
    <t>RME Biodiesel FOB Rdam (Argus) (RED Compliant) vs. Low Sulphur Gasoil Futures</t>
  </si>
  <si>
    <t>Valor de venda</t>
  </si>
  <si>
    <t>European Low Sulphur Gasoil Bullet Futures</t>
  </si>
  <si>
    <t>Ácido Graxo Oleoplan Nordeste (R$/ton)</t>
  </si>
  <si>
    <t>Soja Goiás (R$/saca 60kg)</t>
  </si>
  <si>
    <t>Soja em grão à granel, CIF Rio Verde-GO</t>
  </si>
  <si>
    <t>Formato</t>
  </si>
  <si>
    <t>http://www.cmegroup.com/europe/products/energy/biofuels/european-gasoil-ice-calendar-future_quotes_settlements_futures.html?sector=AGRICULTURE&amp;clearingCode=0B</t>
  </si>
  <si>
    <t>Log in: vendas@oleoplan.com.br; Senha: 741109; Diretório: Soja/Informativo Diário Óleo Soja</t>
  </si>
  <si>
    <t/>
  </si>
  <si>
    <t>Óleo de Palma Bolsa CIF Rotterdam (US$/ton)</t>
  </si>
  <si>
    <t>Petróleo Brent (US$/ton)</t>
  </si>
  <si>
    <t>http://www.cmegroup.com/europe/products/energy/biofuels/european-fame-0-biodiesel-fob-ara-red-compliant-argus-vs-european-gasoil-ice-spread-calendar-futures.html_quotes_settlements_futures.html</t>
  </si>
  <si>
    <t>http://www.cmegroup.com/europe/products/energy/biofuels/european-rme-biodiesel-fob-ara-red-compliant-argus-vs-european-gasoil-ice-spread-calendar-futures.html_quotes_settlements_futures.html</t>
  </si>
  <si>
    <t>compra</t>
  </si>
  <si>
    <t>Custo efetivo recomp das compras de GA do dia para Veranópolis</t>
  </si>
  <si>
    <t>Custo efetivo recomp das compras de GA do dia para Iraquara</t>
  </si>
  <si>
    <t>Custo efetivo recomp das compras de AG do dia para Veranópolis</t>
  </si>
  <si>
    <t>A partir do dia 15/12/2016, essa informação passou a ser pega da página do investing.com [http://br.investing.com/commodities/brent-oil]</t>
  </si>
  <si>
    <t>A partir do dia 15/12/2016, essa informação passou a ser pega da página de outra página do site do Valor Econômico [http://www.valor.com.br/valor-data/tabela/5846/oleo-vegetal]</t>
  </si>
  <si>
    <t>Biodiesel Oleoplan (R$/m³)</t>
  </si>
  <si>
    <t>Biodiesel Oleoplan Nordeste (R$/m³)</t>
  </si>
  <si>
    <t>Prêmio RME (US$/mt)</t>
  </si>
  <si>
    <t>FAME Biodiesel (US$/mt)</t>
  </si>
  <si>
    <t>Gasoil (US$/mt)</t>
  </si>
  <si>
    <t>Óleo de Palma Bruto (US$/ton)</t>
  </si>
  <si>
    <t>MP AA Oleoplan (R$/ton)</t>
  </si>
  <si>
    <t>MP AA Oleoplan Nordeste (R$/ton)</t>
  </si>
  <si>
    <t>MP AG Oleoplan (R$/ton)</t>
  </si>
  <si>
    <t>MP AG Oleoplan Nordeste (R$/ton)</t>
  </si>
  <si>
    <t>Boi Gordo PA Redenção (R$/@)</t>
  </si>
  <si>
    <t>Boi Gordo RO Cacoal (R$/@)</t>
  </si>
  <si>
    <t>Boi Gordo SP (R$/@)</t>
  </si>
  <si>
    <t>Indexador BiodieselBR</t>
  </si>
  <si>
    <t>Biodiesel Araucária (Argus)</t>
  </si>
  <si>
    <t>Biodiesel Paulínia (Argus)</t>
  </si>
  <si>
    <t>Biodiesel Paulínia (Global Platts)</t>
  </si>
  <si>
    <t>Biodiesel FOB Paranagua (Global Platts)</t>
  </si>
  <si>
    <t>Biodiesel Oleoplan Pará (R$/m³)</t>
  </si>
  <si>
    <t>Preço de Biodiesel ANP (Brasil)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</si>
</sst>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_-[$€-2]\ * #,##0.00_-;\-[$€-2]\ * #,##0.00_-;_-[$€-2]\ * &quot;-&quot;??_-;_-@_-"/>
    <numFmt numFmtId="169" formatCode="_-* #,##0_-;\-* #,##0_-;_-* &quot;-&quot;??_-;_-@_-"/>
    <numFmt numFmtId="170" formatCode="_-* #,##0.00\ _R_$_-;\-* #,##0.00\ _R_$_-;_-* \-??\ _R_$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8"/>
      <color indexed="62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 tint="4.9989318521683403E-2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5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3" fillId="40" borderId="0" applyNumberFormat="0" applyBorder="0" applyAlignment="0" applyProtection="0"/>
    <xf numFmtId="0" fontId="24" fillId="52" borderId="18" applyNumberFormat="0" applyAlignment="0" applyProtection="0"/>
    <xf numFmtId="0" fontId="25" fillId="53" borderId="19" applyNumberFormat="0" applyAlignment="0" applyProtection="0"/>
    <xf numFmtId="0" fontId="26" fillId="0" borderId="20" applyNumberFormat="0" applyFill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7" borderId="0" applyNumberFormat="0" applyBorder="0" applyAlignment="0" applyProtection="0"/>
    <xf numFmtId="0" fontId="27" fillId="43" borderId="18" applyNumberFormat="0" applyAlignment="0" applyProtection="0"/>
    <xf numFmtId="0" fontId="28" fillId="39" borderId="0" applyNumberFormat="0" applyBorder="0" applyAlignment="0" applyProtection="0"/>
    <xf numFmtId="164" fontId="1" fillId="0" borderId="0" applyFont="0" applyFill="0" applyBorder="0" applyAlignment="0" applyProtection="0"/>
    <xf numFmtId="0" fontId="29" fillId="58" borderId="0" applyNumberFormat="0" applyBorder="0" applyAlignment="0" applyProtection="0"/>
    <xf numFmtId="0" fontId="18" fillId="0" borderId="0"/>
    <xf numFmtId="0" fontId="1" fillId="0" borderId="0"/>
    <xf numFmtId="0" fontId="18" fillId="59" borderId="21" applyNumberFormat="0" applyAlignment="0" applyProtection="0"/>
    <xf numFmtId="9" fontId="18" fillId="0" borderId="0" applyFill="0" applyBorder="0" applyAlignment="0" applyProtection="0"/>
    <xf numFmtId="0" fontId="30" fillId="52" borderId="22" applyNumberFormat="0" applyAlignment="0" applyProtection="0"/>
    <xf numFmtId="165" fontId="1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6" applyNumberFormat="0" applyFill="0" applyAlignment="0" applyProtection="0"/>
    <xf numFmtId="170" fontId="18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13" fillId="34" borderId="0" xfId="0" applyFont="1" applyFill="1"/>
    <xf numFmtId="0" fontId="0" fillId="33" borderId="0" xfId="0" applyFill="1"/>
    <xf numFmtId="0" fontId="20" fillId="33" borderId="0" xfId="46" applyFill="1"/>
    <xf numFmtId="0" fontId="20" fillId="0" borderId="0" xfId="46"/>
    <xf numFmtId="0" fontId="0" fillId="37" borderId="0" xfId="0" applyFill="1"/>
    <xf numFmtId="165" fontId="0" fillId="37" borderId="0" xfId="45" applyFont="1" applyFill="1"/>
    <xf numFmtId="0" fontId="0" fillId="37" borderId="10" xfId="0" applyFill="1" applyBorder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7" borderId="11" xfId="0" applyFill="1" applyBorder="1" applyAlignment="1">
      <alignment vertical="center" wrapText="1"/>
    </xf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14" xfId="0" applyFill="1" applyBorder="1"/>
    <xf numFmtId="0" fontId="39" fillId="35" borderId="0" xfId="0" applyFont="1" applyFill="1" applyAlignment="1">
      <alignment horizontal="center" vertical="center" wrapText="1"/>
    </xf>
    <xf numFmtId="0" fontId="40" fillId="35" borderId="0" xfId="0" applyFont="1" applyFill="1"/>
    <xf numFmtId="0" fontId="40" fillId="36" borderId="0" xfId="45" applyNumberFormat="1" applyFont="1" applyFill="1"/>
    <xf numFmtId="167" fontId="40" fillId="36" borderId="0" xfId="0" applyNumberFormat="1" applyFont="1" applyFill="1"/>
    <xf numFmtId="167" fontId="40" fillId="36" borderId="0" xfId="44" applyNumberFormat="1" applyFont="1" applyFill="1"/>
    <xf numFmtId="167" fontId="40" fillId="35" borderId="0" xfId="0" applyNumberFormat="1" applyFont="1" applyFill="1"/>
    <xf numFmtId="0" fontId="40" fillId="36" borderId="0" xfId="44" applyNumberFormat="1" applyFont="1" applyFill="1"/>
    <xf numFmtId="166" fontId="40" fillId="36" borderId="0" xfId="44" applyNumberFormat="1" applyFont="1" applyFill="1"/>
    <xf numFmtId="168" fontId="40" fillId="35" borderId="0" xfId="0" applyNumberFormat="1" applyFont="1" applyFill="1"/>
    <xf numFmtId="164" fontId="40" fillId="36" borderId="0" xfId="1" applyFont="1" applyFill="1"/>
    <xf numFmtId="2" fontId="0" fillId="37" borderId="0" xfId="0" applyNumberFormat="1" applyFill="1"/>
    <xf numFmtId="0" fontId="0" fillId="36" borderId="0" xfId="44" applyNumberFormat="1" applyFont="1" applyFill="1"/>
    <xf numFmtId="0" fontId="40" fillId="37" borderId="0" xfId="0" applyFont="1" applyFill="1"/>
    <xf numFmtId="0" fontId="40" fillId="37" borderId="0" xfId="45" applyNumberFormat="1" applyFont="1" applyFill="1"/>
    <xf numFmtId="0" fontId="40" fillId="37" borderId="0" xfId="44" applyNumberFormat="1" applyFont="1" applyFill="1"/>
    <xf numFmtId="167" fontId="40" fillId="37" borderId="0" xfId="44" applyNumberFormat="1" applyFont="1" applyFill="1"/>
    <xf numFmtId="0" fontId="0" fillId="37" borderId="0" xfId="44" applyNumberFormat="1" applyFont="1" applyFill="1"/>
    <xf numFmtId="164" fontId="40" fillId="37" borderId="0" xfId="1" applyFont="1" applyFill="1"/>
    <xf numFmtId="166" fontId="0" fillId="37" borderId="0" xfId="45" applyNumberFormat="1" applyFont="1" applyFill="1"/>
    <xf numFmtId="166" fontId="0" fillId="0" borderId="0" xfId="0" applyNumberFormat="1"/>
    <xf numFmtId="169" fontId="0" fillId="37" borderId="0" xfId="45" applyNumberFormat="1" applyFont="1" applyFill="1"/>
    <xf numFmtId="166" fontId="0" fillId="36" borderId="0" xfId="45" applyNumberFormat="1" applyFont="1" applyFill="1"/>
    <xf numFmtId="167" fontId="0" fillId="36" borderId="0" xfId="44" applyNumberFormat="1" applyFont="1" applyFill="1"/>
    <xf numFmtId="167" fontId="0" fillId="37" borderId="0" xfId="0" applyNumberFormat="1" applyFill="1"/>
    <xf numFmtId="167" fontId="0" fillId="35" borderId="0" xfId="0" applyNumberFormat="1" applyFill="1"/>
    <xf numFmtId="167" fontId="0" fillId="37" borderId="0" xfId="44" applyNumberFormat="1" applyFont="1" applyFill="1"/>
    <xf numFmtId="0" fontId="0" fillId="35" borderId="0" xfId="0" applyFill="1"/>
    <xf numFmtId="0" fontId="0" fillId="36" borderId="0" xfId="0" applyFill="1"/>
    <xf numFmtId="166" fontId="0" fillId="36" borderId="0" xfId="0" applyNumberFormat="1" applyFill="1"/>
    <xf numFmtId="166" fontId="0" fillId="37" borderId="0" xfId="0" applyNumberFormat="1" applyFill="1"/>
    <xf numFmtId="166" fontId="0" fillId="35" borderId="0" xfId="0" applyNumberFormat="1" applyFill="1"/>
    <xf numFmtId="0" fontId="0" fillId="37" borderId="0" xfId="45" applyNumberFormat="1" applyFont="1" applyFill="1"/>
    <xf numFmtId="167" fontId="0" fillId="36" borderId="0" xfId="0" applyNumberFormat="1" applyFill="1"/>
    <xf numFmtId="167" fontId="41" fillId="37" borderId="0" xfId="44" applyNumberFormat="1" applyFont="1" applyFill="1"/>
    <xf numFmtId="167" fontId="41" fillId="36" borderId="0" xfId="44" applyNumberFormat="1" applyFont="1" applyFill="1"/>
    <xf numFmtId="16" fontId="0" fillId="35" borderId="0" xfId="0" applyNumberFormat="1" applyFill="1" applyAlignment="1">
      <alignment horizontal="center" vertical="center"/>
    </xf>
    <xf numFmtId="169" fontId="0" fillId="36" borderId="0" xfId="45" applyNumberFormat="1" applyFont="1" applyFill="1"/>
    <xf numFmtId="166" fontId="0" fillId="37" borderId="0" xfId="1" applyNumberFormat="1" applyFont="1" applyFill="1"/>
    <xf numFmtId="167" fontId="0" fillId="36" borderId="0" xfId="45" applyNumberFormat="1" applyFont="1" applyFill="1"/>
    <xf numFmtId="167" fontId="40" fillId="37" borderId="0" xfId="44" applyNumberFormat="1" applyFont="1" applyFill="1" applyBorder="1"/>
    <xf numFmtId="167" fontId="40" fillId="37" borderId="0" xfId="45" applyNumberFormat="1" applyFont="1" applyFill="1" applyBorder="1"/>
    <xf numFmtId="167" fontId="40" fillId="36" borderId="0" xfId="44" applyNumberFormat="1" applyFont="1" applyFill="1" applyBorder="1"/>
    <xf numFmtId="167" fontId="0" fillId="36" borderId="0" xfId="45" applyNumberFormat="1" applyFont="1" applyFill="1" applyBorder="1"/>
    <xf numFmtId="164" fontId="0" fillId="36" borderId="0" xfId="1" applyFont="1" applyFill="1"/>
    <xf numFmtId="166" fontId="1" fillId="37" borderId="0" xfId="45" applyNumberFormat="1" applyFont="1" applyFill="1"/>
    <xf numFmtId="49" fontId="40" fillId="37" borderId="0" xfId="44" applyNumberFormat="1" applyFont="1" applyFill="1" applyBorder="1" applyAlignment="1">
      <alignment vertical="center"/>
    </xf>
    <xf numFmtId="49" fontId="0" fillId="36" borderId="0" xfId="44" applyNumberFormat="1" applyFont="1" applyFill="1" applyBorder="1" applyAlignment="1">
      <alignment vertical="center"/>
    </xf>
    <xf numFmtId="49" fontId="0" fillId="36" borderId="0" xfId="0" applyNumberFormat="1" applyFill="1" applyAlignment="1">
      <alignment vertical="center"/>
    </xf>
    <xf numFmtId="167" fontId="1" fillId="37" borderId="0" xfId="44" applyNumberFormat="1" applyFont="1" applyFill="1"/>
    <xf numFmtId="167" fontId="1" fillId="36" borderId="0" xfId="44" applyNumberFormat="1" applyFont="1" applyFill="1"/>
    <xf numFmtId="167" fontId="14" fillId="37" borderId="0" xfId="44" applyNumberFormat="1" applyFont="1" applyFill="1"/>
    <xf numFmtId="167" fontId="14" fillId="36" borderId="0" xfId="44" applyNumberFormat="1" applyFont="1" applyFill="1"/>
    <xf numFmtId="166" fontId="0" fillId="0" borderId="0" xfId="45" applyNumberFormat="1" applyFont="1" applyFill="1"/>
    <xf numFmtId="167" fontId="0" fillId="0" borderId="0" xfId="44" applyNumberFormat="1" applyFont="1" applyFill="1"/>
    <xf numFmtId="166" fontId="41" fillId="36" borderId="0" xfId="44" applyNumberFormat="1" applyFont="1" applyFill="1"/>
    <xf numFmtId="167" fontId="45" fillId="37" borderId="0" xfId="44" applyNumberFormat="1" applyFont="1" applyFill="1"/>
    <xf numFmtId="166" fontId="1" fillId="37" borderId="0" xfId="44" applyNumberFormat="1" applyFont="1" applyFill="1"/>
    <xf numFmtId="165" fontId="1" fillId="36" borderId="0" xfId="45" applyFont="1" applyFill="1"/>
    <xf numFmtId="10" fontId="1" fillId="37" borderId="0" xfId="44" applyNumberFormat="1" applyFont="1" applyFill="1"/>
    <xf numFmtId="166" fontId="0" fillId="36" borderId="0" xfId="44" applyNumberFormat="1" applyFont="1" applyFill="1"/>
    <xf numFmtId="168" fontId="0" fillId="35" borderId="0" xfId="0" applyNumberFormat="1" applyFill="1"/>
    <xf numFmtId="164" fontId="0" fillId="37" borderId="0" xfId="1" applyFont="1" applyFill="1"/>
    <xf numFmtId="167" fontId="0" fillId="37" borderId="0" xfId="45" applyNumberFormat="1" applyFont="1" applyFill="1" applyBorder="1"/>
    <xf numFmtId="0" fontId="1" fillId="37" borderId="0" xfId="44" applyNumberFormat="1" applyFont="1" applyFill="1" applyAlignment="1">
      <alignment horizontal="left"/>
    </xf>
    <xf numFmtId="0" fontId="1" fillId="36" borderId="0" xfId="45" applyNumberFormat="1" applyFont="1" applyFill="1"/>
    <xf numFmtId="0" fontId="1" fillId="37" borderId="0" xfId="44" applyNumberFormat="1" applyFont="1" applyFill="1"/>
    <xf numFmtId="166" fontId="0" fillId="37" borderId="0" xfId="44" applyNumberFormat="1" applyFont="1" applyFill="1"/>
    <xf numFmtId="165" fontId="0" fillId="36" borderId="0" xfId="45" applyFont="1" applyFill="1"/>
    <xf numFmtId="10" fontId="0" fillId="37" borderId="0" xfId="44" applyNumberFormat="1" applyFont="1" applyFill="1"/>
    <xf numFmtId="167" fontId="0" fillId="0" borderId="0" xfId="0" applyNumberFormat="1"/>
    <xf numFmtId="0" fontId="16" fillId="36" borderId="15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horizontal="center" vertical="center" wrapText="1"/>
    </xf>
    <xf numFmtId="0" fontId="16" fillId="36" borderId="17" xfId="0" applyFont="1" applyFill="1" applyBorder="1" applyAlignment="1">
      <alignment horizontal="center" vertical="center" wrapText="1"/>
    </xf>
    <xf numFmtId="0" fontId="40" fillId="0" borderId="0" xfId="0" applyFont="1" applyFill="1"/>
  </cellXfs>
  <cellStyles count="454">
    <cellStyle name="20% - Ênfase1" xfId="20" builtinId="30" customBuiltin="1"/>
    <cellStyle name="20% - Ênfase1 2" xfId="49" xr:uid="{00000000-0005-0000-0000-000001000000}"/>
    <cellStyle name="20% - Ênfase2" xfId="24" builtinId="34" customBuiltin="1"/>
    <cellStyle name="20% - Ênfase2 2" xfId="50" xr:uid="{00000000-0005-0000-0000-000003000000}"/>
    <cellStyle name="20% - Ênfase3" xfId="28" builtinId="38" customBuiltin="1"/>
    <cellStyle name="20% - Ênfase3 2" xfId="51" xr:uid="{00000000-0005-0000-0000-000005000000}"/>
    <cellStyle name="20% - Ênfase4" xfId="32" builtinId="42" customBuiltin="1"/>
    <cellStyle name="20% - Ênfase4 2" xfId="52" xr:uid="{00000000-0005-0000-0000-000007000000}"/>
    <cellStyle name="20% - Ênfase5" xfId="36" builtinId="46" customBuiltin="1"/>
    <cellStyle name="20% - Ênfase5 2" xfId="53" xr:uid="{00000000-0005-0000-0000-000009000000}"/>
    <cellStyle name="20% - Ênfase6" xfId="40" builtinId="50" customBuiltin="1"/>
    <cellStyle name="20% - Ênfase6 2" xfId="54" xr:uid="{00000000-0005-0000-0000-00000B000000}"/>
    <cellStyle name="40% - Ênfase1" xfId="21" builtinId="31" customBuiltin="1"/>
    <cellStyle name="40% - Ênfase1 2" xfId="55" xr:uid="{00000000-0005-0000-0000-00000D000000}"/>
    <cellStyle name="40% - Ênfase2" xfId="25" builtinId="35" customBuiltin="1"/>
    <cellStyle name="40% - Ênfase2 2" xfId="56" xr:uid="{00000000-0005-0000-0000-00000F000000}"/>
    <cellStyle name="40% - Ênfase3" xfId="29" builtinId="39" customBuiltin="1"/>
    <cellStyle name="40% - Ênfase3 2" xfId="57" xr:uid="{00000000-0005-0000-0000-000011000000}"/>
    <cellStyle name="40% - Ênfase4" xfId="33" builtinId="43" customBuiltin="1"/>
    <cellStyle name="40% - Ênfase4 2" xfId="58" xr:uid="{00000000-0005-0000-0000-000013000000}"/>
    <cellStyle name="40% - Ênfase5" xfId="37" builtinId="47" customBuiltin="1"/>
    <cellStyle name="40% - Ênfase5 2" xfId="59" xr:uid="{00000000-0005-0000-0000-000015000000}"/>
    <cellStyle name="40% - Ênfase6" xfId="41" builtinId="51" customBuiltin="1"/>
    <cellStyle name="40% - Ênfase6 2" xfId="60" xr:uid="{00000000-0005-0000-0000-000017000000}"/>
    <cellStyle name="60% - Ênfase1" xfId="22" builtinId="32" customBuiltin="1"/>
    <cellStyle name="60% - Ênfase1 2" xfId="61" xr:uid="{00000000-0005-0000-0000-000019000000}"/>
    <cellStyle name="60% - Ênfase2" xfId="26" builtinId="36" customBuiltin="1"/>
    <cellStyle name="60% - Ênfase2 2" xfId="62" xr:uid="{00000000-0005-0000-0000-00001B000000}"/>
    <cellStyle name="60% - Ênfase3" xfId="30" builtinId="40" customBuiltin="1"/>
    <cellStyle name="60% - Ênfase3 2" xfId="63" xr:uid="{00000000-0005-0000-0000-00001D000000}"/>
    <cellStyle name="60% - Ênfase4" xfId="34" builtinId="44" customBuiltin="1"/>
    <cellStyle name="60% - Ênfase4 2" xfId="64" xr:uid="{00000000-0005-0000-0000-00001F000000}"/>
    <cellStyle name="60% - Ênfase5" xfId="38" builtinId="48" customBuiltin="1"/>
    <cellStyle name="60% - Ênfase5 2" xfId="65" xr:uid="{00000000-0005-0000-0000-000021000000}"/>
    <cellStyle name="60% - Ênfase6" xfId="42" builtinId="52" customBuiltin="1"/>
    <cellStyle name="60% - Ênfase6 2" xfId="66" xr:uid="{00000000-0005-0000-0000-000023000000}"/>
    <cellStyle name="Bom" xfId="7" builtinId="26" customBuiltin="1"/>
    <cellStyle name="Bom 2" xfId="67" xr:uid="{00000000-0005-0000-0000-000025000000}"/>
    <cellStyle name="Cálculo" xfId="12" builtinId="22" customBuiltin="1"/>
    <cellStyle name="Cálculo 2" xfId="68" xr:uid="{00000000-0005-0000-0000-000027000000}"/>
    <cellStyle name="Célula de Verificação" xfId="14" builtinId="23" customBuiltin="1"/>
    <cellStyle name="Célula de Verificação 2" xfId="69" xr:uid="{00000000-0005-0000-0000-000029000000}"/>
    <cellStyle name="Célula Vinculada" xfId="13" builtinId="24" customBuiltin="1"/>
    <cellStyle name="Célula Vinculada 2" xfId="70" xr:uid="{00000000-0005-0000-0000-00002B000000}"/>
    <cellStyle name="Ênfase1" xfId="19" builtinId="29" customBuiltin="1"/>
    <cellStyle name="Ênfase1 2" xfId="71" xr:uid="{00000000-0005-0000-0000-00002D000000}"/>
    <cellStyle name="Ênfase2" xfId="23" builtinId="33" customBuiltin="1"/>
    <cellStyle name="Ênfase2 2" xfId="72" xr:uid="{00000000-0005-0000-0000-00002F000000}"/>
    <cellStyle name="Ênfase3" xfId="27" builtinId="37" customBuiltin="1"/>
    <cellStyle name="Ênfase3 2" xfId="73" xr:uid="{00000000-0005-0000-0000-000031000000}"/>
    <cellStyle name="Ênfase4" xfId="31" builtinId="41" customBuiltin="1"/>
    <cellStyle name="Ênfase4 2" xfId="74" xr:uid="{00000000-0005-0000-0000-000033000000}"/>
    <cellStyle name="Ênfase5" xfId="35" builtinId="45" customBuiltin="1"/>
    <cellStyle name="Ênfase5 2" xfId="75" xr:uid="{00000000-0005-0000-0000-000035000000}"/>
    <cellStyle name="Ênfase6" xfId="39" builtinId="49" customBuiltin="1"/>
    <cellStyle name="Ênfase6 2" xfId="76" xr:uid="{00000000-0005-0000-0000-000037000000}"/>
    <cellStyle name="Entrada" xfId="10" builtinId="20" customBuiltin="1"/>
    <cellStyle name="Entrada 2" xfId="77" xr:uid="{00000000-0005-0000-0000-000039000000}"/>
    <cellStyle name="Hiperlink" xfId="46" builtinId="8"/>
    <cellStyle name="Incorreto 2" xfId="78" xr:uid="{00000000-0005-0000-0000-00003C000000}"/>
    <cellStyle name="Moeda" xfId="1" builtinId="4"/>
    <cellStyle name="Moeda 10" xfId="123" xr:uid="{00000000-0005-0000-0000-00003E000000}"/>
    <cellStyle name="Moeda 10 2" xfId="274" xr:uid="{00000000-0005-0000-0000-00003F000000}"/>
    <cellStyle name="Moeda 11" xfId="127" xr:uid="{00000000-0005-0000-0000-000040000000}"/>
    <cellStyle name="Moeda 11 2" xfId="278" xr:uid="{00000000-0005-0000-0000-000041000000}"/>
    <cellStyle name="Moeda 12" xfId="131" xr:uid="{00000000-0005-0000-0000-000042000000}"/>
    <cellStyle name="Moeda 12 2" xfId="282" xr:uid="{00000000-0005-0000-0000-000043000000}"/>
    <cellStyle name="Moeda 13" xfId="135" xr:uid="{00000000-0005-0000-0000-000044000000}"/>
    <cellStyle name="Moeda 13 2" xfId="286" xr:uid="{00000000-0005-0000-0000-000045000000}"/>
    <cellStyle name="Moeda 14" xfId="139" xr:uid="{00000000-0005-0000-0000-000046000000}"/>
    <cellStyle name="Moeda 14 2" xfId="290" xr:uid="{00000000-0005-0000-0000-000047000000}"/>
    <cellStyle name="Moeda 15" xfId="143" xr:uid="{00000000-0005-0000-0000-000048000000}"/>
    <cellStyle name="Moeda 15 2" xfId="294" xr:uid="{00000000-0005-0000-0000-000049000000}"/>
    <cellStyle name="Moeda 16" xfId="147" xr:uid="{00000000-0005-0000-0000-00004A000000}"/>
    <cellStyle name="Moeda 16 2" xfId="298" xr:uid="{00000000-0005-0000-0000-00004B000000}"/>
    <cellStyle name="Moeda 17" xfId="151" xr:uid="{00000000-0005-0000-0000-00004C000000}"/>
    <cellStyle name="Moeda 17 2" xfId="302" xr:uid="{00000000-0005-0000-0000-00004D000000}"/>
    <cellStyle name="Moeda 18" xfId="155" xr:uid="{00000000-0005-0000-0000-00004E000000}"/>
    <cellStyle name="Moeda 18 2" xfId="306" xr:uid="{00000000-0005-0000-0000-00004F000000}"/>
    <cellStyle name="Moeda 19" xfId="159" xr:uid="{00000000-0005-0000-0000-000050000000}"/>
    <cellStyle name="Moeda 19 2" xfId="310" xr:uid="{00000000-0005-0000-0000-000051000000}"/>
    <cellStyle name="Moeda 2" xfId="79" xr:uid="{00000000-0005-0000-0000-000052000000}"/>
    <cellStyle name="Moeda 2 10" xfId="132" xr:uid="{00000000-0005-0000-0000-000053000000}"/>
    <cellStyle name="Moeda 2 10 2" xfId="283" xr:uid="{00000000-0005-0000-0000-000054000000}"/>
    <cellStyle name="Moeda 2 11" xfId="136" xr:uid="{00000000-0005-0000-0000-000055000000}"/>
    <cellStyle name="Moeda 2 11 2" xfId="287" xr:uid="{00000000-0005-0000-0000-000056000000}"/>
    <cellStyle name="Moeda 2 12" xfId="140" xr:uid="{00000000-0005-0000-0000-000057000000}"/>
    <cellStyle name="Moeda 2 12 2" xfId="291" xr:uid="{00000000-0005-0000-0000-000058000000}"/>
    <cellStyle name="Moeda 2 13" xfId="144" xr:uid="{00000000-0005-0000-0000-000059000000}"/>
    <cellStyle name="Moeda 2 13 2" xfId="295" xr:uid="{00000000-0005-0000-0000-00005A000000}"/>
    <cellStyle name="Moeda 2 14" xfId="148" xr:uid="{00000000-0005-0000-0000-00005B000000}"/>
    <cellStyle name="Moeda 2 14 2" xfId="299" xr:uid="{00000000-0005-0000-0000-00005C000000}"/>
    <cellStyle name="Moeda 2 15" xfId="152" xr:uid="{00000000-0005-0000-0000-00005D000000}"/>
    <cellStyle name="Moeda 2 15 2" xfId="303" xr:uid="{00000000-0005-0000-0000-00005E000000}"/>
    <cellStyle name="Moeda 2 16" xfId="156" xr:uid="{00000000-0005-0000-0000-00005F000000}"/>
    <cellStyle name="Moeda 2 16 2" xfId="307" xr:uid="{00000000-0005-0000-0000-000060000000}"/>
    <cellStyle name="Moeda 2 17" xfId="160" xr:uid="{00000000-0005-0000-0000-000061000000}"/>
    <cellStyle name="Moeda 2 17 2" xfId="311" xr:uid="{00000000-0005-0000-0000-000062000000}"/>
    <cellStyle name="Moeda 2 18" xfId="164" xr:uid="{00000000-0005-0000-0000-000063000000}"/>
    <cellStyle name="Moeda 2 18 2" xfId="315" xr:uid="{00000000-0005-0000-0000-000064000000}"/>
    <cellStyle name="Moeda 2 19" xfId="168" xr:uid="{00000000-0005-0000-0000-000065000000}"/>
    <cellStyle name="Moeda 2 19 2" xfId="319" xr:uid="{00000000-0005-0000-0000-000066000000}"/>
    <cellStyle name="Moeda 2 2" xfId="100" xr:uid="{00000000-0005-0000-0000-000067000000}"/>
    <cellStyle name="Moeda 2 2 2" xfId="251" xr:uid="{00000000-0005-0000-0000-000068000000}"/>
    <cellStyle name="Moeda 2 2 3" xfId="405" xr:uid="{00000000-0005-0000-0000-000069000000}"/>
    <cellStyle name="Moeda 2 2 4" xfId="414" xr:uid="{00000000-0005-0000-0000-00006A000000}"/>
    <cellStyle name="Moeda 2 2 5" xfId="431" xr:uid="{00000000-0005-0000-0000-00006B000000}"/>
    <cellStyle name="Moeda 2 2 6" xfId="440" xr:uid="{00000000-0005-0000-0000-00006C000000}"/>
    <cellStyle name="Moeda 2 2 7" xfId="449" xr:uid="{00000000-0005-0000-0000-00006D000000}"/>
    <cellStyle name="Moeda 2 20" xfId="172" xr:uid="{00000000-0005-0000-0000-00006E000000}"/>
    <cellStyle name="Moeda 2 20 2" xfId="323" xr:uid="{00000000-0005-0000-0000-00006F000000}"/>
    <cellStyle name="Moeda 2 21" xfId="176" xr:uid="{00000000-0005-0000-0000-000070000000}"/>
    <cellStyle name="Moeda 2 21 2" xfId="327" xr:uid="{00000000-0005-0000-0000-000071000000}"/>
    <cellStyle name="Moeda 2 22" xfId="180" xr:uid="{00000000-0005-0000-0000-000072000000}"/>
    <cellStyle name="Moeda 2 22 2" xfId="331" xr:uid="{00000000-0005-0000-0000-000073000000}"/>
    <cellStyle name="Moeda 2 23" xfId="184" xr:uid="{00000000-0005-0000-0000-000074000000}"/>
    <cellStyle name="Moeda 2 23 2" xfId="335" xr:uid="{00000000-0005-0000-0000-000075000000}"/>
    <cellStyle name="Moeda 2 24" xfId="188" xr:uid="{00000000-0005-0000-0000-000076000000}"/>
    <cellStyle name="Moeda 2 24 2" xfId="339" xr:uid="{00000000-0005-0000-0000-000077000000}"/>
    <cellStyle name="Moeda 2 25" xfId="192" xr:uid="{00000000-0005-0000-0000-000078000000}"/>
    <cellStyle name="Moeda 2 25 2" xfId="343" xr:uid="{00000000-0005-0000-0000-000079000000}"/>
    <cellStyle name="Moeda 2 26" xfId="196" xr:uid="{00000000-0005-0000-0000-00007A000000}"/>
    <cellStyle name="Moeda 2 26 2" xfId="347" xr:uid="{00000000-0005-0000-0000-00007B000000}"/>
    <cellStyle name="Moeda 2 27" xfId="200" xr:uid="{00000000-0005-0000-0000-00007C000000}"/>
    <cellStyle name="Moeda 2 27 2" xfId="351" xr:uid="{00000000-0005-0000-0000-00007D000000}"/>
    <cellStyle name="Moeda 2 28" xfId="204" xr:uid="{00000000-0005-0000-0000-00007E000000}"/>
    <cellStyle name="Moeda 2 28 2" xfId="355" xr:uid="{00000000-0005-0000-0000-00007F000000}"/>
    <cellStyle name="Moeda 2 29" xfId="208" xr:uid="{00000000-0005-0000-0000-000080000000}"/>
    <cellStyle name="Moeda 2 29 2" xfId="359" xr:uid="{00000000-0005-0000-0000-000081000000}"/>
    <cellStyle name="Moeda 2 3" xfId="104" xr:uid="{00000000-0005-0000-0000-000082000000}"/>
    <cellStyle name="Moeda 2 3 2" xfId="255" xr:uid="{00000000-0005-0000-0000-000083000000}"/>
    <cellStyle name="Moeda 2 30" xfId="212" xr:uid="{00000000-0005-0000-0000-000084000000}"/>
    <cellStyle name="Moeda 2 30 2" xfId="363" xr:uid="{00000000-0005-0000-0000-000085000000}"/>
    <cellStyle name="Moeda 2 31" xfId="216" xr:uid="{00000000-0005-0000-0000-000086000000}"/>
    <cellStyle name="Moeda 2 31 2" xfId="367" xr:uid="{00000000-0005-0000-0000-000087000000}"/>
    <cellStyle name="Moeda 2 32" xfId="220" xr:uid="{00000000-0005-0000-0000-000088000000}"/>
    <cellStyle name="Moeda 2 32 2" xfId="371" xr:uid="{00000000-0005-0000-0000-000089000000}"/>
    <cellStyle name="Moeda 2 33" xfId="224" xr:uid="{00000000-0005-0000-0000-00008A000000}"/>
    <cellStyle name="Moeda 2 33 2" xfId="375" xr:uid="{00000000-0005-0000-0000-00008B000000}"/>
    <cellStyle name="Moeda 2 34" xfId="228" xr:uid="{00000000-0005-0000-0000-00008C000000}"/>
    <cellStyle name="Moeda 2 34 2" xfId="379" xr:uid="{00000000-0005-0000-0000-00008D000000}"/>
    <cellStyle name="Moeda 2 35" xfId="232" xr:uid="{00000000-0005-0000-0000-00008E000000}"/>
    <cellStyle name="Moeda 2 35 2" xfId="383" xr:uid="{00000000-0005-0000-0000-00008F000000}"/>
    <cellStyle name="Moeda 2 36" xfId="236" xr:uid="{00000000-0005-0000-0000-000090000000}"/>
    <cellStyle name="Moeda 2 36 2" xfId="387" xr:uid="{00000000-0005-0000-0000-000091000000}"/>
    <cellStyle name="Moeda 2 37" xfId="240" xr:uid="{00000000-0005-0000-0000-000092000000}"/>
    <cellStyle name="Moeda 2 37 2" xfId="391" xr:uid="{00000000-0005-0000-0000-000093000000}"/>
    <cellStyle name="Moeda 2 38" xfId="245" xr:uid="{00000000-0005-0000-0000-000094000000}"/>
    <cellStyle name="Moeda 2 38 2" xfId="396" xr:uid="{00000000-0005-0000-0000-000095000000}"/>
    <cellStyle name="Moeda 2 39" xfId="401" xr:uid="{00000000-0005-0000-0000-000096000000}"/>
    <cellStyle name="Moeda 2 4" xfId="108" xr:uid="{00000000-0005-0000-0000-000097000000}"/>
    <cellStyle name="Moeda 2 4 2" xfId="259" xr:uid="{00000000-0005-0000-0000-000098000000}"/>
    <cellStyle name="Moeda 2 40" xfId="410" xr:uid="{00000000-0005-0000-0000-000099000000}"/>
    <cellStyle name="Moeda 2 41" xfId="418" xr:uid="{00000000-0005-0000-0000-00009A000000}"/>
    <cellStyle name="Moeda 2 42" xfId="420" xr:uid="{00000000-0005-0000-0000-00009B000000}"/>
    <cellStyle name="Moeda 2 43" xfId="422" xr:uid="{00000000-0005-0000-0000-00009C000000}"/>
    <cellStyle name="Moeda 2 44" xfId="424" xr:uid="{00000000-0005-0000-0000-00009D000000}"/>
    <cellStyle name="Moeda 2 45" xfId="427" xr:uid="{00000000-0005-0000-0000-00009E000000}"/>
    <cellStyle name="Moeda 2 46" xfId="437" xr:uid="{00000000-0005-0000-0000-00009F000000}"/>
    <cellStyle name="Moeda 2 47" xfId="445" xr:uid="{00000000-0005-0000-0000-0000A0000000}"/>
    <cellStyle name="Moeda 2 48" xfId="453" xr:uid="{23A274F5-6762-4C4C-98DC-779DD12CA6AB}"/>
    <cellStyle name="Moeda 2 5" xfId="112" xr:uid="{00000000-0005-0000-0000-0000A1000000}"/>
    <cellStyle name="Moeda 2 5 2" xfId="263" xr:uid="{00000000-0005-0000-0000-0000A2000000}"/>
    <cellStyle name="Moeda 2 6" xfId="116" xr:uid="{00000000-0005-0000-0000-0000A3000000}"/>
    <cellStyle name="Moeda 2 6 2" xfId="267" xr:uid="{00000000-0005-0000-0000-0000A4000000}"/>
    <cellStyle name="Moeda 2 7" xfId="120" xr:uid="{00000000-0005-0000-0000-0000A5000000}"/>
    <cellStyle name="Moeda 2 7 2" xfId="271" xr:uid="{00000000-0005-0000-0000-0000A6000000}"/>
    <cellStyle name="Moeda 2 8" xfId="124" xr:uid="{00000000-0005-0000-0000-0000A7000000}"/>
    <cellStyle name="Moeda 2 8 2" xfId="275" xr:uid="{00000000-0005-0000-0000-0000A8000000}"/>
    <cellStyle name="Moeda 2 9" xfId="128" xr:uid="{00000000-0005-0000-0000-0000A9000000}"/>
    <cellStyle name="Moeda 2 9 2" xfId="279" xr:uid="{00000000-0005-0000-0000-0000AA000000}"/>
    <cellStyle name="Moeda 20" xfId="163" xr:uid="{00000000-0005-0000-0000-0000AB000000}"/>
    <cellStyle name="Moeda 20 2" xfId="314" xr:uid="{00000000-0005-0000-0000-0000AC000000}"/>
    <cellStyle name="Moeda 21" xfId="167" xr:uid="{00000000-0005-0000-0000-0000AD000000}"/>
    <cellStyle name="Moeda 21 2" xfId="318" xr:uid="{00000000-0005-0000-0000-0000AE000000}"/>
    <cellStyle name="Moeda 22" xfId="171" xr:uid="{00000000-0005-0000-0000-0000AF000000}"/>
    <cellStyle name="Moeda 22 2" xfId="322" xr:uid="{00000000-0005-0000-0000-0000B0000000}"/>
    <cellStyle name="Moeda 23" xfId="175" xr:uid="{00000000-0005-0000-0000-0000B1000000}"/>
    <cellStyle name="Moeda 23 2" xfId="326" xr:uid="{00000000-0005-0000-0000-0000B2000000}"/>
    <cellStyle name="Moeda 24" xfId="179" xr:uid="{00000000-0005-0000-0000-0000B3000000}"/>
    <cellStyle name="Moeda 24 2" xfId="330" xr:uid="{00000000-0005-0000-0000-0000B4000000}"/>
    <cellStyle name="Moeda 25" xfId="183" xr:uid="{00000000-0005-0000-0000-0000B5000000}"/>
    <cellStyle name="Moeda 25 2" xfId="334" xr:uid="{00000000-0005-0000-0000-0000B6000000}"/>
    <cellStyle name="Moeda 26" xfId="187" xr:uid="{00000000-0005-0000-0000-0000B7000000}"/>
    <cellStyle name="Moeda 26 2" xfId="338" xr:uid="{00000000-0005-0000-0000-0000B8000000}"/>
    <cellStyle name="Moeda 27" xfId="191" xr:uid="{00000000-0005-0000-0000-0000B9000000}"/>
    <cellStyle name="Moeda 27 2" xfId="342" xr:uid="{00000000-0005-0000-0000-0000BA000000}"/>
    <cellStyle name="Moeda 28" xfId="195" xr:uid="{00000000-0005-0000-0000-0000BB000000}"/>
    <cellStyle name="Moeda 28 2" xfId="346" xr:uid="{00000000-0005-0000-0000-0000BC000000}"/>
    <cellStyle name="Moeda 29" xfId="199" xr:uid="{00000000-0005-0000-0000-0000BD000000}"/>
    <cellStyle name="Moeda 29 2" xfId="350" xr:uid="{00000000-0005-0000-0000-0000BE000000}"/>
    <cellStyle name="Moeda 3" xfId="48" xr:uid="{00000000-0005-0000-0000-0000BF000000}"/>
    <cellStyle name="Moeda 3 2" xfId="248" xr:uid="{00000000-0005-0000-0000-0000C0000000}"/>
    <cellStyle name="Moeda 3 3" xfId="404" xr:uid="{00000000-0005-0000-0000-0000C1000000}"/>
    <cellStyle name="Moeda 3 4" xfId="413" xr:uid="{00000000-0005-0000-0000-0000C2000000}"/>
    <cellStyle name="Moeda 3 5" xfId="430" xr:uid="{00000000-0005-0000-0000-0000C3000000}"/>
    <cellStyle name="Moeda 3 6" xfId="439" xr:uid="{00000000-0005-0000-0000-0000C4000000}"/>
    <cellStyle name="Moeda 3 7" xfId="448" xr:uid="{00000000-0005-0000-0000-0000C5000000}"/>
    <cellStyle name="Moeda 30" xfId="203" xr:uid="{00000000-0005-0000-0000-0000C6000000}"/>
    <cellStyle name="Moeda 30 2" xfId="354" xr:uid="{00000000-0005-0000-0000-0000C7000000}"/>
    <cellStyle name="Moeda 31" xfId="207" xr:uid="{00000000-0005-0000-0000-0000C8000000}"/>
    <cellStyle name="Moeda 31 2" xfId="358" xr:uid="{00000000-0005-0000-0000-0000C9000000}"/>
    <cellStyle name="Moeda 32" xfId="211" xr:uid="{00000000-0005-0000-0000-0000CA000000}"/>
    <cellStyle name="Moeda 32 2" xfId="362" xr:uid="{00000000-0005-0000-0000-0000CB000000}"/>
    <cellStyle name="Moeda 33" xfId="215" xr:uid="{00000000-0005-0000-0000-0000CC000000}"/>
    <cellStyle name="Moeda 33 2" xfId="366" xr:uid="{00000000-0005-0000-0000-0000CD000000}"/>
    <cellStyle name="Moeda 34" xfId="219" xr:uid="{00000000-0005-0000-0000-0000CE000000}"/>
    <cellStyle name="Moeda 34 2" xfId="370" xr:uid="{00000000-0005-0000-0000-0000CF000000}"/>
    <cellStyle name="Moeda 35" xfId="223" xr:uid="{00000000-0005-0000-0000-0000D0000000}"/>
    <cellStyle name="Moeda 35 2" xfId="374" xr:uid="{00000000-0005-0000-0000-0000D1000000}"/>
    <cellStyle name="Moeda 36" xfId="227" xr:uid="{00000000-0005-0000-0000-0000D2000000}"/>
    <cellStyle name="Moeda 36 2" xfId="378" xr:uid="{00000000-0005-0000-0000-0000D3000000}"/>
    <cellStyle name="Moeda 37" xfId="231" xr:uid="{00000000-0005-0000-0000-0000D4000000}"/>
    <cellStyle name="Moeda 37 2" xfId="382" xr:uid="{00000000-0005-0000-0000-0000D5000000}"/>
    <cellStyle name="Moeda 38" xfId="235" xr:uid="{00000000-0005-0000-0000-0000D6000000}"/>
    <cellStyle name="Moeda 38 2" xfId="386" xr:uid="{00000000-0005-0000-0000-0000D7000000}"/>
    <cellStyle name="Moeda 39" xfId="239" xr:uid="{00000000-0005-0000-0000-0000D8000000}"/>
    <cellStyle name="Moeda 39 2" xfId="390" xr:uid="{00000000-0005-0000-0000-0000D9000000}"/>
    <cellStyle name="Moeda 4" xfId="99" xr:uid="{00000000-0005-0000-0000-0000DA000000}"/>
    <cellStyle name="Moeda 4 2" xfId="250" xr:uid="{00000000-0005-0000-0000-0000DB000000}"/>
    <cellStyle name="Moeda 40" xfId="244" xr:uid="{00000000-0005-0000-0000-0000DC000000}"/>
    <cellStyle name="Moeda 40 2" xfId="395" xr:uid="{00000000-0005-0000-0000-0000DD000000}"/>
    <cellStyle name="Moeda 41" xfId="400" xr:uid="{00000000-0005-0000-0000-0000DE000000}"/>
    <cellStyle name="Moeda 42" xfId="409" xr:uid="{00000000-0005-0000-0000-0000DF000000}"/>
    <cellStyle name="Moeda 43" xfId="417" xr:uid="{00000000-0005-0000-0000-0000E0000000}"/>
    <cellStyle name="Moeda 44" xfId="419" xr:uid="{00000000-0005-0000-0000-0000E1000000}"/>
    <cellStyle name="Moeda 45" xfId="421" xr:uid="{00000000-0005-0000-0000-0000E2000000}"/>
    <cellStyle name="Moeda 46" xfId="423" xr:uid="{00000000-0005-0000-0000-0000E3000000}"/>
    <cellStyle name="Moeda 47" xfId="426" xr:uid="{00000000-0005-0000-0000-0000E4000000}"/>
    <cellStyle name="Moeda 48" xfId="434" xr:uid="{00000000-0005-0000-0000-0000E5000000}"/>
    <cellStyle name="Moeda 49" xfId="444" xr:uid="{00000000-0005-0000-0000-0000E6000000}"/>
    <cellStyle name="Moeda 5" xfId="103" xr:uid="{00000000-0005-0000-0000-0000E7000000}"/>
    <cellStyle name="Moeda 5 2" xfId="254" xr:uid="{00000000-0005-0000-0000-0000E8000000}"/>
    <cellStyle name="Moeda 50" xfId="452" xr:uid="{151A7B9A-E9C8-4ABE-86FF-282B474182E3}"/>
    <cellStyle name="Moeda 6" xfId="107" xr:uid="{00000000-0005-0000-0000-0000E9000000}"/>
    <cellStyle name="Moeda 6 2" xfId="258" xr:uid="{00000000-0005-0000-0000-0000EA000000}"/>
    <cellStyle name="Moeda 7" xfId="111" xr:uid="{00000000-0005-0000-0000-0000EB000000}"/>
    <cellStyle name="Moeda 7 2" xfId="262" xr:uid="{00000000-0005-0000-0000-0000EC000000}"/>
    <cellStyle name="Moeda 8" xfId="115" xr:uid="{00000000-0005-0000-0000-0000ED000000}"/>
    <cellStyle name="Moeda 8 2" xfId="266" xr:uid="{00000000-0005-0000-0000-0000EE000000}"/>
    <cellStyle name="Moeda 9" xfId="119" xr:uid="{00000000-0005-0000-0000-0000EF000000}"/>
    <cellStyle name="Moeda 9 2" xfId="270" xr:uid="{00000000-0005-0000-0000-0000F0000000}"/>
    <cellStyle name="Neutra 2" xfId="80" xr:uid="{00000000-0005-0000-0000-0000F2000000}"/>
    <cellStyle name="Neutro" xfId="9" builtinId="28" customBuiltin="1"/>
    <cellStyle name="Normal" xfId="0" builtinId="0"/>
    <cellStyle name="Normal 2" xfId="43" xr:uid="{00000000-0005-0000-0000-0000F4000000}"/>
    <cellStyle name="Normal 3" xfId="81" xr:uid="{00000000-0005-0000-0000-0000F5000000}"/>
    <cellStyle name="Normal 5" xfId="82" xr:uid="{00000000-0005-0000-0000-0000F6000000}"/>
    <cellStyle name="Nota" xfId="16" builtinId="10" customBuiltin="1"/>
    <cellStyle name="Nota 2" xfId="83" xr:uid="{00000000-0005-0000-0000-0000F8000000}"/>
    <cellStyle name="Porcentagem" xfId="44" builtinId="5"/>
    <cellStyle name="Porcentagem 2" xfId="84" xr:uid="{00000000-0005-0000-0000-0000FA000000}"/>
    <cellStyle name="Ruim" xfId="8" builtinId="27" customBuiltin="1"/>
    <cellStyle name="Saída" xfId="11" builtinId="21" customBuiltin="1"/>
    <cellStyle name="Saída 2" xfId="85" xr:uid="{00000000-0005-0000-0000-0000FC000000}"/>
    <cellStyle name="Separador de milhares 2" xfId="86" xr:uid="{00000000-0005-0000-0000-0000FD000000}"/>
    <cellStyle name="Separador de milhares 2 2" xfId="241" xr:uid="{00000000-0005-0000-0000-0000FE000000}"/>
    <cellStyle name="Separador de milhares 2 2 2" xfId="392" xr:uid="{00000000-0005-0000-0000-0000FF000000}"/>
    <cellStyle name="Separador de milhares 2 2 3" xfId="406" xr:uid="{00000000-0005-0000-0000-000000010000}"/>
    <cellStyle name="Separador de milhares 2 2 4" xfId="415" xr:uid="{00000000-0005-0000-0000-000001010000}"/>
    <cellStyle name="Separador de milhares 2 2 5" xfId="432" xr:uid="{00000000-0005-0000-0000-000002010000}"/>
    <cellStyle name="Separador de milhares 2 2 6" xfId="441" xr:uid="{00000000-0005-0000-0000-000003010000}"/>
    <cellStyle name="Separador de milhares 2 2 7" xfId="450" xr:uid="{00000000-0005-0000-0000-000004010000}"/>
    <cellStyle name="Texto de Aviso" xfId="15" builtinId="11" customBuiltin="1"/>
    <cellStyle name="Texto de Aviso 2" xfId="87" xr:uid="{00000000-0005-0000-0000-000006010000}"/>
    <cellStyle name="Texto Explicativo" xfId="17" builtinId="53" customBuiltin="1"/>
    <cellStyle name="Texto Explicativo 2" xfId="88" xr:uid="{00000000-0005-0000-0000-000008010000}"/>
    <cellStyle name="Título" xfId="2" builtinId="15" customBuiltin="1"/>
    <cellStyle name="Título 1" xfId="3" builtinId="16" customBuiltin="1"/>
    <cellStyle name="Título 1 1" xfId="89" xr:uid="{00000000-0005-0000-0000-00000B010000}"/>
    <cellStyle name="Título 1 1 1" xfId="90" xr:uid="{00000000-0005-0000-0000-00000C010000}"/>
    <cellStyle name="Título 1 2" xfId="91" xr:uid="{00000000-0005-0000-0000-00000D010000}"/>
    <cellStyle name="Título 2" xfId="4" builtinId="17" customBuiltin="1"/>
    <cellStyle name="Título 2 2" xfId="92" xr:uid="{00000000-0005-0000-0000-00000F010000}"/>
    <cellStyle name="Título 3" xfId="5" builtinId="18" customBuiltin="1"/>
    <cellStyle name="Título 3 2" xfId="93" xr:uid="{00000000-0005-0000-0000-000011010000}"/>
    <cellStyle name="Título 4" xfId="6" builtinId="19" customBuiltin="1"/>
    <cellStyle name="Título 4 2" xfId="94" xr:uid="{00000000-0005-0000-0000-000013010000}"/>
    <cellStyle name="Total" xfId="18" builtinId="25" customBuiltin="1"/>
    <cellStyle name="Total 2" xfId="95" xr:uid="{00000000-0005-0000-0000-000015010000}"/>
    <cellStyle name="Vírgula" xfId="45" builtinId="3"/>
    <cellStyle name="Vírgula 10" xfId="122" xr:uid="{00000000-0005-0000-0000-000017010000}"/>
    <cellStyle name="Vírgula 10 2" xfId="273" xr:uid="{00000000-0005-0000-0000-000018010000}"/>
    <cellStyle name="Vírgula 11" xfId="126" xr:uid="{00000000-0005-0000-0000-000019010000}"/>
    <cellStyle name="Vírgula 11 2" xfId="277" xr:uid="{00000000-0005-0000-0000-00001A010000}"/>
    <cellStyle name="Vírgula 12" xfId="130" xr:uid="{00000000-0005-0000-0000-00001B010000}"/>
    <cellStyle name="Vírgula 12 2" xfId="281" xr:uid="{00000000-0005-0000-0000-00001C010000}"/>
    <cellStyle name="Vírgula 13" xfId="134" xr:uid="{00000000-0005-0000-0000-00001D010000}"/>
    <cellStyle name="Vírgula 13 2" xfId="285" xr:uid="{00000000-0005-0000-0000-00001E010000}"/>
    <cellStyle name="Vírgula 14" xfId="138" xr:uid="{00000000-0005-0000-0000-00001F010000}"/>
    <cellStyle name="Vírgula 14 2" xfId="289" xr:uid="{00000000-0005-0000-0000-000020010000}"/>
    <cellStyle name="Vírgula 15" xfId="142" xr:uid="{00000000-0005-0000-0000-000021010000}"/>
    <cellStyle name="Vírgula 15 2" xfId="293" xr:uid="{00000000-0005-0000-0000-000022010000}"/>
    <cellStyle name="Vírgula 16" xfId="146" xr:uid="{00000000-0005-0000-0000-000023010000}"/>
    <cellStyle name="Vírgula 16 2" xfId="297" xr:uid="{00000000-0005-0000-0000-000024010000}"/>
    <cellStyle name="Vírgula 17" xfId="150" xr:uid="{00000000-0005-0000-0000-000025010000}"/>
    <cellStyle name="Vírgula 17 2" xfId="301" xr:uid="{00000000-0005-0000-0000-000026010000}"/>
    <cellStyle name="Vírgula 18" xfId="154" xr:uid="{00000000-0005-0000-0000-000027010000}"/>
    <cellStyle name="Vírgula 18 2" xfId="305" xr:uid="{00000000-0005-0000-0000-000028010000}"/>
    <cellStyle name="Vírgula 19" xfId="158" xr:uid="{00000000-0005-0000-0000-000029010000}"/>
    <cellStyle name="Vírgula 19 2" xfId="309" xr:uid="{00000000-0005-0000-0000-00002A010000}"/>
    <cellStyle name="Vírgula 2" xfId="96" xr:uid="{00000000-0005-0000-0000-00002B010000}"/>
    <cellStyle name="Vírgula 2 2" xfId="97" xr:uid="{00000000-0005-0000-0000-00002C010000}"/>
    <cellStyle name="Vírgula 2 2 10" xfId="133" xr:uid="{00000000-0005-0000-0000-00002D010000}"/>
    <cellStyle name="Vírgula 2 2 10 2" xfId="284" xr:uid="{00000000-0005-0000-0000-00002E010000}"/>
    <cellStyle name="Vírgula 2 2 11" xfId="137" xr:uid="{00000000-0005-0000-0000-00002F010000}"/>
    <cellStyle name="Vírgula 2 2 11 2" xfId="288" xr:uid="{00000000-0005-0000-0000-000030010000}"/>
    <cellStyle name="Vírgula 2 2 12" xfId="141" xr:uid="{00000000-0005-0000-0000-000031010000}"/>
    <cellStyle name="Vírgula 2 2 12 2" xfId="292" xr:uid="{00000000-0005-0000-0000-000032010000}"/>
    <cellStyle name="Vírgula 2 2 13" xfId="145" xr:uid="{00000000-0005-0000-0000-000033010000}"/>
    <cellStyle name="Vírgula 2 2 13 2" xfId="296" xr:uid="{00000000-0005-0000-0000-000034010000}"/>
    <cellStyle name="Vírgula 2 2 14" xfId="149" xr:uid="{00000000-0005-0000-0000-000035010000}"/>
    <cellStyle name="Vírgula 2 2 14 2" xfId="300" xr:uid="{00000000-0005-0000-0000-000036010000}"/>
    <cellStyle name="Vírgula 2 2 15" xfId="153" xr:uid="{00000000-0005-0000-0000-000037010000}"/>
    <cellStyle name="Vírgula 2 2 15 2" xfId="304" xr:uid="{00000000-0005-0000-0000-000038010000}"/>
    <cellStyle name="Vírgula 2 2 16" xfId="157" xr:uid="{00000000-0005-0000-0000-000039010000}"/>
    <cellStyle name="Vírgula 2 2 16 2" xfId="308" xr:uid="{00000000-0005-0000-0000-00003A010000}"/>
    <cellStyle name="Vírgula 2 2 17" xfId="161" xr:uid="{00000000-0005-0000-0000-00003B010000}"/>
    <cellStyle name="Vírgula 2 2 17 2" xfId="312" xr:uid="{00000000-0005-0000-0000-00003C010000}"/>
    <cellStyle name="Vírgula 2 2 18" xfId="165" xr:uid="{00000000-0005-0000-0000-00003D010000}"/>
    <cellStyle name="Vírgula 2 2 18 2" xfId="316" xr:uid="{00000000-0005-0000-0000-00003E010000}"/>
    <cellStyle name="Vírgula 2 2 19" xfId="169" xr:uid="{00000000-0005-0000-0000-00003F010000}"/>
    <cellStyle name="Vírgula 2 2 19 2" xfId="320" xr:uid="{00000000-0005-0000-0000-000040010000}"/>
    <cellStyle name="Vírgula 2 2 2" xfId="101" xr:uid="{00000000-0005-0000-0000-000041010000}"/>
    <cellStyle name="Vírgula 2 2 2 2" xfId="252" xr:uid="{00000000-0005-0000-0000-000042010000}"/>
    <cellStyle name="Vírgula 2 2 2 3" xfId="407" xr:uid="{00000000-0005-0000-0000-000043010000}"/>
    <cellStyle name="Vírgula 2 2 2 4" xfId="416" xr:uid="{00000000-0005-0000-0000-000044010000}"/>
    <cellStyle name="Vírgula 2 2 2 5" xfId="433" xr:uid="{00000000-0005-0000-0000-000045010000}"/>
    <cellStyle name="Vírgula 2 2 2 6" xfId="442" xr:uid="{00000000-0005-0000-0000-000046010000}"/>
    <cellStyle name="Vírgula 2 2 2 7" xfId="451" xr:uid="{00000000-0005-0000-0000-000047010000}"/>
    <cellStyle name="Vírgula 2 2 20" xfId="173" xr:uid="{00000000-0005-0000-0000-000048010000}"/>
    <cellStyle name="Vírgula 2 2 20 2" xfId="324" xr:uid="{00000000-0005-0000-0000-000049010000}"/>
    <cellStyle name="Vírgula 2 2 21" xfId="177" xr:uid="{00000000-0005-0000-0000-00004A010000}"/>
    <cellStyle name="Vírgula 2 2 21 2" xfId="328" xr:uid="{00000000-0005-0000-0000-00004B010000}"/>
    <cellStyle name="Vírgula 2 2 22" xfId="181" xr:uid="{00000000-0005-0000-0000-00004C010000}"/>
    <cellStyle name="Vírgula 2 2 22 2" xfId="332" xr:uid="{00000000-0005-0000-0000-00004D010000}"/>
    <cellStyle name="Vírgula 2 2 23" xfId="185" xr:uid="{00000000-0005-0000-0000-00004E010000}"/>
    <cellStyle name="Vírgula 2 2 23 2" xfId="336" xr:uid="{00000000-0005-0000-0000-00004F010000}"/>
    <cellStyle name="Vírgula 2 2 24" xfId="189" xr:uid="{00000000-0005-0000-0000-000050010000}"/>
    <cellStyle name="Vírgula 2 2 24 2" xfId="340" xr:uid="{00000000-0005-0000-0000-000051010000}"/>
    <cellStyle name="Vírgula 2 2 25" xfId="193" xr:uid="{00000000-0005-0000-0000-000052010000}"/>
    <cellStyle name="Vírgula 2 2 25 2" xfId="344" xr:uid="{00000000-0005-0000-0000-000053010000}"/>
    <cellStyle name="Vírgula 2 2 26" xfId="197" xr:uid="{00000000-0005-0000-0000-000054010000}"/>
    <cellStyle name="Vírgula 2 2 26 2" xfId="348" xr:uid="{00000000-0005-0000-0000-000055010000}"/>
    <cellStyle name="Vírgula 2 2 27" xfId="201" xr:uid="{00000000-0005-0000-0000-000056010000}"/>
    <cellStyle name="Vírgula 2 2 27 2" xfId="352" xr:uid="{00000000-0005-0000-0000-000057010000}"/>
    <cellStyle name="Vírgula 2 2 28" xfId="205" xr:uid="{00000000-0005-0000-0000-000058010000}"/>
    <cellStyle name="Vírgula 2 2 28 2" xfId="356" xr:uid="{00000000-0005-0000-0000-000059010000}"/>
    <cellStyle name="Vírgula 2 2 29" xfId="209" xr:uid="{00000000-0005-0000-0000-00005A010000}"/>
    <cellStyle name="Vírgula 2 2 29 2" xfId="360" xr:uid="{00000000-0005-0000-0000-00005B010000}"/>
    <cellStyle name="Vírgula 2 2 3" xfId="105" xr:uid="{00000000-0005-0000-0000-00005C010000}"/>
    <cellStyle name="Vírgula 2 2 3 2" xfId="256" xr:uid="{00000000-0005-0000-0000-00005D010000}"/>
    <cellStyle name="Vírgula 2 2 30" xfId="213" xr:uid="{00000000-0005-0000-0000-00005E010000}"/>
    <cellStyle name="Vírgula 2 2 30 2" xfId="364" xr:uid="{00000000-0005-0000-0000-00005F010000}"/>
    <cellStyle name="Vírgula 2 2 31" xfId="217" xr:uid="{00000000-0005-0000-0000-000060010000}"/>
    <cellStyle name="Vírgula 2 2 31 2" xfId="368" xr:uid="{00000000-0005-0000-0000-000061010000}"/>
    <cellStyle name="Vírgula 2 2 32" xfId="221" xr:uid="{00000000-0005-0000-0000-000062010000}"/>
    <cellStyle name="Vírgula 2 2 32 2" xfId="372" xr:uid="{00000000-0005-0000-0000-000063010000}"/>
    <cellStyle name="Vírgula 2 2 33" xfId="225" xr:uid="{00000000-0005-0000-0000-000064010000}"/>
    <cellStyle name="Vírgula 2 2 33 2" xfId="376" xr:uid="{00000000-0005-0000-0000-000065010000}"/>
    <cellStyle name="Vírgula 2 2 34" xfId="229" xr:uid="{00000000-0005-0000-0000-000066010000}"/>
    <cellStyle name="Vírgula 2 2 34 2" xfId="380" xr:uid="{00000000-0005-0000-0000-000067010000}"/>
    <cellStyle name="Vírgula 2 2 35" xfId="233" xr:uid="{00000000-0005-0000-0000-000068010000}"/>
    <cellStyle name="Vírgula 2 2 35 2" xfId="384" xr:uid="{00000000-0005-0000-0000-000069010000}"/>
    <cellStyle name="Vírgula 2 2 36" xfId="237" xr:uid="{00000000-0005-0000-0000-00006A010000}"/>
    <cellStyle name="Vírgula 2 2 36 2" xfId="388" xr:uid="{00000000-0005-0000-0000-00006B010000}"/>
    <cellStyle name="Vírgula 2 2 37" xfId="242" xr:uid="{00000000-0005-0000-0000-00006C010000}"/>
    <cellStyle name="Vírgula 2 2 37 2" xfId="393" xr:uid="{00000000-0005-0000-0000-00006D010000}"/>
    <cellStyle name="Vírgula 2 2 38" xfId="246" xr:uid="{00000000-0005-0000-0000-00006E010000}"/>
    <cellStyle name="Vírgula 2 2 38 2" xfId="397" xr:uid="{00000000-0005-0000-0000-00006F010000}"/>
    <cellStyle name="Vírgula 2 2 39" xfId="402" xr:uid="{00000000-0005-0000-0000-000070010000}"/>
    <cellStyle name="Vírgula 2 2 4" xfId="109" xr:uid="{00000000-0005-0000-0000-000071010000}"/>
    <cellStyle name="Vírgula 2 2 4 2" xfId="260" xr:uid="{00000000-0005-0000-0000-000072010000}"/>
    <cellStyle name="Vírgula 2 2 40" xfId="411" xr:uid="{00000000-0005-0000-0000-000073010000}"/>
    <cellStyle name="Vírgula 2 2 41" xfId="428" xr:uid="{00000000-0005-0000-0000-000074010000}"/>
    <cellStyle name="Vírgula 2 2 42" xfId="436" xr:uid="{00000000-0005-0000-0000-000075010000}"/>
    <cellStyle name="Vírgula 2 2 43" xfId="446" xr:uid="{00000000-0005-0000-0000-000076010000}"/>
    <cellStyle name="Vírgula 2 2 5" xfId="113" xr:uid="{00000000-0005-0000-0000-000077010000}"/>
    <cellStyle name="Vírgula 2 2 5 2" xfId="264" xr:uid="{00000000-0005-0000-0000-000078010000}"/>
    <cellStyle name="Vírgula 2 2 6" xfId="117" xr:uid="{00000000-0005-0000-0000-000079010000}"/>
    <cellStyle name="Vírgula 2 2 6 2" xfId="268" xr:uid="{00000000-0005-0000-0000-00007A010000}"/>
    <cellStyle name="Vírgula 2 2 7" xfId="121" xr:uid="{00000000-0005-0000-0000-00007B010000}"/>
    <cellStyle name="Vírgula 2 2 7 2" xfId="272" xr:uid="{00000000-0005-0000-0000-00007C010000}"/>
    <cellStyle name="Vírgula 2 2 8" xfId="125" xr:uid="{00000000-0005-0000-0000-00007D010000}"/>
    <cellStyle name="Vírgula 2 2 8 2" xfId="276" xr:uid="{00000000-0005-0000-0000-00007E010000}"/>
    <cellStyle name="Vírgula 2 2 9" xfId="129" xr:uid="{00000000-0005-0000-0000-00007F010000}"/>
    <cellStyle name="Vírgula 2 2 9 2" xfId="280" xr:uid="{00000000-0005-0000-0000-000080010000}"/>
    <cellStyle name="Vírgula 20" xfId="162" xr:uid="{00000000-0005-0000-0000-000081010000}"/>
    <cellStyle name="Vírgula 20 2" xfId="313" xr:uid="{00000000-0005-0000-0000-000082010000}"/>
    <cellStyle name="Vírgula 21" xfId="166" xr:uid="{00000000-0005-0000-0000-000083010000}"/>
    <cellStyle name="Vírgula 21 2" xfId="317" xr:uid="{00000000-0005-0000-0000-000084010000}"/>
    <cellStyle name="Vírgula 22" xfId="170" xr:uid="{00000000-0005-0000-0000-000085010000}"/>
    <cellStyle name="Vírgula 22 2" xfId="321" xr:uid="{00000000-0005-0000-0000-000086010000}"/>
    <cellStyle name="Vírgula 23" xfId="174" xr:uid="{00000000-0005-0000-0000-000087010000}"/>
    <cellStyle name="Vírgula 23 2" xfId="325" xr:uid="{00000000-0005-0000-0000-000088010000}"/>
    <cellStyle name="Vírgula 24" xfId="178" xr:uid="{00000000-0005-0000-0000-000089010000}"/>
    <cellStyle name="Vírgula 24 2" xfId="329" xr:uid="{00000000-0005-0000-0000-00008A010000}"/>
    <cellStyle name="Vírgula 25" xfId="182" xr:uid="{00000000-0005-0000-0000-00008B010000}"/>
    <cellStyle name="Vírgula 25 2" xfId="333" xr:uid="{00000000-0005-0000-0000-00008C010000}"/>
    <cellStyle name="Vírgula 26" xfId="186" xr:uid="{00000000-0005-0000-0000-00008D010000}"/>
    <cellStyle name="Vírgula 26 2" xfId="337" xr:uid="{00000000-0005-0000-0000-00008E010000}"/>
    <cellStyle name="Vírgula 27" xfId="190" xr:uid="{00000000-0005-0000-0000-00008F010000}"/>
    <cellStyle name="Vírgula 27 2" xfId="341" xr:uid="{00000000-0005-0000-0000-000090010000}"/>
    <cellStyle name="Vírgula 28" xfId="194" xr:uid="{00000000-0005-0000-0000-000091010000}"/>
    <cellStyle name="Vírgula 28 2" xfId="345" xr:uid="{00000000-0005-0000-0000-000092010000}"/>
    <cellStyle name="Vírgula 29" xfId="198" xr:uid="{00000000-0005-0000-0000-000093010000}"/>
    <cellStyle name="Vírgula 29 2" xfId="349" xr:uid="{00000000-0005-0000-0000-000094010000}"/>
    <cellStyle name="Vírgula 3" xfId="47" xr:uid="{00000000-0005-0000-0000-000095010000}"/>
    <cellStyle name="Vírgula 3 2" xfId="247" xr:uid="{00000000-0005-0000-0000-000096010000}"/>
    <cellStyle name="Vírgula 3 3" xfId="398" xr:uid="{00000000-0005-0000-0000-000097010000}"/>
    <cellStyle name="Vírgula 3 4" xfId="403" xr:uid="{00000000-0005-0000-0000-000098010000}"/>
    <cellStyle name="Vírgula 3 5" xfId="412" xr:uid="{00000000-0005-0000-0000-000099010000}"/>
    <cellStyle name="Vírgula 3 6" xfId="429" xr:uid="{00000000-0005-0000-0000-00009A010000}"/>
    <cellStyle name="Vírgula 3 7" xfId="435" xr:uid="{00000000-0005-0000-0000-00009B010000}"/>
    <cellStyle name="Vírgula 3 8" xfId="447" xr:uid="{00000000-0005-0000-0000-00009C010000}"/>
    <cellStyle name="Vírgula 30" xfId="202" xr:uid="{00000000-0005-0000-0000-00009D010000}"/>
    <cellStyle name="Vírgula 30 2" xfId="353" xr:uid="{00000000-0005-0000-0000-00009E010000}"/>
    <cellStyle name="Vírgula 31" xfId="206" xr:uid="{00000000-0005-0000-0000-00009F010000}"/>
    <cellStyle name="Vírgula 31 2" xfId="357" xr:uid="{00000000-0005-0000-0000-0000A0010000}"/>
    <cellStyle name="Vírgula 32" xfId="210" xr:uid="{00000000-0005-0000-0000-0000A1010000}"/>
    <cellStyle name="Vírgula 32 2" xfId="361" xr:uid="{00000000-0005-0000-0000-0000A2010000}"/>
    <cellStyle name="Vírgula 33" xfId="214" xr:uid="{00000000-0005-0000-0000-0000A3010000}"/>
    <cellStyle name="Vírgula 33 2" xfId="365" xr:uid="{00000000-0005-0000-0000-0000A4010000}"/>
    <cellStyle name="Vírgula 34" xfId="218" xr:uid="{00000000-0005-0000-0000-0000A5010000}"/>
    <cellStyle name="Vírgula 34 2" xfId="369" xr:uid="{00000000-0005-0000-0000-0000A6010000}"/>
    <cellStyle name="Vírgula 35" xfId="222" xr:uid="{00000000-0005-0000-0000-0000A7010000}"/>
    <cellStyle name="Vírgula 35 2" xfId="373" xr:uid="{00000000-0005-0000-0000-0000A8010000}"/>
    <cellStyle name="Vírgula 36" xfId="226" xr:uid="{00000000-0005-0000-0000-0000A9010000}"/>
    <cellStyle name="Vírgula 36 2" xfId="377" xr:uid="{00000000-0005-0000-0000-0000AA010000}"/>
    <cellStyle name="Vírgula 37" xfId="230" xr:uid="{00000000-0005-0000-0000-0000AB010000}"/>
    <cellStyle name="Vírgula 37 2" xfId="381" xr:uid="{00000000-0005-0000-0000-0000AC010000}"/>
    <cellStyle name="Vírgula 38" xfId="234" xr:uid="{00000000-0005-0000-0000-0000AD010000}"/>
    <cellStyle name="Vírgula 38 2" xfId="385" xr:uid="{00000000-0005-0000-0000-0000AE010000}"/>
    <cellStyle name="Vírgula 39" xfId="238" xr:uid="{00000000-0005-0000-0000-0000AF010000}"/>
    <cellStyle name="Vírgula 39 2" xfId="389" xr:uid="{00000000-0005-0000-0000-0000B0010000}"/>
    <cellStyle name="Vírgula 4" xfId="98" xr:uid="{00000000-0005-0000-0000-0000B1010000}"/>
    <cellStyle name="Vírgula 4 2" xfId="249" xr:uid="{00000000-0005-0000-0000-0000B2010000}"/>
    <cellStyle name="Vírgula 40" xfId="243" xr:uid="{00000000-0005-0000-0000-0000B3010000}"/>
    <cellStyle name="Vírgula 40 2" xfId="394" xr:uid="{00000000-0005-0000-0000-0000B4010000}"/>
    <cellStyle name="Vírgula 41" xfId="399" xr:uid="{00000000-0005-0000-0000-0000B5010000}"/>
    <cellStyle name="Vírgula 42" xfId="408" xr:uid="{00000000-0005-0000-0000-0000B6010000}"/>
    <cellStyle name="Vírgula 43" xfId="425" xr:uid="{00000000-0005-0000-0000-0000B7010000}"/>
    <cellStyle name="Vírgula 44" xfId="438" xr:uid="{00000000-0005-0000-0000-0000B8010000}"/>
    <cellStyle name="Vírgula 45" xfId="443" xr:uid="{00000000-0005-0000-0000-0000B9010000}"/>
    <cellStyle name="Vírgula 5" xfId="102" xr:uid="{00000000-0005-0000-0000-0000BA010000}"/>
    <cellStyle name="Vírgula 5 2" xfId="253" xr:uid="{00000000-0005-0000-0000-0000BB010000}"/>
    <cellStyle name="Vírgula 6" xfId="106" xr:uid="{00000000-0005-0000-0000-0000BC010000}"/>
    <cellStyle name="Vírgula 6 2" xfId="257" xr:uid="{00000000-0005-0000-0000-0000BD010000}"/>
    <cellStyle name="Vírgula 7" xfId="110" xr:uid="{00000000-0005-0000-0000-0000BE010000}"/>
    <cellStyle name="Vírgula 7 2" xfId="261" xr:uid="{00000000-0005-0000-0000-0000BF010000}"/>
    <cellStyle name="Vírgula 8" xfId="114" xr:uid="{00000000-0005-0000-0000-0000C0010000}"/>
    <cellStyle name="Vírgula 8 2" xfId="265" xr:uid="{00000000-0005-0000-0000-0000C1010000}"/>
    <cellStyle name="Vírgula 9" xfId="118" xr:uid="{00000000-0005-0000-0000-0000C2010000}"/>
    <cellStyle name="Vírgula 9 2" xfId="269" xr:uid="{00000000-0005-0000-0000-0000C3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05-4DA1-97DA-475F1E5E73A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705-4DA1-97DA-475F1E5E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8160"/>
        <c:axId val="113949696"/>
      </c:lineChart>
      <c:catAx>
        <c:axId val="113948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3949696"/>
        <c:crosses val="autoZero"/>
        <c:auto val="1"/>
        <c:lblAlgn val="ctr"/>
        <c:lblOffset val="100"/>
        <c:noMultiLvlLbl val="1"/>
      </c:catAx>
      <c:valAx>
        <c:axId val="1139496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48160"/>
        <c:crosses val="autoZero"/>
        <c:crossBetween val="between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C83-42BB-A3D2-944717B8BDF9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C83-42BB-A3D2-944717B8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09216"/>
        <c:axId val="114010752"/>
      </c:lineChart>
      <c:catAx>
        <c:axId val="114009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4010752"/>
        <c:crosses val="autoZero"/>
        <c:auto val="1"/>
        <c:lblAlgn val="ctr"/>
        <c:lblOffset val="100"/>
        <c:tickLblSkip val="1"/>
        <c:noMultiLvlLbl val="1"/>
      </c:catAx>
      <c:valAx>
        <c:axId val="1140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09216"/>
        <c:crosses val="autoZero"/>
        <c:crossBetween val="midCat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7150314384022E-2"/>
          <c:y val="2.3465697963139739E-2"/>
          <c:w val="0.89523147652826562"/>
          <c:h val="0.8577837445264123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2F-42B3-9865-FCAE3070405A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2F-42B3-9865-FCAE3070405A}"/>
            </c:ext>
          </c:extLst>
        </c:ser>
        <c:ser>
          <c:idx val="2"/>
          <c:order val="2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52F-42B3-9865-FCAE3070405A}"/>
            </c:ext>
          </c:extLst>
        </c:ser>
        <c:ser>
          <c:idx val="3"/>
          <c:order val="3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2F-42B3-9865-FCAE3070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1472"/>
        <c:axId val="114283264"/>
      </c:lineChart>
      <c:catAx>
        <c:axId val="114281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4283264"/>
        <c:crosses val="autoZero"/>
        <c:auto val="1"/>
        <c:lblAlgn val="ctr"/>
        <c:lblOffset val="100"/>
        <c:noMultiLvlLbl val="1"/>
      </c:catAx>
      <c:valAx>
        <c:axId val="114283264"/>
        <c:scaling>
          <c:orientation val="minMax"/>
          <c:min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81472"/>
        <c:crosses val="autoZero"/>
        <c:crossBetween val="between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CA9-4287-B6B9-F69EECD6322C}"/>
            </c:ext>
          </c:extLst>
        </c:ser>
        <c:ser>
          <c:idx val="1"/>
          <c:order val="1"/>
          <c:trendline>
            <c:trendlineType val="poly"/>
            <c:order val="2"/>
            <c:dispRSqr val="0"/>
            <c:dispEq val="0"/>
          </c:trendline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CA9-4287-B6B9-F69EECD6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38720"/>
        <c:axId val="119452800"/>
      </c:lineChart>
      <c:catAx>
        <c:axId val="119438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9452800"/>
        <c:crosses val="autoZero"/>
        <c:auto val="1"/>
        <c:lblAlgn val="ctr"/>
        <c:lblOffset val="100"/>
        <c:tickLblSkip val="1"/>
        <c:noMultiLvlLbl val="1"/>
      </c:catAx>
      <c:valAx>
        <c:axId val="1194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387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áf4"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áf5"/>
  <sheetViews>
    <sheetView zoomScale="8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áf6"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áf9"/>
  <sheetViews>
    <sheetView zoomScale="94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Comercial\MARCEL\Inf.%20Comerciais.xlsx" TargetMode="External"/><Relationship Id="rId1" Type="http://schemas.openxmlformats.org/officeDocument/2006/relationships/externalLinkPath" Target="/Comercial/MARCEL/Inf.%20Comercia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Gerais"/>
      <sheetName val="Resumo"/>
      <sheetName val="preço mercado"/>
      <sheetName val="Projeção Farelo"/>
      <sheetName val="Farelo Bahia"/>
      <sheetName val="Calculo"/>
      <sheetName val="EXPORT RS"/>
      <sheetName val="Frame JBS"/>
      <sheetName val="EXPORT BA"/>
      <sheetName val="Frame Bahia"/>
      <sheetName val="Histórico Resumo"/>
      <sheetName val="Hedge"/>
      <sheetName val="Exportação + Moagem RGE"/>
      <sheetName val="Relação CBOT"/>
      <sheetName val="Numeros BRASIL"/>
      <sheetName val="Numeros Safra"/>
      <sheetName val="Grafico da Soja"/>
      <sheetName val="Preço Óleo MI x Expo"/>
      <sheetName val="Grafico Virtual"/>
      <sheetName val="Dolar PTAX"/>
      <sheetName val="Soja a fixar com premio"/>
      <sheetName val="Premio Soja RS"/>
      <sheetName val="Exportação RS"/>
      <sheetName val="Financial Straits"/>
      <sheetName val="STONEX"/>
      <sheetName val="Plan1"/>
    </sheetNames>
    <sheetDataSet>
      <sheetData sheetId="0"/>
      <sheetData sheetId="1"/>
      <sheetData sheetId="2">
        <row r="26">
          <cell r="B26">
            <v>2260</v>
          </cell>
        </row>
        <row r="28">
          <cell r="B28">
            <v>4450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rancine Ferraro" id="{347B13F1-497C-4DE4-B40B-455F2C1A2318}" userId="S::francineferraro@oleoplan.onmicrosoft.com::713e83f3-3b18-4a6d-aad1-0b27f36162c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2" dT="2021-03-15T16:35:42.62" personId="{347B13F1-497C-4DE4-B40B-455F2C1A2318}" id="{ABC8001D-A99B-4E00-A533-BC7264445C81}">
    <text>Passo Fundo</text>
  </threadedComment>
  <threadedComment ref="A23" dT="2021-03-15T16:35:48.03" personId="{347B13F1-497C-4DE4-B40B-455F2C1A2318}" id="{D03DD0B9-9149-46EC-BE1B-9CC5E51AAD1B}">
    <text>Barreiras</text>
  </threadedComment>
  <threadedComment ref="A24" dT="2021-03-15T16:35:56.05" personId="{347B13F1-497C-4DE4-B40B-455F2C1A2318}" id="{38BCEA16-5584-414E-9213-5290C6FB3357}">
    <text>Ponta Grossa</text>
  </threadedComment>
  <threadedComment ref="A25" dT="2021-03-15T16:36:06.49" personId="{347B13F1-497C-4DE4-B40B-455F2C1A2318}" id="{FDB72CFD-2ECB-4AF2-8B8C-95608768C70F}">
    <text>Rondonópolis</text>
  </threadedComment>
  <threadedComment ref="A26" dT="2021-03-15T16:36:13.59" personId="{347B13F1-497C-4DE4-B40B-455F2C1A2318}" id="{17DB6312-D743-4193-A93A-877397F44615}">
    <text>Rio Verde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egroup.com/europe/products/energy/biofuels/european-gasoil-ice-calendar-future_quotes_settlements_futures.html?sector=AGRICULTURE&amp;clearingCode=0B" TargetMode="External"/><Relationship Id="rId13" Type="http://schemas.openxmlformats.org/officeDocument/2006/relationships/hyperlink" Target="http://www.safras.com.br/safrasprodutos/Safrasnet.aspx" TargetMode="External"/><Relationship Id="rId18" Type="http://schemas.openxmlformats.org/officeDocument/2006/relationships/hyperlink" Target="http://www.safras.com.br/safrasprodutos/Safrasnet.aspx" TargetMode="External"/><Relationship Id="rId3" Type="http://schemas.openxmlformats.org/officeDocument/2006/relationships/hyperlink" Target="http://www.valor.com.br/valor-data/commodities/minerais" TargetMode="External"/><Relationship Id="rId7" Type="http://schemas.openxmlformats.org/officeDocument/2006/relationships/hyperlink" Target="http://cepea.esalq.usp.br/boi/" TargetMode="External"/><Relationship Id="rId12" Type="http://schemas.openxmlformats.org/officeDocument/2006/relationships/hyperlink" Target="http://www.safras.com.br/safrasprodutos/Safrasnet.aspx" TargetMode="External"/><Relationship Id="rId17" Type="http://schemas.openxmlformats.org/officeDocument/2006/relationships/hyperlink" Target="http://www.cmegroup.com/europe/products/energy/biofuels/european-rme-biodiesel-fob-ara-red-compliant-argus-vs-european-gasoil-ice-spread-calendar-futures.html_quotes_settlements_futures.html" TargetMode="External"/><Relationship Id="rId2" Type="http://schemas.openxmlformats.org/officeDocument/2006/relationships/hyperlink" Target="http://www.valor.com.br/valor-data/commodities/agricolas" TargetMode="External"/><Relationship Id="rId16" Type="http://schemas.openxmlformats.org/officeDocument/2006/relationships/hyperlink" Target="http://www.cmegroup.com/europe/products/energy/biofuels/european-fame-0-biodiesel-fob-ara-red-compliant-argus-vs-european-gasoil-ice-spread-calendar-futures.html_quotes_settlements_futures.html" TargetMode="External"/><Relationship Id="rId1" Type="http://schemas.openxmlformats.org/officeDocument/2006/relationships/hyperlink" Target="http://www.valor.com.br/valor-data/commodities/agricolas" TargetMode="External"/><Relationship Id="rId6" Type="http://schemas.openxmlformats.org/officeDocument/2006/relationships/hyperlink" Target="http://www.safras.com.br/safrasprodutos/Safrasnet.aspx" TargetMode="External"/><Relationship Id="rId11" Type="http://schemas.openxmlformats.org/officeDocument/2006/relationships/hyperlink" Target="http://www.safras.com.br/safrasprodutos/Safrasnet.aspx" TargetMode="External"/><Relationship Id="rId5" Type="http://schemas.openxmlformats.org/officeDocument/2006/relationships/hyperlink" Target="http://www.bcb.gov.br/pt-br/paginas/default.aspx" TargetMode="External"/><Relationship Id="rId15" Type="http://schemas.openxmlformats.org/officeDocument/2006/relationships/hyperlink" Target="http://www.safras.com.br/safrasprodutos/Safrasnet.aspx" TargetMode="External"/><Relationship Id="rId10" Type="http://schemas.openxmlformats.org/officeDocument/2006/relationships/hyperlink" Target="http://www.safras.com.br/safrasprodutos/Safrasnet.aspx" TargetMode="External"/><Relationship Id="rId19" Type="http://schemas.openxmlformats.org/officeDocument/2006/relationships/hyperlink" Target="http://www.safras.com.br/safrasprodutos/Safrasnet.aspx" TargetMode="External"/><Relationship Id="rId4" Type="http://schemas.openxmlformats.org/officeDocument/2006/relationships/hyperlink" Target="http://www.safras.com.br/safrasprodutos/Safrasnet.aspx" TargetMode="External"/><Relationship Id="rId9" Type="http://schemas.openxmlformats.org/officeDocument/2006/relationships/hyperlink" Target="http://www.safras.com.br/safrasprodutos/Safrasnet.aspx" TargetMode="External"/><Relationship Id="rId14" Type="http://schemas.openxmlformats.org/officeDocument/2006/relationships/hyperlink" Target="http://www.safras.com.br/safrasprodutos/Safrasne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N149"/>
  <sheetViews>
    <sheetView tabSelected="1" zoomScale="89" zoomScaleNormal="89" workbookViewId="0">
      <pane xSplit="1" ySplit="1" topLeftCell="MH2" activePane="bottomRight" state="frozen"/>
      <selection pane="topRight" activeCell="B1" sqref="B1"/>
      <selection pane="bottomLeft" activeCell="A2" sqref="A2"/>
      <selection pane="bottomRight" activeCell="A19" sqref="A19:XFD19"/>
    </sheetView>
  </sheetViews>
  <sheetFormatPr defaultColWidth="12.7109375" defaultRowHeight="15" zeroHeight="1" x14ac:dyDescent="0.25"/>
  <cols>
    <col min="1" max="1" width="36.28515625" bestFit="1" customWidth="1"/>
    <col min="2" max="2" width="12.7109375" bestFit="1" customWidth="1"/>
    <col min="25" max="25" width="12.7109375" bestFit="1" customWidth="1"/>
    <col min="59" max="59" width="15" bestFit="1" customWidth="1"/>
    <col min="195" max="195" width="13.28515625" bestFit="1" customWidth="1"/>
    <col min="279" max="279" width="12.85546875" bestFit="1" customWidth="1"/>
  </cols>
  <sheetData>
    <row r="1" spans="1:366" s="50" customFormat="1" ht="22.5" customHeight="1" x14ac:dyDescent="0.25">
      <c r="A1" s="15"/>
      <c r="B1" s="50">
        <v>44927</v>
      </c>
      <c r="C1" s="50">
        <v>44928</v>
      </c>
      <c r="D1" s="50">
        <v>44929</v>
      </c>
      <c r="E1" s="50">
        <v>44930</v>
      </c>
      <c r="F1" s="50">
        <v>44931</v>
      </c>
      <c r="G1" s="50">
        <v>44932</v>
      </c>
      <c r="H1" s="50">
        <v>44933</v>
      </c>
      <c r="I1" s="50">
        <v>44934</v>
      </c>
      <c r="J1" s="50">
        <v>44935</v>
      </c>
      <c r="K1" s="50">
        <v>44936</v>
      </c>
      <c r="L1" s="50">
        <v>44937</v>
      </c>
      <c r="M1" s="50">
        <v>44938</v>
      </c>
      <c r="N1" s="50">
        <v>44939</v>
      </c>
      <c r="O1" s="50">
        <v>44940</v>
      </c>
      <c r="P1" s="50">
        <v>44941</v>
      </c>
      <c r="Q1" s="50">
        <v>44942</v>
      </c>
      <c r="R1" s="50">
        <v>44943</v>
      </c>
      <c r="S1" s="50">
        <v>44944</v>
      </c>
      <c r="T1" s="50">
        <v>44945</v>
      </c>
      <c r="U1" s="50">
        <v>44946</v>
      </c>
      <c r="V1" s="50">
        <v>44947</v>
      </c>
      <c r="W1" s="50">
        <v>44948</v>
      </c>
      <c r="X1" s="50">
        <v>44949</v>
      </c>
      <c r="Y1" s="50">
        <v>44950</v>
      </c>
      <c r="Z1" s="50">
        <v>44951</v>
      </c>
      <c r="AA1" s="50">
        <v>44952</v>
      </c>
      <c r="AB1" s="50">
        <v>44953</v>
      </c>
      <c r="AC1" s="50">
        <v>44954</v>
      </c>
      <c r="AD1" s="50">
        <v>44955</v>
      </c>
      <c r="AE1" s="50">
        <v>44956</v>
      </c>
      <c r="AF1" s="50">
        <v>44957</v>
      </c>
      <c r="AG1" s="50">
        <v>44958</v>
      </c>
      <c r="AH1" s="50">
        <v>44959</v>
      </c>
      <c r="AI1" s="50">
        <v>44960</v>
      </c>
      <c r="AJ1" s="50">
        <v>44961</v>
      </c>
      <c r="AK1" s="50">
        <v>44962</v>
      </c>
      <c r="AL1" s="50">
        <v>44963</v>
      </c>
      <c r="AM1" s="50">
        <v>44964</v>
      </c>
      <c r="AN1" s="50">
        <v>44965</v>
      </c>
      <c r="AO1" s="50">
        <v>44966</v>
      </c>
      <c r="AP1" s="50">
        <v>44967</v>
      </c>
      <c r="AQ1" s="50">
        <v>44968</v>
      </c>
      <c r="AR1" s="50">
        <v>44969</v>
      </c>
      <c r="AS1" s="50">
        <v>44970</v>
      </c>
      <c r="AT1" s="50">
        <v>44971</v>
      </c>
      <c r="AU1" s="50">
        <v>44972</v>
      </c>
      <c r="AV1" s="50">
        <v>44973</v>
      </c>
      <c r="AW1" s="50">
        <v>44974</v>
      </c>
      <c r="AX1" s="50">
        <v>44975</v>
      </c>
      <c r="AY1" s="50">
        <v>44976</v>
      </c>
      <c r="AZ1" s="50">
        <v>44977</v>
      </c>
      <c r="BA1" s="50">
        <v>44978</v>
      </c>
      <c r="BB1" s="50">
        <v>44979</v>
      </c>
      <c r="BC1" s="50">
        <v>44980</v>
      </c>
      <c r="BD1" s="50">
        <v>44981</v>
      </c>
      <c r="BE1" s="50">
        <v>44982</v>
      </c>
      <c r="BF1" s="50">
        <v>44983</v>
      </c>
      <c r="BG1" s="50">
        <v>44984</v>
      </c>
      <c r="BH1" s="50">
        <v>44985</v>
      </c>
      <c r="BI1" s="50">
        <v>44986</v>
      </c>
      <c r="BJ1" s="50">
        <v>44987</v>
      </c>
      <c r="BK1" s="50">
        <v>44988</v>
      </c>
      <c r="BL1" s="50">
        <v>44989</v>
      </c>
      <c r="BM1" s="50">
        <v>44990</v>
      </c>
      <c r="BN1" s="50">
        <v>44991</v>
      </c>
      <c r="BO1" s="50">
        <v>44992</v>
      </c>
      <c r="BP1" s="50">
        <v>44993</v>
      </c>
      <c r="BQ1" s="50">
        <v>44994</v>
      </c>
      <c r="BR1" s="50">
        <v>44995</v>
      </c>
      <c r="BS1" s="50">
        <v>44996</v>
      </c>
      <c r="BT1" s="50">
        <v>44997</v>
      </c>
      <c r="BU1" s="50">
        <v>44998</v>
      </c>
      <c r="BV1" s="50">
        <v>44999</v>
      </c>
      <c r="BW1" s="50">
        <v>45000</v>
      </c>
      <c r="BX1" s="50">
        <v>45001</v>
      </c>
      <c r="BY1" s="50">
        <v>45002</v>
      </c>
      <c r="BZ1" s="50">
        <v>45003</v>
      </c>
      <c r="CA1" s="50">
        <v>45004</v>
      </c>
      <c r="CB1" s="50">
        <v>45005</v>
      </c>
      <c r="CC1" s="50">
        <v>45006</v>
      </c>
      <c r="CD1" s="50">
        <v>45007</v>
      </c>
      <c r="CE1" s="50">
        <v>45008</v>
      </c>
      <c r="CF1" s="50">
        <v>45009</v>
      </c>
      <c r="CG1" s="50">
        <v>45010</v>
      </c>
      <c r="CH1" s="50">
        <v>45011</v>
      </c>
      <c r="CI1" s="50">
        <v>45012</v>
      </c>
      <c r="CJ1" s="50">
        <v>45013</v>
      </c>
      <c r="CK1" s="50">
        <v>45014</v>
      </c>
      <c r="CL1" s="50">
        <v>45015</v>
      </c>
      <c r="CM1" s="50">
        <v>45016</v>
      </c>
      <c r="CN1" s="50">
        <v>45017</v>
      </c>
      <c r="CO1" s="50">
        <v>45018</v>
      </c>
      <c r="CP1" s="50">
        <v>45019</v>
      </c>
      <c r="CQ1" s="50">
        <v>45020</v>
      </c>
      <c r="CR1" s="50">
        <v>45021</v>
      </c>
      <c r="CS1" s="50">
        <v>45022</v>
      </c>
      <c r="CT1" s="50">
        <v>45023</v>
      </c>
      <c r="CU1" s="50">
        <v>45024</v>
      </c>
      <c r="CV1" s="50">
        <v>45025</v>
      </c>
      <c r="CW1" s="50">
        <v>45026</v>
      </c>
      <c r="CX1" s="50">
        <v>45027</v>
      </c>
      <c r="CY1" s="50">
        <v>45028</v>
      </c>
      <c r="CZ1" s="50">
        <v>45029</v>
      </c>
      <c r="DA1" s="50">
        <v>45030</v>
      </c>
      <c r="DB1" s="50">
        <v>45031</v>
      </c>
      <c r="DC1" s="50">
        <v>45032</v>
      </c>
      <c r="DD1" s="50">
        <v>45033</v>
      </c>
      <c r="DE1" s="50">
        <v>45034</v>
      </c>
      <c r="DF1" s="50">
        <v>45035</v>
      </c>
      <c r="DG1" s="50">
        <v>45036</v>
      </c>
      <c r="DH1" s="50">
        <v>45037</v>
      </c>
      <c r="DI1" s="50">
        <v>45038</v>
      </c>
      <c r="DJ1" s="50">
        <v>45039</v>
      </c>
      <c r="DK1" s="50">
        <v>45040</v>
      </c>
      <c r="DL1" s="50">
        <v>45041</v>
      </c>
      <c r="DM1" s="50">
        <v>45042</v>
      </c>
      <c r="DN1" s="50">
        <v>45043</v>
      </c>
      <c r="DO1" s="50">
        <v>45044</v>
      </c>
      <c r="DP1" s="50">
        <v>45045</v>
      </c>
      <c r="DQ1" s="50">
        <v>45046</v>
      </c>
      <c r="DR1" s="50">
        <v>45047</v>
      </c>
      <c r="DS1" s="50">
        <v>45048</v>
      </c>
      <c r="DT1" s="50">
        <v>45049</v>
      </c>
      <c r="DU1" s="50">
        <v>45050</v>
      </c>
      <c r="DV1" s="50">
        <v>45051</v>
      </c>
      <c r="DW1" s="50">
        <v>45052</v>
      </c>
      <c r="DX1" s="50">
        <v>45053</v>
      </c>
      <c r="DY1" s="50">
        <v>45054</v>
      </c>
      <c r="DZ1" s="50">
        <v>45055</v>
      </c>
      <c r="EA1" s="50">
        <v>45056</v>
      </c>
      <c r="EB1" s="50">
        <v>45057</v>
      </c>
      <c r="EC1" s="50">
        <v>45058</v>
      </c>
      <c r="ED1" s="50">
        <v>45059</v>
      </c>
      <c r="EE1" s="50">
        <v>45060</v>
      </c>
      <c r="EF1" s="50">
        <v>45061</v>
      </c>
      <c r="EG1" s="50">
        <v>45062</v>
      </c>
      <c r="EH1" s="50">
        <v>45063</v>
      </c>
      <c r="EI1" s="50">
        <v>45064</v>
      </c>
      <c r="EJ1" s="50">
        <v>45065</v>
      </c>
      <c r="EK1" s="50">
        <v>45066</v>
      </c>
      <c r="EL1" s="50">
        <v>45067</v>
      </c>
      <c r="EM1" s="50">
        <v>45068</v>
      </c>
      <c r="EN1" s="50">
        <v>45069</v>
      </c>
      <c r="EO1" s="50">
        <v>45070</v>
      </c>
      <c r="EP1" s="50">
        <v>45071</v>
      </c>
      <c r="EQ1" s="50">
        <v>45072</v>
      </c>
      <c r="ER1" s="50">
        <v>45073</v>
      </c>
      <c r="ES1" s="50">
        <v>45074</v>
      </c>
      <c r="ET1" s="50">
        <v>45075</v>
      </c>
      <c r="EU1" s="50">
        <v>45076</v>
      </c>
      <c r="EV1" s="50">
        <v>45077</v>
      </c>
      <c r="EW1" s="50">
        <v>45078</v>
      </c>
      <c r="EX1" s="50">
        <v>45079</v>
      </c>
      <c r="EY1" s="50">
        <v>45080</v>
      </c>
      <c r="EZ1" s="50">
        <v>45081</v>
      </c>
      <c r="FA1" s="50">
        <v>45082</v>
      </c>
      <c r="FB1" s="50">
        <v>45083</v>
      </c>
      <c r="FC1" s="50">
        <v>45084</v>
      </c>
      <c r="FD1" s="50">
        <v>45085</v>
      </c>
      <c r="FE1" s="50">
        <v>45086</v>
      </c>
      <c r="FF1" s="50">
        <v>45087</v>
      </c>
      <c r="FG1" s="50">
        <v>45088</v>
      </c>
      <c r="FH1" s="50">
        <v>45089</v>
      </c>
      <c r="FI1" s="50">
        <v>45090</v>
      </c>
      <c r="FJ1" s="50">
        <v>45091</v>
      </c>
      <c r="FK1" s="50">
        <v>45092</v>
      </c>
      <c r="FL1" s="50">
        <v>45093</v>
      </c>
      <c r="FM1" s="50">
        <v>45094</v>
      </c>
      <c r="FN1" s="50">
        <v>45095</v>
      </c>
      <c r="FO1" s="50">
        <v>45096</v>
      </c>
      <c r="FP1" s="50">
        <v>45097</v>
      </c>
      <c r="FQ1" s="50">
        <v>45098</v>
      </c>
      <c r="FR1" s="50">
        <v>45099</v>
      </c>
      <c r="FS1" s="50">
        <v>45100</v>
      </c>
      <c r="FT1" s="50">
        <v>45101</v>
      </c>
      <c r="FU1" s="50">
        <v>45102</v>
      </c>
      <c r="FV1" s="50">
        <v>45103</v>
      </c>
      <c r="FW1" s="50">
        <v>45104</v>
      </c>
      <c r="FX1" s="50">
        <v>45105</v>
      </c>
      <c r="FY1" s="50">
        <v>45106</v>
      </c>
      <c r="FZ1" s="50">
        <v>45107</v>
      </c>
      <c r="GA1" s="50">
        <v>45108</v>
      </c>
      <c r="GB1" s="50">
        <v>45109</v>
      </c>
      <c r="GC1" s="50">
        <v>45110</v>
      </c>
      <c r="GD1" s="50">
        <v>45111</v>
      </c>
      <c r="GE1" s="50">
        <v>45112</v>
      </c>
      <c r="GF1" s="50">
        <v>45113</v>
      </c>
      <c r="GG1" s="50">
        <v>45114</v>
      </c>
      <c r="GH1" s="50">
        <v>45115</v>
      </c>
      <c r="GI1" s="50">
        <v>45116</v>
      </c>
      <c r="GJ1" s="50">
        <v>45117</v>
      </c>
      <c r="GK1" s="50">
        <v>45118</v>
      </c>
      <c r="GL1" s="50">
        <v>45119</v>
      </c>
      <c r="GM1" s="50">
        <v>45120</v>
      </c>
      <c r="GN1" s="50">
        <v>45121</v>
      </c>
      <c r="GO1" s="50">
        <v>45122</v>
      </c>
      <c r="GP1" s="50">
        <v>45123</v>
      </c>
      <c r="GQ1" s="50">
        <v>45124</v>
      </c>
      <c r="GR1" s="50">
        <v>45125</v>
      </c>
      <c r="GS1" s="50">
        <v>45126</v>
      </c>
      <c r="GT1" s="50">
        <v>45127</v>
      </c>
      <c r="GU1" s="50">
        <v>45128</v>
      </c>
      <c r="GV1" s="50">
        <v>45129</v>
      </c>
      <c r="GW1" s="50">
        <v>45130</v>
      </c>
      <c r="GX1" s="50">
        <v>45131</v>
      </c>
      <c r="GY1" s="50">
        <v>45132</v>
      </c>
      <c r="GZ1" s="50">
        <v>45133</v>
      </c>
      <c r="HA1" s="50">
        <v>45134</v>
      </c>
      <c r="HB1" s="50">
        <v>45135</v>
      </c>
      <c r="HC1" s="50">
        <v>45136</v>
      </c>
      <c r="HD1" s="50">
        <v>45137</v>
      </c>
      <c r="HE1" s="50">
        <v>45138</v>
      </c>
      <c r="HF1" s="50">
        <v>45139</v>
      </c>
      <c r="HG1" s="50">
        <v>45140</v>
      </c>
      <c r="HH1" s="50">
        <v>45141</v>
      </c>
      <c r="HI1" s="50">
        <v>45142</v>
      </c>
      <c r="HJ1" s="50">
        <v>45143</v>
      </c>
      <c r="HK1" s="50">
        <v>45144</v>
      </c>
      <c r="HL1" s="50">
        <v>45145</v>
      </c>
      <c r="HM1" s="50">
        <v>45146</v>
      </c>
      <c r="HN1" s="50">
        <v>45147</v>
      </c>
      <c r="HO1" s="50">
        <v>45148</v>
      </c>
      <c r="HP1" s="50">
        <v>45149</v>
      </c>
      <c r="HQ1" s="50">
        <v>45150</v>
      </c>
      <c r="HR1" s="50">
        <v>45151</v>
      </c>
      <c r="HS1" s="50">
        <v>45152</v>
      </c>
      <c r="HT1" s="50">
        <v>45153</v>
      </c>
      <c r="HU1" s="50">
        <v>45154</v>
      </c>
      <c r="HV1" s="50">
        <v>45155</v>
      </c>
      <c r="HW1" s="50">
        <v>45156</v>
      </c>
      <c r="HX1" s="50">
        <v>45157</v>
      </c>
      <c r="HY1" s="50">
        <v>45158</v>
      </c>
      <c r="HZ1" s="50">
        <v>45159</v>
      </c>
      <c r="IA1" s="50">
        <v>45160</v>
      </c>
      <c r="IB1" s="50">
        <v>45161</v>
      </c>
      <c r="IC1" s="50">
        <v>45162</v>
      </c>
      <c r="ID1" s="50">
        <v>45163</v>
      </c>
      <c r="IE1" s="50">
        <v>45164</v>
      </c>
      <c r="IF1" s="50">
        <v>45165</v>
      </c>
      <c r="IG1" s="50">
        <v>45166</v>
      </c>
      <c r="IH1" s="50">
        <v>45167</v>
      </c>
      <c r="II1" s="50">
        <v>45168</v>
      </c>
      <c r="IJ1" s="50">
        <v>45169</v>
      </c>
      <c r="IK1" s="50">
        <v>45170</v>
      </c>
      <c r="IL1" s="50">
        <v>45171</v>
      </c>
      <c r="IM1" s="50">
        <v>45172</v>
      </c>
      <c r="IN1" s="50">
        <v>45173</v>
      </c>
      <c r="IO1" s="50">
        <v>45174</v>
      </c>
      <c r="IP1" s="50">
        <v>45175</v>
      </c>
      <c r="IQ1" s="50">
        <v>45176</v>
      </c>
      <c r="IR1" s="50">
        <v>45177</v>
      </c>
      <c r="IS1" s="50">
        <v>45178</v>
      </c>
      <c r="IT1" s="50">
        <v>45179</v>
      </c>
      <c r="IU1" s="50">
        <v>45180</v>
      </c>
      <c r="IV1" s="50">
        <v>45181</v>
      </c>
      <c r="IW1" s="50">
        <v>45182</v>
      </c>
      <c r="IX1" s="50">
        <v>45183</v>
      </c>
      <c r="IY1" s="50">
        <v>45184</v>
      </c>
      <c r="IZ1" s="50">
        <v>45185</v>
      </c>
      <c r="JA1" s="50">
        <v>45186</v>
      </c>
      <c r="JB1" s="50">
        <v>45187</v>
      </c>
      <c r="JC1" s="50">
        <v>45188</v>
      </c>
      <c r="JD1" s="50">
        <v>45189</v>
      </c>
      <c r="JE1" s="50">
        <v>45190</v>
      </c>
      <c r="JF1" s="50">
        <v>45191</v>
      </c>
      <c r="JG1" s="50">
        <v>45192</v>
      </c>
      <c r="JH1" s="50">
        <v>45193</v>
      </c>
      <c r="JI1" s="50">
        <v>45194</v>
      </c>
      <c r="JJ1" s="50">
        <v>45195</v>
      </c>
      <c r="JK1" s="50">
        <v>45196</v>
      </c>
      <c r="JL1" s="50">
        <v>45197</v>
      </c>
      <c r="JM1" s="50">
        <v>45198</v>
      </c>
      <c r="JN1" s="50">
        <v>45199</v>
      </c>
      <c r="JO1" s="50">
        <v>45200</v>
      </c>
      <c r="JP1" s="50">
        <v>45201</v>
      </c>
      <c r="JQ1" s="50">
        <v>45202</v>
      </c>
      <c r="JR1" s="50">
        <v>45203</v>
      </c>
      <c r="JS1" s="50">
        <v>45204</v>
      </c>
      <c r="JT1" s="50">
        <v>45205</v>
      </c>
      <c r="JU1" s="50">
        <v>45206</v>
      </c>
      <c r="JV1" s="50">
        <v>45207</v>
      </c>
      <c r="JW1" s="50">
        <v>45208</v>
      </c>
      <c r="JX1" s="50">
        <v>45209</v>
      </c>
      <c r="JY1" s="50">
        <v>45210</v>
      </c>
      <c r="JZ1" s="50">
        <v>45211</v>
      </c>
      <c r="KA1" s="50">
        <v>45212</v>
      </c>
      <c r="KB1" s="50">
        <v>45213</v>
      </c>
      <c r="KC1" s="50">
        <v>45214</v>
      </c>
      <c r="KD1" s="50">
        <v>45215</v>
      </c>
      <c r="KE1" s="50">
        <v>45216</v>
      </c>
      <c r="KF1" s="50">
        <v>45217</v>
      </c>
      <c r="KG1" s="50">
        <v>45218</v>
      </c>
      <c r="KH1" s="50">
        <v>45219</v>
      </c>
      <c r="KI1" s="50">
        <v>45220</v>
      </c>
      <c r="KJ1" s="50">
        <v>45221</v>
      </c>
      <c r="KK1" s="50">
        <v>45222</v>
      </c>
      <c r="KL1" s="50">
        <v>45223</v>
      </c>
      <c r="KM1" s="50">
        <v>45224</v>
      </c>
      <c r="KN1" s="50">
        <v>45225</v>
      </c>
      <c r="KO1" s="50">
        <v>45226</v>
      </c>
      <c r="KP1" s="50">
        <v>45227</v>
      </c>
      <c r="KQ1" s="50">
        <v>45228</v>
      </c>
      <c r="KR1" s="50">
        <v>45229</v>
      </c>
      <c r="KS1" s="50">
        <v>45230</v>
      </c>
      <c r="KT1" s="50">
        <v>45231</v>
      </c>
      <c r="KU1" s="50">
        <v>45232</v>
      </c>
      <c r="KV1" s="50">
        <v>45233</v>
      </c>
      <c r="KW1" s="50">
        <v>45234</v>
      </c>
      <c r="KX1" s="50">
        <v>45235</v>
      </c>
      <c r="KY1" s="50">
        <v>45236</v>
      </c>
      <c r="KZ1" s="50">
        <v>45237</v>
      </c>
      <c r="LA1" s="50">
        <v>45238</v>
      </c>
      <c r="LB1" s="50">
        <v>45239</v>
      </c>
      <c r="LC1" s="50">
        <v>45240</v>
      </c>
      <c r="LD1" s="50">
        <v>45241</v>
      </c>
      <c r="LE1" s="50">
        <v>45242</v>
      </c>
      <c r="LF1" s="50">
        <v>45243</v>
      </c>
      <c r="LG1" s="50">
        <v>45244</v>
      </c>
      <c r="LH1" s="50">
        <v>45245</v>
      </c>
      <c r="LI1" s="50">
        <v>45246</v>
      </c>
      <c r="LJ1" s="50">
        <v>45247</v>
      </c>
      <c r="LK1" s="50">
        <v>45248</v>
      </c>
      <c r="LL1" s="50">
        <v>45249</v>
      </c>
      <c r="LM1" s="50">
        <v>45250</v>
      </c>
      <c r="LN1" s="50">
        <v>45251</v>
      </c>
      <c r="LO1" s="50">
        <v>45252</v>
      </c>
      <c r="LP1" s="50">
        <v>45253</v>
      </c>
      <c r="LQ1" s="50">
        <v>45254</v>
      </c>
      <c r="LR1" s="50">
        <v>45255</v>
      </c>
      <c r="LS1" s="50">
        <v>45256</v>
      </c>
      <c r="LT1" s="50">
        <v>45257</v>
      </c>
      <c r="LU1" s="50">
        <v>45258</v>
      </c>
      <c r="LV1" s="50">
        <v>45259</v>
      </c>
      <c r="LW1" s="50">
        <v>45260</v>
      </c>
      <c r="LX1" s="50">
        <v>45261</v>
      </c>
      <c r="LY1" s="50">
        <v>45262</v>
      </c>
      <c r="LZ1" s="50">
        <v>45263</v>
      </c>
      <c r="MA1" s="50">
        <v>45264</v>
      </c>
      <c r="MB1" s="50">
        <v>45265</v>
      </c>
      <c r="MC1" s="50">
        <v>45266</v>
      </c>
      <c r="MD1" s="50">
        <v>45267</v>
      </c>
      <c r="ME1" s="50">
        <v>45268</v>
      </c>
      <c r="MF1" s="50">
        <v>45269</v>
      </c>
      <c r="MG1" s="50">
        <v>45270</v>
      </c>
      <c r="MH1" s="50">
        <v>45271</v>
      </c>
      <c r="MI1" s="50">
        <v>45272</v>
      </c>
      <c r="MJ1" s="50">
        <v>45273</v>
      </c>
      <c r="MK1" s="50">
        <v>45274</v>
      </c>
      <c r="ML1" s="50">
        <v>45275</v>
      </c>
      <c r="MM1" s="50">
        <v>45276</v>
      </c>
      <c r="MN1" s="50">
        <v>45277</v>
      </c>
      <c r="MO1" s="50">
        <v>45278</v>
      </c>
      <c r="MP1" s="50">
        <v>45279</v>
      </c>
      <c r="MQ1" s="50">
        <v>45280</v>
      </c>
      <c r="MR1" s="50">
        <v>45281</v>
      </c>
      <c r="MS1" s="50">
        <v>45282</v>
      </c>
      <c r="MT1" s="50">
        <v>45283</v>
      </c>
      <c r="MU1" s="50">
        <v>45284</v>
      </c>
      <c r="MV1" s="50">
        <v>45285</v>
      </c>
      <c r="MW1" s="50">
        <v>45286</v>
      </c>
      <c r="MX1" s="50">
        <v>45287</v>
      </c>
      <c r="MY1" s="50">
        <v>45288</v>
      </c>
      <c r="MZ1" s="50">
        <v>45289</v>
      </c>
      <c r="NA1" s="50">
        <v>45290</v>
      </c>
      <c r="NB1" s="50">
        <v>45291</v>
      </c>
    </row>
    <row r="2" spans="1:366" s="43" customFormat="1" x14ac:dyDescent="0.25">
      <c r="A2" s="42" t="s">
        <v>147</v>
      </c>
      <c r="C2" s="43">
        <v>85.91</v>
      </c>
      <c r="D2" s="43">
        <v>82.1</v>
      </c>
      <c r="E2" s="43">
        <v>77.84</v>
      </c>
      <c r="F2" s="43">
        <v>78.69</v>
      </c>
      <c r="G2" s="43">
        <v>78.569999999999993</v>
      </c>
      <c r="J2" s="43">
        <v>79.650000000000006</v>
      </c>
      <c r="K2" s="43">
        <v>80.099999999999994</v>
      </c>
      <c r="L2" s="43">
        <v>82.67</v>
      </c>
      <c r="M2" s="43">
        <v>84.03</v>
      </c>
      <c r="N2" s="43">
        <v>85.28</v>
      </c>
      <c r="Q2" s="43">
        <v>85.28</v>
      </c>
      <c r="R2" s="43">
        <v>85.92</v>
      </c>
      <c r="S2" s="43">
        <v>84.98</v>
      </c>
      <c r="T2" s="43">
        <v>86.16</v>
      </c>
      <c r="U2" s="43">
        <v>87.63</v>
      </c>
      <c r="X2" s="43">
        <v>88.19</v>
      </c>
      <c r="Y2" s="43">
        <v>86.13</v>
      </c>
      <c r="Z2" s="43">
        <v>86.12</v>
      </c>
      <c r="AA2" s="43">
        <v>87.47</v>
      </c>
      <c r="AB2" s="43">
        <v>86.66</v>
      </c>
      <c r="AE2" s="43">
        <v>84.5</v>
      </c>
      <c r="AF2" s="43">
        <v>85.46</v>
      </c>
      <c r="AG2" s="43">
        <v>82.58</v>
      </c>
      <c r="AH2" s="43">
        <v>82.17</v>
      </c>
      <c r="AI2" s="43">
        <v>79.94</v>
      </c>
      <c r="AL2" s="43">
        <v>80.989999999999995</v>
      </c>
      <c r="AM2" s="43">
        <v>83.69</v>
      </c>
      <c r="AN2" s="43">
        <v>85.09</v>
      </c>
      <c r="AO2" s="43">
        <v>84.5</v>
      </c>
      <c r="AP2" s="43">
        <v>86.39</v>
      </c>
      <c r="AS2" s="43">
        <v>86.61</v>
      </c>
      <c r="AT2" s="43">
        <v>85.58</v>
      </c>
      <c r="AU2" s="43">
        <v>85.38</v>
      </c>
      <c r="AV2" s="43">
        <v>85.14</v>
      </c>
      <c r="AW2" s="43">
        <v>83.05</v>
      </c>
      <c r="AZ2" s="43">
        <v>83.05</v>
      </c>
      <c r="BA2" s="43">
        <v>83.05</v>
      </c>
      <c r="BB2" s="43">
        <v>80.599999999999994</v>
      </c>
      <c r="BC2" s="43">
        <v>82.21</v>
      </c>
      <c r="BD2" s="43">
        <v>83.16</v>
      </c>
      <c r="BG2" s="43">
        <v>82.04</v>
      </c>
      <c r="BH2" s="43">
        <v>83.45</v>
      </c>
      <c r="BI2" s="43">
        <v>84.31</v>
      </c>
      <c r="BJ2" s="43">
        <v>84.75</v>
      </c>
      <c r="BK2" s="43">
        <v>85.83</v>
      </c>
      <c r="BN2" s="43">
        <v>86.18</v>
      </c>
      <c r="BO2" s="43">
        <v>83.29</v>
      </c>
      <c r="BP2" s="43">
        <v>82.66</v>
      </c>
      <c r="BQ2" s="43">
        <v>81.59</v>
      </c>
      <c r="BR2" s="43">
        <v>82.78</v>
      </c>
      <c r="BU2" s="43">
        <v>80.77</v>
      </c>
      <c r="BV2" s="43">
        <v>77.45</v>
      </c>
      <c r="BW2" s="43">
        <v>73.69</v>
      </c>
      <c r="BX2" s="43">
        <v>74.7</v>
      </c>
      <c r="BY2" s="43">
        <v>72.97</v>
      </c>
      <c r="CB2" s="43">
        <v>73.790000000000006</v>
      </c>
      <c r="CC2" s="43">
        <v>75.319999999999993</v>
      </c>
      <c r="CD2" s="43">
        <v>76.69</v>
      </c>
      <c r="CE2" s="43">
        <v>75.91</v>
      </c>
      <c r="CF2" s="43">
        <v>74.989999999999995</v>
      </c>
      <c r="CI2" s="43">
        <v>78.12</v>
      </c>
      <c r="CJ2" s="43">
        <v>78.650000000000006</v>
      </c>
      <c r="CK2" s="43">
        <v>78.28</v>
      </c>
      <c r="CL2" s="43">
        <v>78.599999999999994</v>
      </c>
      <c r="CM2" s="43">
        <v>79.89</v>
      </c>
      <c r="CP2" s="43">
        <v>84.93</v>
      </c>
      <c r="CQ2" s="43">
        <v>84.94</v>
      </c>
      <c r="CR2" s="43">
        <v>84.99</v>
      </c>
      <c r="CS2" s="43">
        <v>85.12</v>
      </c>
      <c r="CT2" s="43">
        <v>85.12</v>
      </c>
      <c r="CW2" s="43">
        <v>84.18</v>
      </c>
      <c r="CX2" s="43">
        <v>85.61</v>
      </c>
      <c r="CY2" s="43">
        <v>87.33</v>
      </c>
      <c r="CZ2" s="43">
        <v>86.09</v>
      </c>
      <c r="DA2" s="43">
        <v>86.31</v>
      </c>
      <c r="DD2" s="43">
        <v>84.76</v>
      </c>
      <c r="DE2" s="43">
        <v>84.77</v>
      </c>
      <c r="DF2" s="43">
        <v>83.12</v>
      </c>
      <c r="DG2" s="43">
        <v>81.66</v>
      </c>
      <c r="DH2" s="43">
        <v>81.66</v>
      </c>
      <c r="DK2" s="43">
        <v>82.73</v>
      </c>
      <c r="DL2" s="43">
        <v>80.77</v>
      </c>
      <c r="DM2" s="43">
        <v>77.69</v>
      </c>
      <c r="DN2" s="43">
        <v>78.22</v>
      </c>
      <c r="DO2" s="43">
        <v>79.31</v>
      </c>
      <c r="DR2" s="43">
        <v>79.31</v>
      </c>
      <c r="DS2" s="43">
        <v>75.319999999999993</v>
      </c>
      <c r="DT2" s="43">
        <v>72.33</v>
      </c>
      <c r="DU2" s="43">
        <v>72.5</v>
      </c>
      <c r="DV2" s="43">
        <v>75.3</v>
      </c>
      <c r="DY2" s="43">
        <v>77.010000000000005</v>
      </c>
      <c r="DZ2" s="43">
        <v>77.44</v>
      </c>
      <c r="EA2" s="43">
        <v>76.41</v>
      </c>
      <c r="EB2" s="43">
        <v>74.98</v>
      </c>
      <c r="EC2" s="43">
        <v>74.17</v>
      </c>
      <c r="EF2" s="43">
        <v>75.23</v>
      </c>
      <c r="EG2" s="43">
        <v>74.91</v>
      </c>
      <c r="EH2" s="43">
        <v>76.959999999999994</v>
      </c>
      <c r="EI2" s="43">
        <v>75.86</v>
      </c>
      <c r="EJ2" s="43">
        <v>75.58</v>
      </c>
      <c r="EM2" s="43">
        <v>75.989999999999995</v>
      </c>
      <c r="EN2" s="43">
        <v>76.84</v>
      </c>
      <c r="EO2" s="43">
        <v>78.36</v>
      </c>
      <c r="EP2" s="43">
        <v>76.260000000000005</v>
      </c>
      <c r="EQ2" s="43">
        <v>76.95</v>
      </c>
      <c r="ET2" s="43">
        <v>76.95</v>
      </c>
      <c r="EU2" s="43">
        <v>73.709999999999994</v>
      </c>
      <c r="EV2" s="43">
        <v>72.599999999999994</v>
      </c>
      <c r="EW2" s="43">
        <v>74.28</v>
      </c>
      <c r="EX2" s="43">
        <v>76.13</v>
      </c>
      <c r="FA2" s="43">
        <v>76.709999999999994</v>
      </c>
      <c r="FB2" s="43">
        <v>76.290000000000006</v>
      </c>
      <c r="FC2" s="43">
        <v>75.959999999999994</v>
      </c>
      <c r="FD2" s="43">
        <v>75.959999999999994</v>
      </c>
      <c r="FE2" s="43">
        <v>74.790000000000006</v>
      </c>
      <c r="FH2" s="43">
        <v>71.84</v>
      </c>
      <c r="FI2" s="43">
        <v>74.290000000000006</v>
      </c>
      <c r="FJ2" s="43">
        <v>73.2</v>
      </c>
      <c r="FK2" s="43">
        <v>75.67</v>
      </c>
      <c r="FL2" s="43">
        <v>76.61</v>
      </c>
      <c r="FO2" s="43">
        <v>76.61</v>
      </c>
      <c r="FP2" s="43">
        <v>75.900000000000006</v>
      </c>
      <c r="FQ2" s="43">
        <v>77.12</v>
      </c>
      <c r="FR2" s="43">
        <v>74.14</v>
      </c>
      <c r="FS2" s="43">
        <v>73.849999999999994</v>
      </c>
      <c r="FV2" s="43">
        <v>74.180000000000007</v>
      </c>
      <c r="FW2" s="43">
        <v>72.260000000000005</v>
      </c>
      <c r="FX2" s="43">
        <v>74.03</v>
      </c>
      <c r="FY2" s="43">
        <v>74.510000000000005</v>
      </c>
      <c r="FZ2" s="43">
        <v>75.41</v>
      </c>
      <c r="GC2" s="43">
        <v>74.650000000000006</v>
      </c>
      <c r="GD2" s="43">
        <v>74.650000000000006</v>
      </c>
      <c r="GE2" s="43">
        <v>76.650000000000006</v>
      </c>
      <c r="GF2" s="43">
        <v>76.52</v>
      </c>
      <c r="GG2" s="43">
        <v>78.47</v>
      </c>
      <c r="GJ2" s="43">
        <v>77.69</v>
      </c>
      <c r="GK2" s="43">
        <v>79.400000000000006</v>
      </c>
      <c r="GL2" s="43">
        <v>80.11</v>
      </c>
      <c r="GM2" s="43">
        <v>81.36</v>
      </c>
      <c r="GN2" s="43">
        <v>79.87</v>
      </c>
      <c r="GQ2" s="43">
        <v>78.5</v>
      </c>
      <c r="GR2" s="43">
        <v>79.63</v>
      </c>
      <c r="GS2" s="43">
        <v>79.459999999999994</v>
      </c>
      <c r="GT2" s="43">
        <v>79.64</v>
      </c>
      <c r="GU2" s="43">
        <v>81.069999999999993</v>
      </c>
      <c r="GX2" s="43">
        <v>82.74</v>
      </c>
      <c r="GY2" s="43">
        <v>83.64</v>
      </c>
      <c r="GZ2" s="43">
        <v>82.92</v>
      </c>
      <c r="HA2" s="43">
        <v>84.24</v>
      </c>
      <c r="HB2" s="43">
        <v>84.41</v>
      </c>
      <c r="HE2" s="43">
        <v>85.43</v>
      </c>
      <c r="HF2" s="43">
        <v>84.91</v>
      </c>
      <c r="HG2" s="43">
        <v>83.2</v>
      </c>
      <c r="HH2" s="43">
        <v>85.14</v>
      </c>
      <c r="HI2" s="43">
        <v>86.24</v>
      </c>
      <c r="HL2" s="43">
        <v>85.34</v>
      </c>
      <c r="HM2" s="43">
        <v>86.17</v>
      </c>
      <c r="HN2" s="43">
        <v>87.55</v>
      </c>
      <c r="HO2" s="43">
        <v>86.4</v>
      </c>
      <c r="HP2" s="43">
        <v>86.81</v>
      </c>
      <c r="HS2" s="43">
        <v>86.21</v>
      </c>
      <c r="HT2" s="43">
        <v>84.89</v>
      </c>
      <c r="HU2" s="43">
        <v>83.45</v>
      </c>
      <c r="HV2" s="43">
        <v>84.12</v>
      </c>
      <c r="HW2" s="43">
        <v>84.8</v>
      </c>
      <c r="HZ2" s="43">
        <v>84.46</v>
      </c>
      <c r="IA2" s="43">
        <v>84.03</v>
      </c>
      <c r="IB2" s="43">
        <v>83.21</v>
      </c>
      <c r="IC2" s="43">
        <v>83.36</v>
      </c>
      <c r="ID2" s="43">
        <v>84.48</v>
      </c>
      <c r="IG2" s="43">
        <v>84.42</v>
      </c>
      <c r="IH2" s="43">
        <v>85.49</v>
      </c>
      <c r="II2" s="43">
        <v>85.24</v>
      </c>
      <c r="IJ2" s="43">
        <v>86.83</v>
      </c>
      <c r="IK2" s="43">
        <v>88.55</v>
      </c>
      <c r="IN2" s="43">
        <v>88.55</v>
      </c>
      <c r="IO2" s="43">
        <v>90.04</v>
      </c>
      <c r="IP2" s="43">
        <v>89.92</v>
      </c>
      <c r="IQ2" s="43">
        <v>89.92</v>
      </c>
      <c r="IR2" s="43">
        <v>90.65</v>
      </c>
      <c r="IU2" s="43">
        <v>90.64</v>
      </c>
      <c r="IV2" s="43">
        <v>92.06</v>
      </c>
      <c r="IW2" s="43">
        <v>91.88</v>
      </c>
      <c r="IX2" s="43">
        <v>93.7</v>
      </c>
      <c r="IY2" s="43">
        <v>93.93</v>
      </c>
      <c r="JB2" s="43">
        <v>94.43</v>
      </c>
      <c r="JC2" s="43">
        <v>93.53</v>
      </c>
      <c r="JD2" s="43">
        <v>93.53</v>
      </c>
      <c r="JE2" s="43">
        <v>93.3</v>
      </c>
      <c r="JF2" s="43">
        <v>93.27</v>
      </c>
      <c r="JI2" s="43">
        <v>93.29</v>
      </c>
      <c r="JJ2" s="43">
        <v>93.96</v>
      </c>
      <c r="JK2" s="43">
        <v>96.55</v>
      </c>
      <c r="JL2" s="43">
        <v>93.1</v>
      </c>
      <c r="JM2" s="43">
        <v>92.2</v>
      </c>
      <c r="JP2" s="43">
        <v>90.71</v>
      </c>
      <c r="JQ2" s="43">
        <v>90.92</v>
      </c>
      <c r="JR2" s="43">
        <v>85.81</v>
      </c>
      <c r="JS2" s="43">
        <v>84.07</v>
      </c>
      <c r="JT2" s="43">
        <v>84.58</v>
      </c>
      <c r="JW2" s="43">
        <v>88.15</v>
      </c>
      <c r="JX2" s="43">
        <v>87.65</v>
      </c>
      <c r="JY2" s="43">
        <v>86</v>
      </c>
      <c r="JZ2" s="43">
        <v>86</v>
      </c>
      <c r="KA2" s="43">
        <v>90.89</v>
      </c>
      <c r="KD2" s="43">
        <v>89.65</v>
      </c>
      <c r="KE2" s="43">
        <v>89.9</v>
      </c>
      <c r="KF2" s="43">
        <v>91.5</v>
      </c>
      <c r="KG2" s="43">
        <v>92.38</v>
      </c>
      <c r="KH2" s="43">
        <v>92.16</v>
      </c>
      <c r="KK2" s="43">
        <v>89.83</v>
      </c>
      <c r="KL2" s="43">
        <v>88.07</v>
      </c>
      <c r="KM2" s="43">
        <v>90.13</v>
      </c>
      <c r="KN2" s="43">
        <v>87.93</v>
      </c>
      <c r="KO2" s="43">
        <v>90.48</v>
      </c>
      <c r="KR2" s="43">
        <v>86.35</v>
      </c>
      <c r="KS2" s="43">
        <v>85.02</v>
      </c>
      <c r="KT2" s="43">
        <v>86.85</v>
      </c>
      <c r="KU2" s="43">
        <v>86.85</v>
      </c>
      <c r="KV2" s="43">
        <v>84.89</v>
      </c>
      <c r="KY2" s="43">
        <v>85.18</v>
      </c>
      <c r="KZ2" s="43">
        <v>81.61</v>
      </c>
      <c r="LA2" s="43">
        <v>79.540000000000006</v>
      </c>
      <c r="LB2" s="43">
        <v>80.010000000000005</v>
      </c>
      <c r="LC2" s="43">
        <v>81.430000000000007</v>
      </c>
      <c r="LF2" s="43">
        <v>82.52</v>
      </c>
      <c r="LG2" s="43">
        <v>81.180000000000007</v>
      </c>
      <c r="LH2" s="43">
        <v>81.180000000000007</v>
      </c>
      <c r="LI2" s="43">
        <v>77.42</v>
      </c>
      <c r="LJ2" s="43">
        <v>80.61</v>
      </c>
      <c r="LM2" s="43">
        <v>82.32</v>
      </c>
      <c r="LN2" s="43">
        <v>82.45</v>
      </c>
      <c r="LO2" s="43">
        <v>81.96</v>
      </c>
      <c r="LP2" s="43">
        <v>81.96</v>
      </c>
      <c r="LQ2" s="43">
        <v>80.58</v>
      </c>
      <c r="LT2" s="43">
        <v>79.98</v>
      </c>
      <c r="LU2" s="43">
        <v>81.680000000000007</v>
      </c>
      <c r="LV2" s="43">
        <v>82.88</v>
      </c>
      <c r="LW2" s="43">
        <v>80.86</v>
      </c>
      <c r="LX2" s="43">
        <v>78.88</v>
      </c>
      <c r="MA2" s="43">
        <v>78.03</v>
      </c>
      <c r="MB2" s="43">
        <v>77.2</v>
      </c>
      <c r="MC2" s="43">
        <v>74.3</v>
      </c>
      <c r="MD2" s="43">
        <v>74.05</v>
      </c>
      <c r="ME2" s="43">
        <v>75.84</v>
      </c>
      <c r="MH2" s="43">
        <v>76.03</v>
      </c>
      <c r="MI2" s="43">
        <v>73.239999999999995</v>
      </c>
      <c r="MJ2" s="43">
        <v>74.260000000000005</v>
      </c>
      <c r="MK2" s="43">
        <v>76.61</v>
      </c>
      <c r="ML2" s="43">
        <v>76.55</v>
      </c>
      <c r="MO2" s="43">
        <v>77.95</v>
      </c>
      <c r="MP2" s="43">
        <v>79.23</v>
      </c>
      <c r="MQ2" s="43">
        <v>79.7</v>
      </c>
      <c r="MR2" s="43">
        <v>79.39</v>
      </c>
      <c r="MS2" s="43">
        <v>79.069999999999993</v>
      </c>
      <c r="MV2" s="43">
        <v>79.069999999999993</v>
      </c>
      <c r="MW2" s="43">
        <v>81.069999999999993</v>
      </c>
      <c r="MX2" s="43">
        <v>79.540000000000006</v>
      </c>
      <c r="MY2" s="43">
        <v>77.150000000000006</v>
      </c>
      <c r="MZ2" s="43">
        <v>77.040000000000006</v>
      </c>
    </row>
    <row r="3" spans="1:366" s="44" customFormat="1" ht="14.25" customHeight="1" x14ac:dyDescent="0.25">
      <c r="A3" s="5" t="s">
        <v>161</v>
      </c>
      <c r="C3" s="44">
        <f>C2*7.33</f>
        <v>629.72029999999995</v>
      </c>
      <c r="D3" s="44">
        <f t="shared" ref="D3:F3" si="0">D2*7.33</f>
        <v>601.79300000000001</v>
      </c>
      <c r="E3" s="44">
        <f t="shared" si="0"/>
        <v>570.56720000000007</v>
      </c>
      <c r="F3" s="44">
        <f t="shared" si="0"/>
        <v>576.79769999999996</v>
      </c>
      <c r="G3" s="44">
        <f>G2*7.33</f>
        <v>575.91809999999998</v>
      </c>
      <c r="J3" s="44">
        <f>J2*7.33</f>
        <v>583.83450000000005</v>
      </c>
      <c r="K3" s="44">
        <f t="shared" ref="K3:M3" si="1">K2*7.33</f>
        <v>587.13299999999992</v>
      </c>
      <c r="L3" s="44">
        <f t="shared" si="1"/>
        <v>605.97109999999998</v>
      </c>
      <c r="M3" s="44">
        <f t="shared" si="1"/>
        <v>615.93989999999997</v>
      </c>
      <c r="N3" s="44">
        <f>N2*7.33</f>
        <v>625.10239999999999</v>
      </c>
      <c r="Q3" s="44">
        <f>Q2*7.33</f>
        <v>625.10239999999999</v>
      </c>
      <c r="R3" s="44">
        <f t="shared" ref="R3:T3" si="2">R2*7.33</f>
        <v>629.79359999999997</v>
      </c>
      <c r="S3" s="44">
        <f t="shared" si="2"/>
        <v>622.90340000000003</v>
      </c>
      <c r="T3" s="44">
        <f t="shared" si="2"/>
        <v>631.55279999999993</v>
      </c>
      <c r="U3" s="44">
        <f>U2*7.33</f>
        <v>642.3279</v>
      </c>
      <c r="X3" s="44">
        <f>X2*7.33</f>
        <v>646.43269999999995</v>
      </c>
      <c r="Y3" s="44">
        <f t="shared" ref="Y3:AA3" si="3">Y2*7.33</f>
        <v>631.3329</v>
      </c>
      <c r="Z3" s="44">
        <f t="shared" si="3"/>
        <v>631.25960000000009</v>
      </c>
      <c r="AA3" s="44">
        <f t="shared" si="3"/>
        <v>641.15509999999995</v>
      </c>
      <c r="AB3" s="44">
        <f>AB2*7.33</f>
        <v>635.21780000000001</v>
      </c>
      <c r="AE3" s="44">
        <f>AE2*7.33</f>
        <v>619.38499999999999</v>
      </c>
      <c r="AF3" s="44">
        <f t="shared" ref="AF3:AG3" si="4">AF2*7.33</f>
        <v>626.42179999999996</v>
      </c>
      <c r="AG3" s="44">
        <f t="shared" si="4"/>
        <v>605.31140000000005</v>
      </c>
      <c r="AH3" s="44">
        <f t="shared" ref="AH3" si="5">AH2*7.33</f>
        <v>602.30610000000001</v>
      </c>
      <c r="AI3" s="44">
        <f>AI2*7.33</f>
        <v>585.96019999999999</v>
      </c>
      <c r="AL3" s="44">
        <f>AL2*7.33</f>
        <v>593.6567</v>
      </c>
      <c r="AM3" s="44">
        <f t="shared" ref="AM3:AO3" si="6">AM2*7.33</f>
        <v>613.44769999999994</v>
      </c>
      <c r="AN3" s="44">
        <f t="shared" si="6"/>
        <v>623.7097</v>
      </c>
      <c r="AO3" s="44">
        <f t="shared" si="6"/>
        <v>619.38499999999999</v>
      </c>
      <c r="AP3" s="44">
        <f>AP2*7.33</f>
        <v>633.23869999999999</v>
      </c>
      <c r="AS3" s="44">
        <f>AS2*7.33</f>
        <v>634.85130000000004</v>
      </c>
      <c r="AT3" s="44">
        <f t="shared" ref="AT3:AV3" si="7">AT2*7.33</f>
        <v>627.30139999999994</v>
      </c>
      <c r="AU3" s="44">
        <f t="shared" si="7"/>
        <v>625.83539999999994</v>
      </c>
      <c r="AV3" s="44">
        <f t="shared" si="7"/>
        <v>624.07619999999997</v>
      </c>
      <c r="AW3" s="44">
        <f>AW2*7.33</f>
        <v>608.75649999999996</v>
      </c>
      <c r="AZ3" s="44">
        <f>AZ2*7.33</f>
        <v>608.75649999999996</v>
      </c>
      <c r="BA3" s="44">
        <f t="shared" ref="BA3:BC3" si="8">BA2*7.33</f>
        <v>608.75649999999996</v>
      </c>
      <c r="BB3" s="44">
        <f t="shared" si="8"/>
        <v>590.798</v>
      </c>
      <c r="BC3" s="44">
        <f t="shared" si="8"/>
        <v>602.59929999999997</v>
      </c>
      <c r="BD3" s="44">
        <f>BD2*7.33</f>
        <v>609.56279999999992</v>
      </c>
      <c r="BG3" s="44">
        <f>BG2*7.33</f>
        <v>601.35320000000002</v>
      </c>
      <c r="BH3" s="44">
        <f t="shared" ref="BH3:BJ3" si="9">BH2*7.33</f>
        <v>611.68849999999998</v>
      </c>
      <c r="BI3" s="44">
        <f t="shared" si="9"/>
        <v>617.9923</v>
      </c>
      <c r="BJ3" s="44">
        <f t="shared" si="9"/>
        <v>621.21749999999997</v>
      </c>
      <c r="BK3" s="44">
        <f>BK2*7.33</f>
        <v>629.13390000000004</v>
      </c>
      <c r="BN3" s="44">
        <f>BN2*7.33</f>
        <v>631.69940000000008</v>
      </c>
      <c r="BO3" s="44">
        <f t="shared" ref="BO3:BQ3" si="10">BO2*7.33</f>
        <v>610.51570000000004</v>
      </c>
      <c r="BP3" s="44">
        <f t="shared" si="10"/>
        <v>605.89779999999996</v>
      </c>
      <c r="BQ3" s="44">
        <f t="shared" si="10"/>
        <v>598.05470000000003</v>
      </c>
      <c r="BR3" s="44">
        <f>BR2*7.33</f>
        <v>606.77740000000006</v>
      </c>
      <c r="BU3" s="44">
        <f>BU2*7.33</f>
        <v>592.04409999999996</v>
      </c>
      <c r="BV3" s="44">
        <f t="shared" ref="BV3:BX3" si="11">BV2*7.33</f>
        <v>567.70850000000007</v>
      </c>
      <c r="BW3" s="44">
        <f t="shared" si="11"/>
        <v>540.14769999999999</v>
      </c>
      <c r="BX3" s="44">
        <f t="shared" si="11"/>
        <v>547.55100000000004</v>
      </c>
      <c r="BY3" s="44">
        <f>BY2*7.33</f>
        <v>534.87009999999998</v>
      </c>
      <c r="CB3" s="44">
        <f>CB2*7.33</f>
        <v>540.88070000000005</v>
      </c>
      <c r="CC3" s="44">
        <f t="shared" ref="CC3:CE3" si="12">CC2*7.33</f>
        <v>552.09559999999999</v>
      </c>
      <c r="CD3" s="44">
        <f t="shared" si="12"/>
        <v>562.1377</v>
      </c>
      <c r="CE3" s="44">
        <f t="shared" si="12"/>
        <v>556.4203</v>
      </c>
      <c r="CF3" s="44">
        <f>CF2*7.33</f>
        <v>549.67669999999998</v>
      </c>
      <c r="CI3" s="44">
        <f>CI2*7.33</f>
        <v>572.61959999999999</v>
      </c>
      <c r="CJ3" s="44">
        <f t="shared" ref="CJ3:CL3" si="13">CJ2*7.33</f>
        <v>576.50450000000001</v>
      </c>
      <c r="CK3" s="44">
        <f t="shared" si="13"/>
        <v>573.79240000000004</v>
      </c>
      <c r="CL3" s="44">
        <f t="shared" si="13"/>
        <v>576.13799999999992</v>
      </c>
      <c r="CM3" s="44">
        <f>CM2*7.33</f>
        <v>585.59370000000001</v>
      </c>
      <c r="CP3" s="44">
        <f>CP2*7.33</f>
        <v>622.53690000000006</v>
      </c>
      <c r="CQ3" s="44">
        <f t="shared" ref="CQ3:CS3" si="14">CQ2*7.33</f>
        <v>622.61019999999996</v>
      </c>
      <c r="CR3" s="44">
        <f t="shared" si="14"/>
        <v>622.97669999999994</v>
      </c>
      <c r="CS3" s="44">
        <f t="shared" si="14"/>
        <v>623.92960000000005</v>
      </c>
      <c r="CT3" s="44">
        <f>CT2*7.33</f>
        <v>623.92960000000005</v>
      </c>
      <c r="CW3" s="44">
        <f>CW2*7.33</f>
        <v>617.0394</v>
      </c>
      <c r="CX3" s="44">
        <f t="shared" ref="CX3:CZ3" si="15">CX2*7.33</f>
        <v>627.5213</v>
      </c>
      <c r="CY3" s="44">
        <f t="shared" si="15"/>
        <v>640.12890000000004</v>
      </c>
      <c r="CZ3" s="44">
        <f t="shared" si="15"/>
        <v>631.03970000000004</v>
      </c>
      <c r="DA3" s="44">
        <f>DA2*7.33</f>
        <v>632.65229999999997</v>
      </c>
      <c r="DD3" s="44">
        <f>DD2*7.33</f>
        <v>621.29079999999999</v>
      </c>
      <c r="DE3" s="44">
        <f t="shared" ref="DE3:DG3" si="16">DE2*7.33</f>
        <v>621.36410000000001</v>
      </c>
      <c r="DF3" s="44">
        <f t="shared" si="16"/>
        <v>609.26960000000008</v>
      </c>
      <c r="DG3" s="44">
        <f t="shared" si="16"/>
        <v>598.56780000000003</v>
      </c>
      <c r="DH3" s="44">
        <f>DH2*7.33</f>
        <v>598.56780000000003</v>
      </c>
      <c r="DK3" s="44">
        <f>DK2*7.33</f>
        <v>606.41090000000008</v>
      </c>
      <c r="DL3" s="44">
        <f t="shared" ref="DL3:DN3" si="17">DL2*7.33</f>
        <v>592.04409999999996</v>
      </c>
      <c r="DM3" s="44">
        <f t="shared" si="17"/>
        <v>569.46770000000004</v>
      </c>
      <c r="DN3" s="44">
        <f t="shared" si="17"/>
        <v>573.35260000000005</v>
      </c>
      <c r="DO3" s="44">
        <f>DO2*7.33</f>
        <v>581.34230000000002</v>
      </c>
      <c r="DR3" s="44">
        <f>DR2*7.33</f>
        <v>581.34230000000002</v>
      </c>
      <c r="DS3" s="44">
        <f t="shared" ref="DS3:DU3" si="18">DS2*7.33</f>
        <v>552.09559999999999</v>
      </c>
      <c r="DT3" s="44">
        <f t="shared" si="18"/>
        <v>530.1789</v>
      </c>
      <c r="DU3" s="44">
        <f t="shared" si="18"/>
        <v>531.42499999999995</v>
      </c>
      <c r="DV3" s="44">
        <f>DV2*7.33</f>
        <v>551.94899999999996</v>
      </c>
      <c r="DY3" s="44">
        <f>DY2*7.33</f>
        <v>564.4833000000001</v>
      </c>
      <c r="DZ3" s="44">
        <f t="shared" ref="DZ3:EB3" si="19">DZ2*7.33</f>
        <v>567.63519999999994</v>
      </c>
      <c r="EA3" s="44">
        <f t="shared" si="19"/>
        <v>560.08529999999996</v>
      </c>
      <c r="EB3" s="44">
        <f t="shared" si="19"/>
        <v>549.60340000000008</v>
      </c>
      <c r="EC3" s="44">
        <f>EC2*7.33</f>
        <v>543.66610000000003</v>
      </c>
      <c r="EF3" s="44">
        <f>EF2*7.33</f>
        <v>551.43590000000006</v>
      </c>
      <c r="EG3" s="44">
        <f t="shared" ref="EG3:EI3" si="20">EG2*7.33</f>
        <v>549.09029999999996</v>
      </c>
      <c r="EH3" s="44">
        <f t="shared" si="20"/>
        <v>564.11680000000001</v>
      </c>
      <c r="EI3" s="44">
        <f t="shared" si="20"/>
        <v>556.05380000000002</v>
      </c>
      <c r="EJ3" s="44">
        <f>EJ2*7.33</f>
        <v>554.00139999999999</v>
      </c>
      <c r="EM3" s="44">
        <f t="shared" ref="EM3:EO3" si="21">EM2*7.33</f>
        <v>557.00670000000002</v>
      </c>
      <c r="EN3" s="44">
        <f t="shared" si="21"/>
        <v>563.23720000000003</v>
      </c>
      <c r="EO3" s="44">
        <f t="shared" si="21"/>
        <v>574.37879999999996</v>
      </c>
      <c r="EP3" s="44">
        <f>EP2*7.33</f>
        <v>558.98580000000004</v>
      </c>
      <c r="EQ3" s="44">
        <f>EQ2*7.33</f>
        <v>564.04349999999999</v>
      </c>
      <c r="ET3" s="44">
        <f t="shared" ref="ET3:EV3" si="22">ET2*7.33</f>
        <v>564.04349999999999</v>
      </c>
      <c r="EU3" s="44">
        <f t="shared" si="22"/>
        <v>540.29429999999991</v>
      </c>
      <c r="EV3" s="44">
        <f t="shared" si="22"/>
        <v>532.15800000000002</v>
      </c>
      <c r="EW3" s="44">
        <f>EW2*7.33</f>
        <v>544.47239999999999</v>
      </c>
      <c r="EX3" s="44">
        <f>EX2*7.33</f>
        <v>558.03289999999993</v>
      </c>
      <c r="FA3" s="44">
        <f t="shared" ref="FA3:FC3" si="23">FA2*7.33</f>
        <v>562.28429999999992</v>
      </c>
      <c r="FB3" s="44">
        <f t="shared" si="23"/>
        <v>559.20570000000009</v>
      </c>
      <c r="FC3" s="44">
        <f t="shared" si="23"/>
        <v>556.78679999999997</v>
      </c>
      <c r="FD3" s="44">
        <f>FD2*7.33</f>
        <v>556.78679999999997</v>
      </c>
      <c r="FE3" s="44">
        <f>FE2*7.33</f>
        <v>548.21070000000009</v>
      </c>
      <c r="FH3" s="44">
        <f t="shared" ref="FH3:FJ3" si="24">FH2*7.33</f>
        <v>526.58720000000005</v>
      </c>
      <c r="FI3" s="44">
        <f t="shared" si="24"/>
        <v>544.54570000000001</v>
      </c>
      <c r="FJ3" s="44">
        <f t="shared" si="24"/>
        <v>536.55600000000004</v>
      </c>
      <c r="FK3" s="44">
        <f>FK2*7.33</f>
        <v>554.66110000000003</v>
      </c>
      <c r="FL3" s="44">
        <f>FL2*7.33</f>
        <v>561.55129999999997</v>
      </c>
      <c r="FO3" s="44">
        <f t="shared" ref="FO3:FQ3" si="25">FO2*7.33</f>
        <v>561.55129999999997</v>
      </c>
      <c r="FP3" s="44">
        <f t="shared" si="25"/>
        <v>556.34700000000009</v>
      </c>
      <c r="FQ3" s="44">
        <f t="shared" si="25"/>
        <v>565.28960000000006</v>
      </c>
      <c r="FR3" s="44">
        <f>FR2*7.33</f>
        <v>543.44619999999998</v>
      </c>
      <c r="FS3" s="44">
        <f>FS2*7.33</f>
        <v>541.32049999999992</v>
      </c>
      <c r="FV3" s="44">
        <f t="shared" ref="FV3:FX3" si="26">FV2*7.33</f>
        <v>543.73940000000005</v>
      </c>
      <c r="FW3" s="44">
        <f t="shared" si="26"/>
        <v>529.66579999999999</v>
      </c>
      <c r="FX3" s="44">
        <f t="shared" si="26"/>
        <v>542.63990000000001</v>
      </c>
      <c r="FY3" s="44">
        <f>FY2*7.33</f>
        <v>546.15830000000005</v>
      </c>
      <c r="FZ3" s="44">
        <f>FZ2*7.33</f>
        <v>552.75530000000003</v>
      </c>
      <c r="GC3" s="44">
        <f t="shared" ref="GC3:GE3" si="27">GC2*7.33</f>
        <v>547.18450000000007</v>
      </c>
      <c r="GD3" s="44">
        <f t="shared" si="27"/>
        <v>547.18450000000007</v>
      </c>
      <c r="GE3" s="44">
        <f t="shared" si="27"/>
        <v>561.84450000000004</v>
      </c>
      <c r="GF3" s="44">
        <f>GF2*7.33</f>
        <v>560.89159999999993</v>
      </c>
      <c r="GG3" s="44">
        <f>GG2*7.33</f>
        <v>575.18510000000003</v>
      </c>
      <c r="GJ3" s="44">
        <f t="shared" ref="GJ3:GL3" si="28">GJ2*7.33</f>
        <v>569.46770000000004</v>
      </c>
      <c r="GK3" s="44">
        <f t="shared" si="28"/>
        <v>582.00200000000007</v>
      </c>
      <c r="GL3" s="44">
        <f t="shared" si="28"/>
        <v>587.20630000000006</v>
      </c>
      <c r="GM3" s="44">
        <f>GM2*7.33</f>
        <v>596.36879999999996</v>
      </c>
      <c r="GN3" s="44">
        <f>GN2*7.33</f>
        <v>585.44710000000009</v>
      </c>
      <c r="GQ3" s="44">
        <f t="shared" ref="GQ3:GS3" si="29">GQ2*7.33</f>
        <v>575.40499999999997</v>
      </c>
      <c r="GR3" s="44">
        <f t="shared" si="29"/>
        <v>583.68790000000001</v>
      </c>
      <c r="GS3" s="44">
        <f t="shared" si="29"/>
        <v>582.44179999999994</v>
      </c>
      <c r="GT3" s="44">
        <f>GT2*7.33</f>
        <v>583.76120000000003</v>
      </c>
      <c r="GU3" s="44">
        <f>GU2*7.33</f>
        <v>594.24309999999991</v>
      </c>
      <c r="GX3" s="44">
        <f t="shared" ref="GX3:GZ3" si="30">GX2*7.33</f>
        <v>606.48419999999999</v>
      </c>
      <c r="GY3" s="44">
        <f t="shared" si="30"/>
        <v>613.08119999999997</v>
      </c>
      <c r="GZ3" s="44">
        <f t="shared" si="30"/>
        <v>607.80360000000007</v>
      </c>
      <c r="HA3" s="44">
        <f>HA2*7.33</f>
        <v>617.47919999999999</v>
      </c>
      <c r="HB3" s="44">
        <f>HB2*7.33</f>
        <v>618.72529999999995</v>
      </c>
      <c r="HE3" s="44">
        <f t="shared" ref="HE3:HG3" si="31">HE2*7.33</f>
        <v>626.20190000000002</v>
      </c>
      <c r="HF3" s="44">
        <f t="shared" si="31"/>
        <v>622.39030000000002</v>
      </c>
      <c r="HG3" s="44">
        <f t="shared" si="31"/>
        <v>609.85599999999999</v>
      </c>
      <c r="HH3" s="44">
        <f>HH2*7.33</f>
        <v>624.07619999999997</v>
      </c>
      <c r="HI3" s="44">
        <f>HI2*7.33</f>
        <v>632.13919999999996</v>
      </c>
      <c r="HL3" s="44">
        <f t="shared" ref="HL3:HN3" si="32">HL2*7.33</f>
        <v>625.54219999999998</v>
      </c>
      <c r="HM3" s="44">
        <f t="shared" si="32"/>
        <v>631.62610000000006</v>
      </c>
      <c r="HN3" s="44">
        <f t="shared" si="32"/>
        <v>641.74149999999997</v>
      </c>
      <c r="HO3" s="44">
        <f>HO2*7.33</f>
        <v>633.31200000000001</v>
      </c>
      <c r="HP3" s="44">
        <f>HP2*7.33</f>
        <v>636.31730000000005</v>
      </c>
      <c r="HS3" s="44">
        <f t="shared" ref="HS3:HU3" si="33">HS2*7.33</f>
        <v>631.91929999999991</v>
      </c>
      <c r="HT3" s="44">
        <f t="shared" si="33"/>
        <v>622.24369999999999</v>
      </c>
      <c r="HU3" s="44">
        <f t="shared" si="33"/>
        <v>611.68849999999998</v>
      </c>
      <c r="HV3" s="44">
        <f>HV2*7.33</f>
        <v>616.59960000000001</v>
      </c>
      <c r="HW3" s="44">
        <f>HW2*7.33</f>
        <v>621.58399999999995</v>
      </c>
      <c r="HZ3" s="44">
        <f t="shared" ref="HZ3:IB3" si="34">HZ2*7.33</f>
        <v>619.09179999999992</v>
      </c>
      <c r="IA3" s="44">
        <f t="shared" si="34"/>
        <v>615.93989999999997</v>
      </c>
      <c r="IB3" s="44">
        <f t="shared" si="34"/>
        <v>609.92930000000001</v>
      </c>
      <c r="IC3" s="44">
        <f>IC2*7.33</f>
        <v>611.02880000000005</v>
      </c>
      <c r="ID3" s="44">
        <f>ID2*7.33</f>
        <v>619.23840000000007</v>
      </c>
      <c r="IG3" s="44">
        <f t="shared" ref="IG3:II3" si="35">IG2*7.33</f>
        <v>618.79859999999996</v>
      </c>
      <c r="IH3" s="44">
        <f t="shared" si="35"/>
        <v>626.64170000000001</v>
      </c>
      <c r="II3" s="44">
        <f t="shared" si="35"/>
        <v>624.80919999999992</v>
      </c>
      <c r="IJ3" s="44">
        <f>IJ2*7.33</f>
        <v>636.46389999999997</v>
      </c>
      <c r="IK3" s="44">
        <f>IK2*7.33</f>
        <v>649.07150000000001</v>
      </c>
      <c r="IN3" s="44">
        <f t="shared" ref="IN3:IP3" si="36">IN2*7.33</f>
        <v>649.07150000000001</v>
      </c>
      <c r="IO3" s="44">
        <f t="shared" si="36"/>
        <v>659.9932</v>
      </c>
      <c r="IP3" s="44">
        <f t="shared" si="36"/>
        <v>659.11360000000002</v>
      </c>
      <c r="IQ3" s="44">
        <f>IQ2*7.33</f>
        <v>659.11360000000002</v>
      </c>
      <c r="IR3" s="44">
        <f>IR2*7.33</f>
        <v>664.46450000000004</v>
      </c>
      <c r="IU3" s="44">
        <f t="shared" ref="IU3:IW3" si="37">IU2*7.33</f>
        <v>664.39120000000003</v>
      </c>
      <c r="IV3" s="44">
        <f t="shared" si="37"/>
        <v>674.7998</v>
      </c>
      <c r="IW3" s="44">
        <f t="shared" si="37"/>
        <v>673.48039999999992</v>
      </c>
      <c r="IX3" s="44">
        <f>IX2*7.33</f>
        <v>686.82100000000003</v>
      </c>
      <c r="IY3" s="44">
        <f>IY2*7.33</f>
        <v>688.50690000000009</v>
      </c>
      <c r="JB3" s="44">
        <f t="shared" ref="JB3:JD3" si="38">JB2*7.33</f>
        <v>692.17190000000005</v>
      </c>
      <c r="JC3" s="44">
        <f t="shared" si="38"/>
        <v>685.57490000000007</v>
      </c>
      <c r="JD3" s="44">
        <f t="shared" si="38"/>
        <v>685.57490000000007</v>
      </c>
      <c r="JE3" s="44">
        <f>JE2*7.33</f>
        <v>683.88900000000001</v>
      </c>
      <c r="JF3" s="44">
        <f>JF2*7.33</f>
        <v>683.66909999999996</v>
      </c>
      <c r="JI3" s="44">
        <f t="shared" ref="JI3:JJ3" si="39">JI2*7.33</f>
        <v>683.81570000000011</v>
      </c>
      <c r="JJ3" s="44">
        <f t="shared" si="39"/>
        <v>688.72679999999991</v>
      </c>
      <c r="JK3" s="44">
        <f>JK2*7.33</f>
        <v>707.7115</v>
      </c>
      <c r="JL3" s="44">
        <f>JL2*7.33</f>
        <v>682.423</v>
      </c>
      <c r="JM3" s="44">
        <f>JM2*7.33</f>
        <v>675.82600000000002</v>
      </c>
      <c r="JP3" s="44">
        <f t="shared" ref="JP3:JQ3" si="40">JP2*7.33</f>
        <v>664.90429999999992</v>
      </c>
      <c r="JQ3" s="44">
        <f t="shared" si="40"/>
        <v>666.44360000000006</v>
      </c>
      <c r="JR3" s="44">
        <f>JR2*7.33</f>
        <v>628.9873</v>
      </c>
      <c r="JS3" s="44">
        <f>JS2*7.33</f>
        <v>616.23309999999992</v>
      </c>
      <c r="JT3" s="44">
        <f>JT2*7.33</f>
        <v>619.97140000000002</v>
      </c>
      <c r="JW3" s="44">
        <f t="shared" ref="JW3:JX3" si="41">JW2*7.33</f>
        <v>646.1395</v>
      </c>
      <c r="JX3" s="44">
        <f t="shared" si="41"/>
        <v>642.47450000000003</v>
      </c>
      <c r="JY3" s="44">
        <f>JY2*7.33</f>
        <v>630.38</v>
      </c>
      <c r="JZ3" s="44">
        <v>630.38</v>
      </c>
      <c r="KA3" s="44">
        <f>KA2*7.33</f>
        <v>666.22370000000001</v>
      </c>
      <c r="KD3" s="44">
        <f t="shared" ref="KD3:KE3" si="42">KD2*7.33</f>
        <v>657.1345</v>
      </c>
      <c r="KE3" s="44">
        <f t="shared" si="42"/>
        <v>658.9670000000001</v>
      </c>
      <c r="KF3" s="44">
        <f>KF2*7.33</f>
        <v>670.69500000000005</v>
      </c>
      <c r="KG3" s="44">
        <f>KG2*7.33</f>
        <v>677.1454</v>
      </c>
      <c r="KH3" s="44">
        <f>KH2*7.33</f>
        <v>675.53279999999995</v>
      </c>
      <c r="KK3" s="44">
        <f t="shared" ref="KK3:KL3" si="43">KK2*7.33</f>
        <v>658.45389999999998</v>
      </c>
      <c r="KL3" s="44">
        <f t="shared" si="43"/>
        <v>645.55309999999997</v>
      </c>
      <c r="KM3" s="44">
        <f>KM2*7.33</f>
        <v>660.65289999999993</v>
      </c>
      <c r="KN3" s="44">
        <f>KN2*7.33</f>
        <v>644.52690000000007</v>
      </c>
      <c r="KO3" s="44">
        <f>KO2*7.33</f>
        <v>663.21840000000009</v>
      </c>
      <c r="KR3" s="44">
        <f t="shared" ref="KR3:KS3" si="44">KR2*7.33</f>
        <v>632.94549999999992</v>
      </c>
      <c r="KS3" s="44">
        <f t="shared" si="44"/>
        <v>623.19659999999999</v>
      </c>
      <c r="KT3" s="44">
        <f>KT2*7.33</f>
        <v>636.6105</v>
      </c>
      <c r="KU3" s="44">
        <f>KU2*7.33</f>
        <v>636.6105</v>
      </c>
      <c r="KV3" s="44">
        <f>KV2*7.33</f>
        <v>622.24369999999999</v>
      </c>
      <c r="KY3" s="44">
        <f t="shared" ref="KY3:KZ3" si="45">KY2*7.33</f>
        <v>624.36940000000004</v>
      </c>
      <c r="KZ3" s="44">
        <f t="shared" si="45"/>
        <v>598.20129999999995</v>
      </c>
      <c r="LA3" s="44">
        <f>LA2*7.33</f>
        <v>583.02820000000008</v>
      </c>
      <c r="LB3" s="44">
        <f>LB2*7.33</f>
        <v>586.47329999999999</v>
      </c>
      <c r="LC3" s="44">
        <f>LC2*7.33</f>
        <v>596.88190000000009</v>
      </c>
      <c r="LF3" s="44">
        <f t="shared" ref="LF3:LG3" si="46">LF2*7.33</f>
        <v>604.87159999999994</v>
      </c>
      <c r="LG3" s="44">
        <f t="shared" si="46"/>
        <v>595.04940000000011</v>
      </c>
      <c r="LH3" s="44">
        <f>LH2*7.33</f>
        <v>595.04940000000011</v>
      </c>
      <c r="LI3" s="44">
        <f>LI2*7.33</f>
        <v>567.48860000000002</v>
      </c>
      <c r="LJ3" s="44">
        <f>LJ2*7.33</f>
        <v>590.87130000000002</v>
      </c>
      <c r="LM3" s="44">
        <f t="shared" ref="LM3:LN3" si="47">LM2*7.33</f>
        <v>603.40559999999994</v>
      </c>
      <c r="LN3" s="44">
        <f t="shared" si="47"/>
        <v>604.35850000000005</v>
      </c>
      <c r="LO3" s="44">
        <f>LO2*7.33</f>
        <v>600.76679999999999</v>
      </c>
      <c r="LP3" s="44">
        <f>LP2*7.33</f>
        <v>600.76679999999999</v>
      </c>
      <c r="LQ3" s="44">
        <f>LQ2*7.33</f>
        <v>590.65139999999997</v>
      </c>
      <c r="LT3" s="44">
        <f t="shared" ref="LT3:LU3" si="48">LT2*7.33</f>
        <v>586.25340000000006</v>
      </c>
      <c r="LU3" s="44">
        <f t="shared" si="48"/>
        <v>598.71440000000007</v>
      </c>
      <c r="LV3" s="44">
        <f>LV2*7.33</f>
        <v>607.5104</v>
      </c>
      <c r="LW3" s="44">
        <f>LW2*7.33</f>
        <v>592.7038</v>
      </c>
      <c r="LX3" s="44">
        <f>LX2*7.33</f>
        <v>578.19039999999995</v>
      </c>
      <c r="MA3" s="44">
        <f t="shared" ref="MA3:MB3" si="49">MA2*7.33</f>
        <v>571.95990000000006</v>
      </c>
      <c r="MB3" s="44">
        <f t="shared" si="49"/>
        <v>565.87599999999998</v>
      </c>
      <c r="MC3" s="44">
        <f>MC2*7.33</f>
        <v>544.61900000000003</v>
      </c>
      <c r="MD3" s="44">
        <f>MD2*7.33</f>
        <v>542.78649999999993</v>
      </c>
      <c r="ME3" s="44">
        <f>ME2*7.33</f>
        <v>555.90719999999999</v>
      </c>
      <c r="MH3" s="44">
        <f t="shared" ref="MH3:MI3" si="50">MH2*7.33</f>
        <v>557.29989999999998</v>
      </c>
      <c r="MI3" s="44">
        <f t="shared" si="50"/>
        <v>536.8492</v>
      </c>
      <c r="MJ3" s="44">
        <f>MJ2*7.33</f>
        <v>544.32580000000007</v>
      </c>
      <c r="MK3" s="44">
        <f>MK2*7.33</f>
        <v>561.55129999999997</v>
      </c>
      <c r="ML3" s="44">
        <f>ML2*7.33</f>
        <v>561.11149999999998</v>
      </c>
      <c r="MO3" s="44">
        <f t="shared" ref="MO3:MP3" si="51">MO2*7.33</f>
        <v>571.37350000000004</v>
      </c>
      <c r="MP3" s="44">
        <f t="shared" si="51"/>
        <v>580.7559</v>
      </c>
      <c r="MQ3" s="44">
        <f>MQ2*7.33</f>
        <v>584.20100000000002</v>
      </c>
      <c r="MR3" s="44">
        <f>MR2*7.33</f>
        <v>581.92870000000005</v>
      </c>
      <c r="MS3" s="44">
        <f>MS2*7.33</f>
        <v>579.58309999999994</v>
      </c>
      <c r="MV3" s="44">
        <f t="shared" ref="MV3:MW3" si="52">MV2*7.33</f>
        <v>579.58309999999994</v>
      </c>
      <c r="MW3" s="44">
        <f t="shared" si="52"/>
        <v>594.24309999999991</v>
      </c>
      <c r="MX3" s="44">
        <f>MX2*7.33</f>
        <v>583.02820000000008</v>
      </c>
      <c r="MY3" s="44">
        <f>MY2*7.33</f>
        <v>565.5095</v>
      </c>
      <c r="MZ3" s="44">
        <f>MZ2*7.33</f>
        <v>564.70320000000004</v>
      </c>
    </row>
    <row r="4" spans="1:366" s="43" customFormat="1" ht="30.75" hidden="1" customHeight="1" x14ac:dyDescent="0.25">
      <c r="A4" s="42" t="s">
        <v>174</v>
      </c>
    </row>
    <row r="5" spans="1:366" s="34" customFormat="1" ht="1.5" customHeight="1" x14ac:dyDescent="0.25">
      <c r="A5" t="s">
        <v>173</v>
      </c>
    </row>
    <row r="6" spans="1:366" s="43" customFormat="1" ht="0.75" customHeight="1" x14ac:dyDescent="0.25">
      <c r="A6" s="42" t="s">
        <v>172</v>
      </c>
    </row>
    <row r="7" spans="1:366" s="45" customFormat="1" ht="11.25" customHeight="1" x14ac:dyDescent="0.25">
      <c r="A7" s="41"/>
    </row>
    <row r="8" spans="1:366" s="33" customFormat="1" x14ac:dyDescent="0.25">
      <c r="A8" s="5" t="s">
        <v>77</v>
      </c>
      <c r="B8" s="44"/>
      <c r="C8" s="59">
        <f>((1519.25*60)/27.2155)/100</f>
        <v>33.493781117377964</v>
      </c>
      <c r="D8" s="59">
        <f>((1587.25*60)/27.2155)/100</f>
        <v>34.992926824787347</v>
      </c>
      <c r="E8" s="59">
        <f>((1478.25*60)/27.2155)/100</f>
        <v>32.589884440851726</v>
      </c>
      <c r="F8" s="59">
        <f>((1466.75*60)/27.2155)/100</f>
        <v>32.33635244621631</v>
      </c>
      <c r="G8" s="59">
        <f>((1501.05*60)/27.2155)/100</f>
        <v>33.092539178041925</v>
      </c>
      <c r="J8" s="33">
        <f>((1503.5*60)/27.2155)/100</f>
        <v>33.146552516029466</v>
      </c>
      <c r="K8" s="33">
        <f>((1510*60)/27.2155)/100</f>
        <v>33.289853208649482</v>
      </c>
      <c r="L8" s="33">
        <f>((1515*60)/27.2155)/100</f>
        <v>33.400084510664875</v>
      </c>
      <c r="M8" s="33">
        <f>((1529.5*60)/27.2155)/100</f>
        <v>33.719755286509525</v>
      </c>
      <c r="N8" s="33">
        <f>((1538.25*60)/27.2155)/100</f>
        <v>33.912660065036469</v>
      </c>
      <c r="Q8" s="33">
        <f>((1538.25*60)/27.2155)/100</f>
        <v>33.912660065036469</v>
      </c>
      <c r="R8" s="33">
        <f>((1539.75*60)/27.2155)/100</f>
        <v>33.945729455641093</v>
      </c>
      <c r="S8" s="33">
        <f>((1524.5*60)/27.2155)/100</f>
        <v>33.609523984494132</v>
      </c>
      <c r="T8" s="33">
        <f>((1514.75*60)/27.2155)/100</f>
        <v>33.394572945564107</v>
      </c>
      <c r="U8" s="33">
        <f>((1506.5*60)/27.2155)/100</f>
        <v>33.212691297238706</v>
      </c>
      <c r="X8" s="33">
        <f>((1490.25*60)/27.2155)/100</f>
        <v>32.854439565688672</v>
      </c>
      <c r="Y8" s="33">
        <f>((1488.5*60)/27.2155)/100</f>
        <v>32.81585860998328</v>
      </c>
      <c r="Z8" s="33">
        <f>((1502.5*60)/27.2155)/100</f>
        <v>33.124506255626393</v>
      </c>
      <c r="AA8" s="33">
        <f>((1523.5*60)/27.2155)/100</f>
        <v>33.587477724091052</v>
      </c>
      <c r="AB8" s="33">
        <f>((1509.5*60)/27.2155)/100</f>
        <v>33.278830078447946</v>
      </c>
      <c r="AE8" s="33">
        <f>((1535.25*60)/27.2155)/100</f>
        <v>33.846521283827229</v>
      </c>
      <c r="AF8" s="33">
        <f>((1538*60)/27.2155)/100</f>
        <v>33.907148499935701</v>
      </c>
      <c r="AG8" s="33">
        <f>((1520.25*60)/27.2155)/100</f>
        <v>33.515827377781051</v>
      </c>
      <c r="AH8" s="33">
        <f>((1534.25*60)/27.2155)/100</f>
        <v>33.824475023424149</v>
      </c>
      <c r="AI8" s="33">
        <f>((1532*60)/27.2155)/100</f>
        <v>33.774870937517228</v>
      </c>
      <c r="AL8" s="33">
        <f>((1521.25*60)/27.2155)/100</f>
        <v>33.537873638184124</v>
      </c>
      <c r="AM8" s="33">
        <f>((1515.25*60)/27.2155)/100</f>
        <v>33.405596075765651</v>
      </c>
      <c r="AN8" s="33">
        <f>((1519.75*60)/27.2155)/100</f>
        <v>33.504804247579507</v>
      </c>
      <c r="AO8" s="33">
        <f>((1519.25*60)/27.2155)/100</f>
        <v>33.493781117377964</v>
      </c>
      <c r="AP8" s="33">
        <f>((1542.5*60)/27.2155)/100</f>
        <v>34.006356671749558</v>
      </c>
      <c r="AS8" s="33">
        <f>((1542.75*60)/27.2155)/100</f>
        <v>34.011868236850326</v>
      </c>
      <c r="AT8" s="33">
        <f>((1537.5*60)/27.2155)/100</f>
        <v>33.896125369734158</v>
      </c>
      <c r="AU8" s="33">
        <f>((1525.75*60)/27.2155)/100</f>
        <v>33.63708180999798</v>
      </c>
      <c r="AV8" s="33">
        <f>((1526.5*60)/27.2155)/100</f>
        <v>33.653616505300285</v>
      </c>
      <c r="AW8" s="33">
        <f>((1527.25*60)/27.2155)/100</f>
        <v>33.670151200602596</v>
      </c>
      <c r="AZ8" s="33">
        <f>((1527.25*60)/27.2155)/100</f>
        <v>33.670151200602596</v>
      </c>
      <c r="BA8" s="33">
        <f>((1527.25*60)/27.2155)/100</f>
        <v>33.670151200602596</v>
      </c>
      <c r="BB8" s="67">
        <f>((1539.5*60)/27.2155)/100</f>
        <v>33.940217890540318</v>
      </c>
      <c r="BC8" s="33">
        <f>((1534.25*60)/27.2155)/100</f>
        <v>33.824475023424149</v>
      </c>
      <c r="BD8" s="33">
        <f>((1529*60)/27.2155)/100</f>
        <v>33.708732156307988</v>
      </c>
      <c r="BG8" s="33">
        <f>((1518.25*60)/27.2155)/100</f>
        <v>33.471734856974884</v>
      </c>
      <c r="BH8" s="33">
        <f>((1490.5*60)/27.2155)/100</f>
        <v>32.85995113078944</v>
      </c>
      <c r="BI8" s="67">
        <f>((1504.25*60)/27.2155)/100</f>
        <v>33.163087211331778</v>
      </c>
      <c r="BJ8" s="33">
        <f>((1519.75*60)/27.2155)/100</f>
        <v>33.504804247579507</v>
      </c>
      <c r="BK8" s="33">
        <f>((1530.5*60)/27.2155)/100</f>
        <v>33.741801546912605</v>
      </c>
      <c r="BN8" s="33">
        <f>((1541*60)/27.2155)/100</f>
        <v>33.973287281144934</v>
      </c>
      <c r="BO8" s="33">
        <f>((1525.25*60)/27.2155)/100</f>
        <v>33.626058679796444</v>
      </c>
      <c r="BP8" s="67">
        <f>((1526.75*60)/27.2155)/100</f>
        <v>33.65912807040106</v>
      </c>
      <c r="BQ8" s="33">
        <f>((1520*60)/27.2155)/100</f>
        <v>33.510315812680275</v>
      </c>
      <c r="BR8" s="33">
        <f>((1513*60)/27.2155)/100</f>
        <v>33.355991989858722</v>
      </c>
      <c r="BU8" s="33">
        <f>((1500*60)/27.2155)/100</f>
        <v>33.06939060461869</v>
      </c>
      <c r="BV8" s="33">
        <f>((1499.75*60)/27.2155)/100</f>
        <v>33.063879039517921</v>
      </c>
      <c r="BW8" s="67">
        <f>((1489.25*60)/27.2155)/100</f>
        <v>32.832393305285592</v>
      </c>
      <c r="BX8" s="33">
        <f>((1491.5*60)/27.2155)/100</f>
        <v>32.88199739119252</v>
      </c>
      <c r="BY8" s="33">
        <f>((1476.5*60)/27.2155)/100</f>
        <v>32.551303485146335</v>
      </c>
      <c r="CB8" s="33">
        <f>((1486*60)/27.2155)/100</f>
        <v>32.760742958975584</v>
      </c>
      <c r="CC8" s="33">
        <f>((1467*60)/27.2155)/100</f>
        <v>32.341864011317085</v>
      </c>
      <c r="CD8" s="67">
        <f>((1448.5*60)/27.2155)/100</f>
        <v>31.934008193860119</v>
      </c>
      <c r="CE8" s="33">
        <f>((1419.5*60)/27.2155)/100</f>
        <v>31.294666642170824</v>
      </c>
      <c r="CF8" s="33">
        <f>((1428.25*60)/27.2155)/100</f>
        <v>31.487571420697762</v>
      </c>
      <c r="CI8" s="33">
        <f>((1442.25*60)/27.2155)/100</f>
        <v>31.796219066340871</v>
      </c>
      <c r="CJ8" s="33">
        <f>((1467.75*60)/27.2155)/100</f>
        <v>32.35839870661939</v>
      </c>
      <c r="CK8" s="33">
        <f>((1477.25*60)/27.2155)/100</f>
        <v>32.567838180448646</v>
      </c>
      <c r="CL8" s="33">
        <f>((1474.5*60)/27.2155)/100</f>
        <v>32.507210964340175</v>
      </c>
      <c r="CM8" s="33">
        <f>((1505.5*60)/27.2155)/100</f>
        <v>33.190645036835626</v>
      </c>
      <c r="CP8" s="33">
        <f>((1522*60)/27.2155)/100</f>
        <v>33.554408333486435</v>
      </c>
      <c r="CQ8" s="33">
        <f>((1317.5*60)/27.2155)/100</f>
        <v>29.045948081056753</v>
      </c>
      <c r="CR8" s="33">
        <f>((1511*60)/27.2155)/100</f>
        <v>33.311899469052562</v>
      </c>
      <c r="CS8" s="33">
        <f>((1492.5*60)/27.2155)/100</f>
        <v>32.9040436515956</v>
      </c>
      <c r="CT8" s="33">
        <f>((1492.5*60)/27.2155)/100</f>
        <v>32.9040436515956</v>
      </c>
      <c r="CW8" s="33">
        <f>((1487.25*60)/27.2155)/100</f>
        <v>32.788300784479432</v>
      </c>
      <c r="CX8" s="33">
        <f>((1497.25*60)/27.2155)/100</f>
        <v>33.008763388510225</v>
      </c>
      <c r="CY8" s="33">
        <f>((1504.25*60)/27.2155)/100</f>
        <v>33.163087211331778</v>
      </c>
      <c r="CZ8" s="33">
        <f>((1501*60)/27.2155)/100</f>
        <v>33.091436865021777</v>
      </c>
      <c r="DA8" s="33">
        <f>((1500.5*60)/27.2155)/100</f>
        <v>33.080413734820233</v>
      </c>
      <c r="DD8" s="33">
        <f>((1517*60)/27.2155)/100</f>
        <v>33.444177031471042</v>
      </c>
      <c r="DE8" s="33">
        <f>((1519.25*60)/27.2155)/100</f>
        <v>33.493781117377964</v>
      </c>
      <c r="DF8" s="33">
        <f>((1506.5*60)/27.2155)/100</f>
        <v>33.212691297238706</v>
      </c>
      <c r="DG8" s="33">
        <f>((1497.5*60)/27.2155)/100</f>
        <v>33.014274953610993</v>
      </c>
      <c r="DH8" s="33">
        <f>((1497.5*60)/27.2155)/100</f>
        <v>33.014274953610993</v>
      </c>
      <c r="DK8" s="33">
        <f>((1465.25*60)/27.2155)/100</f>
        <v>32.303283055611693</v>
      </c>
      <c r="DL8" s="33">
        <f>((1445.25*60)/27.2155)/100</f>
        <v>31.862357847550111</v>
      </c>
      <c r="DM8" s="33">
        <f>((1436*60)/27.2155)/100</f>
        <v>31.658429938821627</v>
      </c>
      <c r="DN8" s="33">
        <f>((1426.75*60)/27.2155)/100</f>
        <v>31.454502030093149</v>
      </c>
      <c r="DO8" s="33">
        <f>((1444.25*60)/27.2155)/100</f>
        <v>31.840311587147031</v>
      </c>
      <c r="DR8" s="33">
        <f>((1444.25*60)/27.2155)/100</f>
        <v>31.840311587147031</v>
      </c>
      <c r="DS8" s="33">
        <f>((1439.5*60)/27.2155)/100</f>
        <v>31.735591850232403</v>
      </c>
      <c r="DT8" s="33">
        <f>((1448*60)/27.2155)/100</f>
        <v>31.922985063658579</v>
      </c>
      <c r="DU8" s="33">
        <f>((1448.5*60)/27.2155)/100</f>
        <v>31.934008193860119</v>
      </c>
      <c r="DV8" s="33">
        <f>((1469*60)/27.2155)/100</f>
        <v>32.385956532123238</v>
      </c>
      <c r="DY8" s="33">
        <f>((1468.75*60)/27.2155)/100</f>
        <v>32.38044496702247</v>
      </c>
      <c r="DZ8" s="33">
        <f>((1451.75*60)/27.2155)/100</f>
        <v>32.005658540170124</v>
      </c>
      <c r="EA8" s="33">
        <f>((1436.5*60)/27.2155)/100</f>
        <v>31.66945306902317</v>
      </c>
      <c r="EB8" s="33">
        <f>((1443.25*60)/27.2155)/100</f>
        <v>31.818265326743955</v>
      </c>
      <c r="EC8" s="33">
        <f>((1435*60)/27.2155)/100</f>
        <v>31.63638367841855</v>
      </c>
      <c r="EF8" s="33">
        <f>((1400.75*60)/27.2155)/100</f>
        <v>30.881299259613087</v>
      </c>
      <c r="EG8" s="33">
        <f>((1364*60)/27.2155)/100</f>
        <v>30.071099189799934</v>
      </c>
      <c r="EH8" s="33">
        <f>((1337*60)/27.2155)/100</f>
        <v>29.475850158916796</v>
      </c>
      <c r="EI8" s="33">
        <f>((1333.25*60)/27.2155)/100</f>
        <v>29.393176682405247</v>
      </c>
      <c r="EJ8" s="33">
        <f>((1307.25*60)/27.2155)/100</f>
        <v>28.819973911925189</v>
      </c>
      <c r="EM8" s="33">
        <f>((1341.25*60)/27.2155)/100</f>
        <v>29.56954676562988</v>
      </c>
      <c r="EN8" s="33">
        <f>((1322.5*60)/27.2155)/100</f>
        <v>29.15617938307215</v>
      </c>
      <c r="EO8" s="33">
        <f>((1324.5*60)/27.2155)/100</f>
        <v>29.200271903878306</v>
      </c>
      <c r="EP8" s="33">
        <f>((1324*60)/27.2155)/100</f>
        <v>29.189248773676766</v>
      </c>
      <c r="EQ8" s="33">
        <f>((1337.25*60)/27.2155)/100</f>
        <v>29.481361724017564</v>
      </c>
      <c r="ET8" s="33">
        <f>((1337.25*60)/27.2155)/100</f>
        <v>29.481361724017564</v>
      </c>
      <c r="EU8" s="33">
        <f>((1296.5*60)/27.2155)/100</f>
        <v>28.582976612592091</v>
      </c>
      <c r="EV8" s="33">
        <f>((1299.75*60)/27.2155)/100</f>
        <v>28.654626958902099</v>
      </c>
      <c r="EW8" s="33">
        <f>((1329.5*60)/27.2155)/100</f>
        <v>29.310503205893703</v>
      </c>
      <c r="EX8" s="33">
        <f>((1352.5*60)/27.2155)/100</f>
        <v>29.817567195164521</v>
      </c>
      <c r="FA8" s="33">
        <f>((1350*60)/27.2155)/100</f>
        <v>29.762451544156825</v>
      </c>
      <c r="FB8" s="33">
        <f>((1353.25*60)/27.2155)/100</f>
        <v>29.834101890466833</v>
      </c>
      <c r="FC8" s="33">
        <f>((1360.75*60)/27.2155)/100</f>
        <v>29.999448843489926</v>
      </c>
      <c r="FD8" s="33">
        <v>29.999448843489926</v>
      </c>
      <c r="FE8" s="33">
        <f>((1386.5*60)/27.2155)/100</f>
        <v>30.567140048869213</v>
      </c>
      <c r="FH8" s="33">
        <f>((1372.75*60)/27.2155)/100</f>
        <v>30.264003968326875</v>
      </c>
      <c r="FI8" s="33">
        <f>((1399.25*60)/27.2155)/100</f>
        <v>30.84822986900847</v>
      </c>
      <c r="FJ8" s="33">
        <f>((1388.25*60)/27.2155)/100</f>
        <v>30.605721004574601</v>
      </c>
      <c r="FK8" s="33">
        <f>((1428.25*60)/27.2155)/100</f>
        <v>31.487571420697762</v>
      </c>
      <c r="FL8" s="33">
        <f>((1466.5*60)/27.2155)/100</f>
        <v>32.330840881115542</v>
      </c>
      <c r="FO8" s="33">
        <f>((1466.5*60)/27.2155)/100</f>
        <v>32.330840881115542</v>
      </c>
      <c r="FP8" s="33">
        <f>((1477.25*60)/27.2155)/100</f>
        <v>32.567838180448646</v>
      </c>
      <c r="FQ8" s="33">
        <f>((1514.75*60)/27.2155)/100</f>
        <v>33.394572945564107</v>
      </c>
      <c r="FR8" s="33">
        <f>((1500.5*60)/27.2155)/100</f>
        <v>33.080413734820233</v>
      </c>
      <c r="FS8" s="33">
        <f>((1494.5*60)/27.2155)/100</f>
        <v>32.94813617240176</v>
      </c>
      <c r="FV8" s="33">
        <f>((1521*60)/27.2155)/100</f>
        <v>33.532362073083355</v>
      </c>
      <c r="FW8" s="33">
        <f>((1495*60)/27.2155)/100</f>
        <v>32.959159302603297</v>
      </c>
      <c r="FX8" s="33">
        <f>((1451*60)/27.2155)/100</f>
        <v>31.989123844867819</v>
      </c>
      <c r="FY8" s="33">
        <f>((1483*60)/27.2155)/100</f>
        <v>32.694604177766344</v>
      </c>
      <c r="FZ8" s="33">
        <f>((1557.25*60)/27.2155)/100</f>
        <v>34.331539012694975</v>
      </c>
      <c r="GC8" s="33">
        <f>((1562*60)/27.2155)/100</f>
        <v>34.4362587496096</v>
      </c>
      <c r="GD8" s="33">
        <f>((1562*60)/27.2155)/100</f>
        <v>34.4362587496096</v>
      </c>
      <c r="GE8" s="33">
        <f>((1547.25*60)/27.2155)/100</f>
        <v>34.111076408664182</v>
      </c>
      <c r="GF8" s="33">
        <f>((1525.75*60)/27.2155)/100</f>
        <v>33.63708180999798</v>
      </c>
      <c r="GG8" s="33">
        <f>((1485.5*60)/27.2155)/100</f>
        <v>32.749719828774047</v>
      </c>
      <c r="GJ8" s="33">
        <f>((1508*60)/27.2155)/100</f>
        <v>33.24576068784333</v>
      </c>
      <c r="GK8" s="33">
        <f>((1520.5*60)/27.2155)/100</f>
        <v>33.521338942881819</v>
      </c>
      <c r="GL8" s="33">
        <f>((1488.5*60)/27.2155)/100</f>
        <v>32.81585860998328</v>
      </c>
      <c r="GM8" s="33">
        <f>((1518*60)/27.2155)/100</f>
        <v>33.466223291874115</v>
      </c>
      <c r="GN8" s="33">
        <f>((1495.75*60)/27.2155)/100</f>
        <v>32.975693997905609</v>
      </c>
      <c r="GQ8" s="33">
        <f>((1484*60)/27.2155)/100</f>
        <v>32.716650438169424</v>
      </c>
      <c r="GR8" s="33">
        <f>((1492*60)/27.2155)/100</f>
        <v>32.893020521394057</v>
      </c>
      <c r="GS8" s="33">
        <f>((1491.5*60)/27.2155)/100</f>
        <v>32.88199739119252</v>
      </c>
      <c r="GT8" s="33">
        <f>((1495*60)/27.2155)/100</f>
        <v>32.959159302603297</v>
      </c>
      <c r="GU8" s="33">
        <f>((1501*60)/27.2155)/100</f>
        <v>33.091436865021777</v>
      </c>
      <c r="GX8" s="33">
        <f>((1523.25*60)/27.2155)/100</f>
        <v>33.581966158990284</v>
      </c>
      <c r="GY8" s="33">
        <f>((1515.5*60)/27.2155)/100</f>
        <v>33.411107640866419</v>
      </c>
      <c r="GZ8" s="33">
        <f>((1546.25*60)/27.2155)/100</f>
        <v>34.089030148261102</v>
      </c>
      <c r="HA8" s="33">
        <f>((1532*60)/27.2155)/100</f>
        <v>33.774870937517228</v>
      </c>
      <c r="HB8" s="33">
        <f>((1486.75*60)/27.2155)/100</f>
        <v>32.777277654277896</v>
      </c>
      <c r="HE8" s="33">
        <f>((1445.75*60)/27.2155)/100</f>
        <v>31.873380977751648</v>
      </c>
      <c r="HF8" s="33">
        <f>((1446.75*60)/27.2155)/100</f>
        <v>31.895427238154731</v>
      </c>
      <c r="HG8" s="33">
        <f>((1429.75*60)/27.2155)/100</f>
        <v>31.520640811302382</v>
      </c>
      <c r="HH8" s="33">
        <f>((1428.75*60)/27.2155)/100</f>
        <v>31.498594550899305</v>
      </c>
      <c r="HI8" s="33">
        <f>((1444*60)/27.2155)/100</f>
        <v>31.834800022046259</v>
      </c>
      <c r="HL8" s="33">
        <f>((1414.5*60)/27.2155)/100</f>
        <v>31.184435340155428</v>
      </c>
      <c r="HM8" s="33">
        <f>((1430*60)/27.2155)/100</f>
        <v>31.526152376403157</v>
      </c>
      <c r="HN8" s="33">
        <f>((1431.5*60)/27.2155)/100</f>
        <v>31.55922176700777</v>
      </c>
      <c r="HO8" s="33">
        <f>((1412*60)/27.2155)/100</f>
        <v>31.129319689147728</v>
      </c>
      <c r="HP8" s="33">
        <f>((1401.25*60)/27.2155)/100</f>
        <v>30.89232238981463</v>
      </c>
      <c r="HS8" s="33">
        <f>((1391*60)/27.2155)/100</f>
        <v>30.666348220683066</v>
      </c>
      <c r="HT8" s="33">
        <f>((1323.25*60)/27.2155)/100</f>
        <v>29.172714078374455</v>
      </c>
      <c r="HU8" s="33">
        <f>((1334.75*60)/27.2155)/100</f>
        <v>29.426246073009864</v>
      </c>
      <c r="HV8" s="33">
        <f>((1336.75*60)/27.2155)/100</f>
        <v>29.470338593816027</v>
      </c>
      <c r="HW8" s="33">
        <f>((1362.75*60)/27.2155)/100</f>
        <v>30.043541364296082</v>
      </c>
      <c r="HZ8" s="33">
        <f>((1370*60)/27.2155)/100</f>
        <v>30.203376752218404</v>
      </c>
      <c r="IA8" s="33">
        <f>((1351.5*60)/27.2155)/100</f>
        <v>29.795520934761445</v>
      </c>
      <c r="IB8" s="33">
        <f>((1359.5*60)/27.2155)/100</f>
        <v>29.971891017986078</v>
      </c>
      <c r="IC8" s="33">
        <f>((1365.75*60)/27.2155)/100</f>
        <v>30.109680145505322</v>
      </c>
      <c r="ID8" s="33">
        <f>((1381*60)/27.2155)/100</f>
        <v>30.445885616652276</v>
      </c>
      <c r="IG8" s="33">
        <f>((1395.25*60)/27.2155)/100</f>
        <v>30.760044827396154</v>
      </c>
      <c r="IH8" s="33">
        <f>((1382*60)/27.2155)/100</f>
        <v>30.467931877055356</v>
      </c>
      <c r="II8" s="33">
        <f>((1381.25*60)/27.2155)/100</f>
        <v>30.451397181753045</v>
      </c>
      <c r="IJ8" s="33">
        <f>((1360*60)/27.2155)/100</f>
        <v>29.982914148187614</v>
      </c>
      <c r="IK8" s="33">
        <f>((1356.25*60)/27.2155)/100</f>
        <v>29.90024067167607</v>
      </c>
      <c r="IN8" s="33">
        <f>((1356.25*60)/27.2155)/100</f>
        <v>29.90024067167607</v>
      </c>
      <c r="IO8" s="33">
        <f>((1349*60)/27.2155)/100</f>
        <v>29.740405283753745</v>
      </c>
      <c r="IP8" s="33">
        <f>((1360.25*60)/27.2155)/100</f>
        <v>29.988425713288382</v>
      </c>
      <c r="IQ8" s="33">
        <f>((1360.25*60)/27.2155)/100</f>
        <v>29.988425713288382</v>
      </c>
      <c r="IR8" s="33">
        <f>((1349.5*60)/27.2155)/100</f>
        <v>29.751428413955285</v>
      </c>
      <c r="IU8" s="33">
        <f>((1352.5*60)/27.2155)/100</f>
        <v>29.817567195164521</v>
      </c>
      <c r="IV8" s="33">
        <f>((1331.75*60)/27.2155)/100</f>
        <v>29.360107291800627</v>
      </c>
      <c r="IW8" s="33">
        <f>((1336*60)/27.2155)/100</f>
        <v>29.453803898513716</v>
      </c>
      <c r="IX8" s="33">
        <f>((1343.75*60)/27.2155)/100</f>
        <v>29.62466241663758</v>
      </c>
      <c r="IY8" s="33">
        <f>((1340.25*60)/27.2155)/100</f>
        <v>29.547500505226804</v>
      </c>
      <c r="JB8" s="33">
        <f>((1340.25*60)/27.2155)/100</f>
        <v>29.547500505226804</v>
      </c>
      <c r="JC8" s="33">
        <f>((1315.5*60)/27.2155)/100</f>
        <v>29.001855560250593</v>
      </c>
      <c r="JD8" s="33">
        <f>((1320*60)/27.2155)/100</f>
        <v>29.10106373206445</v>
      </c>
      <c r="JE8" s="33">
        <f>((1293.75*60)/27.2155)/100</f>
        <v>28.522349396483623</v>
      </c>
      <c r="JF8" s="33">
        <f>((1296.25*60)/27.2155)/100</f>
        <v>28.577465047491319</v>
      </c>
      <c r="JI8" s="33">
        <f>((1297.75*60)/27.2155)/100</f>
        <v>28.610534438095939</v>
      </c>
      <c r="JJ8" s="33">
        <f>((1302.75*60)/27.2155)/100</f>
        <v>28.720765740111332</v>
      </c>
      <c r="JK8" s="33">
        <f>((1303.25*60)/27.2155)/100</f>
        <v>28.731788870312876</v>
      </c>
      <c r="JL8" s="33">
        <f>((1300.5*60)/27.2155)/100</f>
        <v>28.671161654204408</v>
      </c>
      <c r="JM8" s="33">
        <f>((1275*60)/27.2155)/100</f>
        <v>28.108982013925889</v>
      </c>
      <c r="JP8" s="33">
        <f>((1277*60)/27.2155)/100</f>
        <v>28.153074534732045</v>
      </c>
      <c r="JQ8" s="33">
        <f>((1272.75*60)/27.2155)/100</f>
        <v>28.059377928018961</v>
      </c>
      <c r="JR8" s="33">
        <f>((1273*60)/27.2155)/100</f>
        <v>28.064889493119733</v>
      </c>
      <c r="JS8" s="33">
        <f>((1280.75*60)/27.2155)/100</f>
        <v>28.235748011243594</v>
      </c>
      <c r="JT8" s="33">
        <f>((1266*60)/27.2155)/100</f>
        <v>27.91056567029818</v>
      </c>
      <c r="JW8" s="33">
        <f>((1264.25*60)/27.2155)/100</f>
        <v>27.871984714592791</v>
      </c>
      <c r="JX8" s="33">
        <f>((1271.5*60)/27.2155)/100</f>
        <v>28.031820102515113</v>
      </c>
      <c r="JY8" s="33">
        <f>((1252.5*60)/27.2155)/100</f>
        <v>27.612941154856607</v>
      </c>
      <c r="JZ8" s="33">
        <v>27.612941154856607</v>
      </c>
      <c r="KA8" s="33">
        <f>((1280.25*60)/27.2155)/100</f>
        <v>28.224724881042054</v>
      </c>
      <c r="KD8" s="33">
        <f>((1286.25*60)/27.2155)/100</f>
        <v>28.35700244346053</v>
      </c>
      <c r="KE8" s="33">
        <f>((1296.75*60)/27.2155)/100</f>
        <v>28.588488177692863</v>
      </c>
      <c r="KF8" s="33">
        <f>((1311*60)/27.2155)/100</f>
        <v>28.902647388436741</v>
      </c>
      <c r="KG8" s="33">
        <f>((1315.5*60)/27.2155)/100</f>
        <v>29.001855560250593</v>
      </c>
      <c r="KH8" s="33">
        <f>((1302.25*60)/27.2155)/100</f>
        <v>28.709742609909796</v>
      </c>
      <c r="KK8" s="33">
        <f>((1286.75*60)/27.2155)/100</f>
        <v>28.36802557366207</v>
      </c>
      <c r="KL8" s="33">
        <f>((1295.25*60)/27.2155)/100</f>
        <v>28.555418787088243</v>
      </c>
      <c r="KM8" s="33">
        <f>((1288.25*60)/27.2155)/100</f>
        <v>28.401094964266687</v>
      </c>
      <c r="KN8" s="33">
        <f>((1279.5*60)/27.2155)/100</f>
        <v>28.208190185739745</v>
      </c>
      <c r="KO8" s="33">
        <f>((1297.25*60)/27.2155)/100</f>
        <v>28.599511307894399</v>
      </c>
      <c r="KR8" s="33">
        <f>((1282.75*60)/27.2155)/100</f>
        <v>28.279840532049754</v>
      </c>
      <c r="KS8" s="33">
        <f>((1287*60)/27.2155)/100</f>
        <v>28.373537138762842</v>
      </c>
      <c r="KT8" s="33">
        <f>((1291.25*60)/27.2155)/100</f>
        <v>28.467233745475923</v>
      </c>
      <c r="KU8" s="33">
        <f>((1291.25*60)/27.2155)/100</f>
        <v>28.467233745475923</v>
      </c>
      <c r="KV8" s="33">
        <f>((1327.5*60)/27.2155)/100</f>
        <v>29.266410685087543</v>
      </c>
      <c r="KY8" s="33">
        <f>((1340.5*60)/27.2155)/100</f>
        <v>29.553012070327572</v>
      </c>
      <c r="KZ8" s="33">
        <f>((1348.75*60)/27.2155)/100</f>
        <v>29.734893718652973</v>
      </c>
      <c r="LA8" s="33">
        <f>((1348.75*60)/27.2155)/100</f>
        <v>29.734893718652973</v>
      </c>
      <c r="LB8" s="33">
        <f>((1327.75*60)/27.2155)/100</f>
        <v>29.271922250188315</v>
      </c>
      <c r="LC8" s="33">
        <f>((1333.5*60)/27.2155)/100</f>
        <v>29.398688247506019</v>
      </c>
      <c r="LF8" s="33">
        <f>((1368*60)/27.2155)/100</f>
        <v>30.159284231412247</v>
      </c>
      <c r="LG8" s="33">
        <f>((1368.75*60)/27.2155)/100</f>
        <v>30.175818926714555</v>
      </c>
      <c r="LH8" s="33">
        <f>((1368.75*60)/27.2155)/100</f>
        <v>30.175818926714555</v>
      </c>
      <c r="LI8" s="33">
        <f>((1360.25*60)/27.2155)/100</f>
        <v>29.988425713288382</v>
      </c>
      <c r="LJ8" s="33">
        <f>((1340.25*60)/27.2155)/100</f>
        <v>29.547500505226804</v>
      </c>
      <c r="LM8" s="33">
        <f>((1367.25*60)/27.2155)/100</f>
        <v>30.142749536109942</v>
      </c>
      <c r="LN8" s="33">
        <f>((1377.25*60)/27.2155)/100</f>
        <v>30.363212140140732</v>
      </c>
      <c r="LO8" s="33">
        <f>((1356.5*60)/27.2155)/100</f>
        <v>29.905752236776838</v>
      </c>
      <c r="LP8" s="33">
        <f>((1356.5*60)/27.2155)/100</f>
        <v>29.905752236776838</v>
      </c>
      <c r="LQ8" s="33">
        <f>((1330.75*60)/27.2155)/100</f>
        <v>29.338061031397551</v>
      </c>
      <c r="LT8" s="33">
        <f>((1329.75*60)/27.2155)/100</f>
        <v>29.316014770994471</v>
      </c>
      <c r="LU8" s="33">
        <f>((1346.5*60)/27.2155)/100</f>
        <v>29.685289632746048</v>
      </c>
      <c r="LV8" s="33">
        <f>((1347*60)/27.2155)/100</f>
        <v>29.696312762947585</v>
      </c>
      <c r="LW8" s="33">
        <f>((1342.75*60)/27.2155)/100</f>
        <v>29.6026161562345</v>
      </c>
      <c r="LX8" s="33">
        <f>((1325*60)/27.2155)/100</f>
        <v>29.211295034079843</v>
      </c>
      <c r="MA8" s="33">
        <f>((1306.25*60)/27.2155)/100</f>
        <v>28.797927651522112</v>
      </c>
      <c r="MB8" s="33">
        <f>((1305.5*60)/27.2155)/100</f>
        <v>28.781392956219801</v>
      </c>
      <c r="MC8" s="33">
        <f>((1298.5*60)/27.2155)/100</f>
        <v>28.627069133398251</v>
      </c>
      <c r="MD8" s="33">
        <f>((1311.75*60)/27.2155)/100</f>
        <v>28.919182083739045</v>
      </c>
      <c r="ME8" s="33">
        <f>((1304*60)/27.2155)/100</f>
        <v>28.748323565615184</v>
      </c>
      <c r="MH8" s="33">
        <f>((1336*60)/27.2155)/100</f>
        <v>29.453803898513716</v>
      </c>
      <c r="MI8" s="33">
        <f>((1323.75*60)/27.2155)/100</f>
        <v>29.183737208575998</v>
      </c>
      <c r="MJ8" s="33">
        <f>((1307.5*60)/27.2155)/100</f>
        <v>28.825485477025961</v>
      </c>
      <c r="MK8" s="33">
        <f>((1314*60)/27.2155)/100</f>
        <v>28.968786169645973</v>
      </c>
      <c r="ML8" s="33">
        <f>((1315.75*60)/27.2155)/100</f>
        <v>29.007367125351365</v>
      </c>
      <c r="MO8" s="33">
        <f>((1327*60)/27.2155)/100</f>
        <v>29.255387554886006</v>
      </c>
      <c r="MP8" s="33">
        <f>((1312.5*60)/27.2155)/100</f>
        <v>28.935716779041357</v>
      </c>
      <c r="MQ8" s="33">
        <f>((1308.25*60)/27.2155)/100</f>
        <v>28.842020172328272</v>
      </c>
      <c r="MR8" s="33">
        <f>((1297.25*60)/27.2155)/100</f>
        <v>28.599511307894399</v>
      </c>
      <c r="MS8" s="33">
        <f>((1299.75*60)/27.2155)/100</f>
        <v>28.654626958902099</v>
      </c>
      <c r="MV8" s="33">
        <f>((1299.75*60)/27.2155)/100</f>
        <v>28.654626958902099</v>
      </c>
      <c r="MW8" s="33">
        <f>((1313.25*60)/27.2155)/100</f>
        <v>28.952251474343665</v>
      </c>
      <c r="MX8" s="33">
        <f>((1316.75*60)/27.2155)/100</f>
        <v>29.029413385754442</v>
      </c>
      <c r="MY8" s="33">
        <f>((1305.25*60)/27.2155)/100</f>
        <v>28.775881391119032</v>
      </c>
      <c r="MZ8" s="33">
        <f>((1305.25*60)/27.2155)/100</f>
        <v>28.775881391119032</v>
      </c>
    </row>
    <row r="9" spans="1:366" s="43" customFormat="1" x14ac:dyDescent="0.25">
      <c r="A9" s="42" t="s">
        <v>78</v>
      </c>
      <c r="C9" s="43">
        <v>465.5</v>
      </c>
      <c r="D9" s="43">
        <v>475.6</v>
      </c>
      <c r="E9" s="43">
        <v>478.7</v>
      </c>
      <c r="F9" s="43">
        <v>483.9</v>
      </c>
      <c r="G9" s="43">
        <v>429.9</v>
      </c>
      <c r="J9" s="43">
        <v>503.1</v>
      </c>
      <c r="K9" s="43">
        <v>495.1</v>
      </c>
      <c r="L9" s="43">
        <v>502.1</v>
      </c>
      <c r="M9" s="43">
        <v>511.6</v>
      </c>
      <c r="N9" s="43">
        <v>516.5</v>
      </c>
      <c r="Q9" s="43">
        <v>516.5</v>
      </c>
      <c r="R9" s="43">
        <v>473.7</v>
      </c>
      <c r="S9" s="43">
        <v>480.4</v>
      </c>
      <c r="T9" s="43">
        <v>478.4</v>
      </c>
      <c r="U9" s="43">
        <v>471.3</v>
      </c>
      <c r="X9" s="43">
        <v>462</v>
      </c>
      <c r="Y9" s="43">
        <v>462.5</v>
      </c>
      <c r="Z9" s="43">
        <v>459.8</v>
      </c>
      <c r="AA9" s="43">
        <v>467.4</v>
      </c>
      <c r="AB9" s="43">
        <v>477.1</v>
      </c>
      <c r="AE9" s="43">
        <v>475.8</v>
      </c>
      <c r="AF9" s="43">
        <v>489.1</v>
      </c>
      <c r="AG9" s="43">
        <v>484.9</v>
      </c>
      <c r="AH9" s="43">
        <v>484.9</v>
      </c>
      <c r="AI9" s="43">
        <v>491.6</v>
      </c>
      <c r="AL9" s="43">
        <v>498</v>
      </c>
      <c r="AM9" s="43">
        <v>489</v>
      </c>
      <c r="AN9" s="43">
        <v>481.5</v>
      </c>
      <c r="AO9" s="43">
        <v>481.6</v>
      </c>
      <c r="AP9" s="43">
        <v>495</v>
      </c>
      <c r="AS9" s="43">
        <v>500.8</v>
      </c>
      <c r="AT9" s="43">
        <v>503</v>
      </c>
      <c r="AU9" s="43">
        <v>501</v>
      </c>
      <c r="AV9" s="43">
        <v>492.2</v>
      </c>
      <c r="AW9" s="43">
        <v>496.1</v>
      </c>
      <c r="AZ9" s="43">
        <v>496.1</v>
      </c>
      <c r="BA9" s="43">
        <v>496.1</v>
      </c>
      <c r="BB9" s="43">
        <v>497.4</v>
      </c>
      <c r="BC9" s="43">
        <v>492.6</v>
      </c>
      <c r="BD9" s="43">
        <v>493.6</v>
      </c>
      <c r="BG9" s="43">
        <v>497.6</v>
      </c>
      <c r="BH9" s="43">
        <v>499.8</v>
      </c>
      <c r="BI9" s="43">
        <v>487.8</v>
      </c>
      <c r="BJ9" s="43">
        <v>490.4</v>
      </c>
      <c r="BK9" s="43">
        <v>489.7</v>
      </c>
      <c r="BN9" s="43">
        <v>496.5</v>
      </c>
      <c r="BO9" s="43">
        <v>507.9</v>
      </c>
      <c r="BP9" s="43">
        <v>502.4</v>
      </c>
      <c r="BQ9" s="43">
        <v>501.9</v>
      </c>
      <c r="BR9" s="43">
        <v>499.9</v>
      </c>
      <c r="BU9" s="43">
        <v>502</v>
      </c>
      <c r="BV9" s="43">
        <v>487.5</v>
      </c>
      <c r="BW9" s="43">
        <v>481.4</v>
      </c>
      <c r="BX9" s="43">
        <v>479.2</v>
      </c>
      <c r="BY9" s="43">
        <v>474.8</v>
      </c>
      <c r="CB9" s="43">
        <v>465</v>
      </c>
      <c r="CC9" s="43">
        <v>462</v>
      </c>
      <c r="CD9" s="43">
        <v>460.7</v>
      </c>
      <c r="CE9" s="43">
        <v>453.1</v>
      </c>
      <c r="CF9" s="43">
        <v>439.8</v>
      </c>
      <c r="CI9" s="43">
        <v>445.3</v>
      </c>
      <c r="CJ9" s="43">
        <v>445</v>
      </c>
      <c r="CK9" s="43">
        <v>457.3</v>
      </c>
      <c r="CL9" s="43">
        <v>458</v>
      </c>
      <c r="CM9" s="43">
        <v>458.5</v>
      </c>
      <c r="CP9" s="43">
        <v>463.9</v>
      </c>
      <c r="CQ9" s="43">
        <v>464</v>
      </c>
      <c r="CR9" s="43">
        <v>457.4</v>
      </c>
      <c r="CS9" s="43">
        <v>450.6</v>
      </c>
      <c r="CT9" s="43">
        <v>450.6</v>
      </c>
      <c r="CW9" s="43">
        <v>454.3</v>
      </c>
      <c r="CX9" s="43">
        <v>454.3</v>
      </c>
      <c r="CY9" s="43">
        <v>458.1</v>
      </c>
      <c r="CZ9" s="43">
        <v>460.2</v>
      </c>
      <c r="DA9" s="43">
        <v>463.4</v>
      </c>
      <c r="DD9" s="43">
        <v>459.7</v>
      </c>
      <c r="DE9" s="43">
        <v>465.7</v>
      </c>
      <c r="DF9" s="43">
        <v>460.7</v>
      </c>
      <c r="DG9" s="43">
        <v>451.3</v>
      </c>
      <c r="DH9" s="43">
        <v>451.3</v>
      </c>
      <c r="DK9" s="43">
        <v>445.8</v>
      </c>
      <c r="DL9" s="43">
        <v>438.7</v>
      </c>
      <c r="DM9" s="43">
        <v>436</v>
      </c>
      <c r="DN9" s="43">
        <v>427</v>
      </c>
      <c r="DO9" s="43">
        <v>433.8</v>
      </c>
      <c r="DR9" s="43">
        <v>433.8</v>
      </c>
      <c r="DS9" s="43">
        <v>435.3</v>
      </c>
      <c r="DT9" s="43">
        <v>429.8</v>
      </c>
      <c r="DU9" s="43">
        <v>425</v>
      </c>
      <c r="DV9" s="43">
        <v>428</v>
      </c>
      <c r="DY9" s="43">
        <v>428</v>
      </c>
      <c r="DZ9" s="43">
        <v>420.4</v>
      </c>
      <c r="EA9" s="43">
        <v>415</v>
      </c>
      <c r="EB9" s="43">
        <v>415</v>
      </c>
      <c r="EC9" s="43">
        <v>426.7</v>
      </c>
      <c r="EF9" s="43">
        <v>433.4</v>
      </c>
      <c r="EG9" s="43">
        <v>430.7</v>
      </c>
      <c r="EH9" s="43">
        <v>426.9</v>
      </c>
      <c r="EI9" s="43">
        <v>424.8</v>
      </c>
      <c r="EJ9" s="43">
        <v>414</v>
      </c>
      <c r="EM9" s="43">
        <v>409.1</v>
      </c>
      <c r="EN9" s="43">
        <v>412.2</v>
      </c>
      <c r="EO9" s="43">
        <v>406.4</v>
      </c>
      <c r="EP9" s="43">
        <v>402.2</v>
      </c>
      <c r="EQ9" s="43">
        <v>398.4</v>
      </c>
      <c r="ET9" s="43">
        <v>398.4</v>
      </c>
      <c r="EU9" s="43">
        <v>402.2</v>
      </c>
      <c r="EV9" s="43">
        <v>393.5</v>
      </c>
      <c r="EW9" s="43">
        <v>393.3</v>
      </c>
      <c r="EX9" s="43">
        <v>401.1</v>
      </c>
      <c r="FA9" s="43">
        <v>398.5</v>
      </c>
      <c r="FB9" s="43">
        <v>401.5</v>
      </c>
      <c r="FC9" s="43">
        <v>404.7</v>
      </c>
      <c r="FD9" s="43">
        <v>404.7</v>
      </c>
      <c r="FE9" s="43">
        <v>403.6</v>
      </c>
      <c r="FH9" s="43">
        <v>398.2</v>
      </c>
      <c r="FI9" s="43">
        <v>397.4</v>
      </c>
      <c r="FJ9" s="43">
        <v>398</v>
      </c>
      <c r="FK9" s="43">
        <v>390.9</v>
      </c>
      <c r="FL9" s="43">
        <v>393.7</v>
      </c>
      <c r="FO9" s="43">
        <v>393.7</v>
      </c>
      <c r="FP9" s="43">
        <v>418.9</v>
      </c>
      <c r="FQ9" s="43">
        <v>418.1</v>
      </c>
      <c r="FR9" s="43">
        <v>438</v>
      </c>
      <c r="FS9" s="43">
        <v>423.6</v>
      </c>
      <c r="FV9" s="43">
        <v>411</v>
      </c>
      <c r="FW9" s="43">
        <v>415.5</v>
      </c>
      <c r="FX9" s="43">
        <v>408.2</v>
      </c>
      <c r="FY9" s="43">
        <v>402.2</v>
      </c>
      <c r="FZ9" s="43">
        <v>404.2</v>
      </c>
      <c r="GC9" s="43">
        <v>433.4</v>
      </c>
      <c r="GD9" s="43">
        <v>433.4</v>
      </c>
      <c r="GE9" s="43">
        <v>421.4</v>
      </c>
      <c r="GF9" s="43">
        <v>417.9</v>
      </c>
      <c r="GG9" s="43">
        <v>411.6</v>
      </c>
      <c r="GJ9" s="43">
        <v>414</v>
      </c>
      <c r="GK9" s="43">
        <v>422.9</v>
      </c>
      <c r="GL9" s="43">
        <v>426.6</v>
      </c>
      <c r="GM9" s="43">
        <v>428.7</v>
      </c>
      <c r="GN9" s="43">
        <v>426.8</v>
      </c>
      <c r="GQ9" s="43">
        <v>426.6</v>
      </c>
      <c r="GR9" s="43">
        <v>433.8</v>
      </c>
      <c r="GS9" s="43">
        <v>442.7</v>
      </c>
      <c r="GT9" s="43">
        <v>443</v>
      </c>
      <c r="GU9" s="43">
        <v>440</v>
      </c>
      <c r="GX9" s="43">
        <v>445.3</v>
      </c>
      <c r="GY9" s="43">
        <v>448.1</v>
      </c>
      <c r="GZ9" s="43">
        <v>453.8</v>
      </c>
      <c r="HA9" s="43">
        <v>465.4</v>
      </c>
      <c r="HB9" s="43">
        <v>463.9</v>
      </c>
      <c r="HE9" s="43">
        <v>455.2</v>
      </c>
      <c r="HF9" s="43">
        <v>451.2</v>
      </c>
      <c r="HG9" s="43">
        <v>456.1</v>
      </c>
      <c r="HH9" s="43">
        <v>451.8</v>
      </c>
      <c r="HI9" s="43">
        <v>452</v>
      </c>
      <c r="HL9" s="43">
        <v>448.1</v>
      </c>
      <c r="HM9" s="43">
        <v>448.4</v>
      </c>
      <c r="HN9" s="43">
        <v>436.3</v>
      </c>
      <c r="HO9" s="43">
        <v>433.9</v>
      </c>
      <c r="HP9" s="43">
        <v>431.1</v>
      </c>
      <c r="HS9" s="43">
        <v>445</v>
      </c>
      <c r="HT9" s="43">
        <v>413.5</v>
      </c>
      <c r="HU9" s="43">
        <v>404.1</v>
      </c>
      <c r="HV9" s="43">
        <v>406.4</v>
      </c>
      <c r="HW9" s="43">
        <v>400.4</v>
      </c>
      <c r="HZ9" s="43">
        <v>405</v>
      </c>
      <c r="IA9" s="43">
        <v>410</v>
      </c>
      <c r="IB9" s="43">
        <v>405.9</v>
      </c>
      <c r="IC9" s="43">
        <v>414.5</v>
      </c>
      <c r="ID9" s="43">
        <v>423</v>
      </c>
      <c r="IG9" s="43">
        <v>424.6</v>
      </c>
      <c r="IH9" s="43">
        <v>425.1</v>
      </c>
      <c r="II9" s="43">
        <v>420</v>
      </c>
      <c r="IJ9" s="43">
        <v>424</v>
      </c>
      <c r="IK9" s="43">
        <v>418.7</v>
      </c>
      <c r="IN9" s="43">
        <v>418.7</v>
      </c>
      <c r="IO9" s="43">
        <v>413</v>
      </c>
      <c r="IP9" s="43">
        <v>407.1</v>
      </c>
      <c r="IQ9" s="43">
        <v>407.1</v>
      </c>
      <c r="IR9" s="43">
        <v>403.1</v>
      </c>
      <c r="IU9" s="43">
        <v>414.6</v>
      </c>
      <c r="IV9" s="43">
        <v>408</v>
      </c>
      <c r="IW9" s="43">
        <v>401.5</v>
      </c>
      <c r="IX9" s="43">
        <v>401.9</v>
      </c>
      <c r="IY9" s="43">
        <v>400.4</v>
      </c>
      <c r="JB9" s="43">
        <v>393.2</v>
      </c>
      <c r="JC9" s="43">
        <v>391.7</v>
      </c>
      <c r="JD9" s="43">
        <v>391.7</v>
      </c>
      <c r="JE9" s="43">
        <v>397.3</v>
      </c>
      <c r="JF9" s="43">
        <v>390.3</v>
      </c>
      <c r="JI9" s="43">
        <v>388.4</v>
      </c>
      <c r="JJ9" s="43">
        <v>392</v>
      </c>
      <c r="JK9" s="43">
        <v>395</v>
      </c>
      <c r="JL9" s="43">
        <v>390.2</v>
      </c>
      <c r="JM9" s="43">
        <v>392.4</v>
      </c>
      <c r="JP9" s="43">
        <v>377.3</v>
      </c>
      <c r="JQ9" s="43">
        <v>364</v>
      </c>
      <c r="JR9" s="43">
        <v>366</v>
      </c>
      <c r="JS9" s="43">
        <v>368.8</v>
      </c>
      <c r="JT9" s="43">
        <v>371.4</v>
      </c>
      <c r="JW9" s="43">
        <v>370</v>
      </c>
      <c r="JX9" s="43">
        <v>372.1</v>
      </c>
      <c r="JY9" s="43">
        <v>387.6</v>
      </c>
      <c r="JZ9" s="43">
        <v>387.6</v>
      </c>
      <c r="KA9" s="43">
        <v>387.6</v>
      </c>
      <c r="KD9" s="43">
        <v>390</v>
      </c>
      <c r="KE9" s="43">
        <v>390.5</v>
      </c>
      <c r="KF9" s="43">
        <v>399.8</v>
      </c>
      <c r="KG9" s="43">
        <v>413.7</v>
      </c>
      <c r="KH9" s="43">
        <v>423</v>
      </c>
      <c r="KK9" s="43">
        <v>424.6</v>
      </c>
      <c r="KL9" s="43">
        <v>421</v>
      </c>
      <c r="KM9" s="43">
        <v>433.6</v>
      </c>
      <c r="KN9" s="43">
        <v>427.4</v>
      </c>
      <c r="KO9" s="43">
        <v>429.5</v>
      </c>
      <c r="KR9" s="43">
        <v>441.4</v>
      </c>
      <c r="KS9" s="43">
        <v>426.6</v>
      </c>
      <c r="KT9" s="43">
        <v>431</v>
      </c>
      <c r="KU9" s="43">
        <v>431</v>
      </c>
      <c r="KV9" s="43">
        <v>427.3</v>
      </c>
      <c r="KY9" s="43">
        <v>442.8</v>
      </c>
      <c r="KZ9" s="43">
        <v>438.5</v>
      </c>
      <c r="LA9" s="43">
        <v>448.7</v>
      </c>
      <c r="LB9" s="43">
        <v>450.8</v>
      </c>
      <c r="LC9" s="43">
        <v>450.5</v>
      </c>
      <c r="LF9" s="43">
        <v>450</v>
      </c>
      <c r="LG9" s="43">
        <v>473.7</v>
      </c>
      <c r="LH9" s="43">
        <v>473.7</v>
      </c>
      <c r="LI9" s="43">
        <v>469.3</v>
      </c>
      <c r="LJ9" s="43">
        <v>465.4</v>
      </c>
      <c r="LM9" s="43">
        <v>453.1</v>
      </c>
      <c r="LN9" s="43">
        <v>460.3</v>
      </c>
      <c r="LO9" s="43">
        <v>459.6</v>
      </c>
      <c r="LP9" s="43">
        <v>459.6</v>
      </c>
      <c r="LQ9" s="43">
        <v>458.1</v>
      </c>
      <c r="LT9" s="43">
        <v>458.1</v>
      </c>
      <c r="LU9" s="43">
        <v>459.6</v>
      </c>
      <c r="LV9" s="43">
        <v>449.8</v>
      </c>
      <c r="LW9" s="43">
        <v>449.6</v>
      </c>
      <c r="LX9" s="43">
        <v>440.7</v>
      </c>
      <c r="MA9" s="43">
        <v>423.5</v>
      </c>
      <c r="MB9" s="43">
        <v>422.2</v>
      </c>
      <c r="MC9" s="43">
        <v>436.7</v>
      </c>
      <c r="MD9" s="43">
        <v>425</v>
      </c>
      <c r="ME9" s="43">
        <v>431.6</v>
      </c>
      <c r="MH9" s="43">
        <v>427.8</v>
      </c>
      <c r="MI9" s="43">
        <v>432.5</v>
      </c>
      <c r="MJ9" s="43">
        <v>425.1</v>
      </c>
      <c r="MK9" s="43">
        <v>421.1</v>
      </c>
      <c r="ML9" s="43">
        <v>403.7</v>
      </c>
      <c r="MO9" s="43">
        <v>406</v>
      </c>
      <c r="MP9" s="43">
        <v>413</v>
      </c>
      <c r="MQ9" s="43">
        <v>403.6</v>
      </c>
      <c r="MR9" s="43">
        <v>399.9</v>
      </c>
      <c r="MS9" s="43">
        <v>396</v>
      </c>
      <c r="MV9" s="43">
        <v>396</v>
      </c>
      <c r="MW9" s="43">
        <v>400.5</v>
      </c>
      <c r="MX9" s="43">
        <v>402.8</v>
      </c>
      <c r="MY9" s="43">
        <v>399.8</v>
      </c>
      <c r="MZ9" s="43">
        <v>390.8</v>
      </c>
    </row>
    <row r="10" spans="1:366" s="35" customFormat="1" x14ac:dyDescent="0.25">
      <c r="A10" s="46" t="s">
        <v>19</v>
      </c>
      <c r="C10" s="35">
        <v>6381</v>
      </c>
      <c r="D10" s="35">
        <v>6316</v>
      </c>
      <c r="E10" s="35">
        <v>6311</v>
      </c>
      <c r="F10" s="35">
        <v>6294</v>
      </c>
      <c r="G10" s="35">
        <v>6373</v>
      </c>
      <c r="J10" s="35">
        <v>6391</v>
      </c>
      <c r="K10" s="35">
        <v>6313</v>
      </c>
      <c r="L10" s="35">
        <v>6239</v>
      </c>
      <c r="M10" s="35">
        <v>6325</v>
      </c>
      <c r="N10" s="35">
        <v>6325</v>
      </c>
      <c r="Q10" s="35">
        <v>6325</v>
      </c>
      <c r="R10" s="35">
        <v>6384</v>
      </c>
      <c r="S10" s="35">
        <v>6412</v>
      </c>
      <c r="T10" s="35">
        <v>6315</v>
      </c>
      <c r="U10" s="35">
        <v>6197</v>
      </c>
      <c r="X10" s="35">
        <v>6204</v>
      </c>
      <c r="Y10" s="35">
        <v>6098</v>
      </c>
      <c r="Z10" s="35">
        <v>6054</v>
      </c>
      <c r="AA10" s="35">
        <v>6079</v>
      </c>
      <c r="AB10" s="35">
        <v>6062</v>
      </c>
      <c r="AE10" s="35">
        <v>6132</v>
      </c>
      <c r="AF10" s="35">
        <v>6233</v>
      </c>
      <c r="AG10" s="35">
        <v>6079</v>
      </c>
      <c r="AH10" s="35">
        <v>6094</v>
      </c>
      <c r="AI10" s="35">
        <v>5904</v>
      </c>
      <c r="AL10" s="35">
        <v>5931</v>
      </c>
      <c r="AM10" s="35">
        <v>6089</v>
      </c>
      <c r="AN10" s="35">
        <v>6058</v>
      </c>
      <c r="AO10" s="35">
        <v>5904</v>
      </c>
      <c r="AP10" s="35">
        <v>6054</v>
      </c>
      <c r="AS10" s="35">
        <v>6014</v>
      </c>
      <c r="AT10" s="35">
        <v>6040</v>
      </c>
      <c r="AU10" s="35">
        <v>6124</v>
      </c>
      <c r="AV10" s="35">
        <v>6190</v>
      </c>
      <c r="AW10" s="35">
        <v>6150</v>
      </c>
      <c r="AZ10" s="35">
        <v>6151</v>
      </c>
      <c r="BA10" s="35">
        <v>6151</v>
      </c>
      <c r="BB10" s="35">
        <v>6283</v>
      </c>
      <c r="BC10" s="35">
        <v>6204</v>
      </c>
      <c r="BD10" s="35">
        <v>6111</v>
      </c>
      <c r="BG10" s="35">
        <v>6004</v>
      </c>
      <c r="BH10" s="35">
        <v>5975</v>
      </c>
      <c r="BI10" s="35">
        <v>6054</v>
      </c>
      <c r="BJ10" s="35">
        <v>6139</v>
      </c>
      <c r="BK10" s="35">
        <v>6061</v>
      </c>
      <c r="BN10" s="35">
        <v>5988</v>
      </c>
      <c r="BO10" s="35">
        <v>5816</v>
      </c>
      <c r="BP10" s="35">
        <v>5849</v>
      </c>
      <c r="BQ10" s="35">
        <v>5657</v>
      </c>
      <c r="BR10" s="35">
        <v>5610</v>
      </c>
      <c r="BU10" s="35">
        <v>5534</v>
      </c>
      <c r="BV10" s="35">
        <v>5584</v>
      </c>
      <c r="BW10" s="35">
        <v>5634</v>
      </c>
      <c r="BX10" s="35">
        <v>5773</v>
      </c>
      <c r="BY10" s="35">
        <v>5746</v>
      </c>
      <c r="CB10" s="35">
        <v>5799</v>
      </c>
      <c r="CC10" s="35">
        <v>5624</v>
      </c>
      <c r="CD10" s="35">
        <v>5464</v>
      </c>
      <c r="CE10" s="35">
        <v>5217</v>
      </c>
      <c r="CF10" s="35">
        <v>5327</v>
      </c>
      <c r="CI10" s="35">
        <v>5455</v>
      </c>
      <c r="CJ10" s="35">
        <v>5505</v>
      </c>
      <c r="CK10" s="35">
        <v>5538</v>
      </c>
      <c r="CL10" s="35">
        <v>5437</v>
      </c>
      <c r="CM10" s="35">
        <v>5549</v>
      </c>
      <c r="CP10" s="35">
        <v>5668</v>
      </c>
      <c r="CQ10" s="35">
        <v>5574</v>
      </c>
      <c r="CR10" s="35">
        <v>5522</v>
      </c>
      <c r="CS10" s="35">
        <v>5453</v>
      </c>
      <c r="CT10" s="35">
        <v>5453</v>
      </c>
      <c r="CW10" s="35">
        <v>5448</v>
      </c>
      <c r="CX10" s="35">
        <v>5489</v>
      </c>
      <c r="CY10" s="35">
        <v>5400</v>
      </c>
      <c r="CZ10" s="35">
        <v>5372</v>
      </c>
      <c r="DA10" s="35">
        <v>5366</v>
      </c>
      <c r="DD10" s="35">
        <v>5457</v>
      </c>
      <c r="DE10" s="35">
        <v>5536</v>
      </c>
      <c r="DF10" s="35">
        <v>5502</v>
      </c>
      <c r="DG10" s="35">
        <v>5443</v>
      </c>
      <c r="DH10" s="35">
        <v>5443</v>
      </c>
      <c r="DK10" s="35">
        <v>5256</v>
      </c>
      <c r="DL10" s="35">
        <v>5171</v>
      </c>
      <c r="DM10" s="35">
        <v>5208</v>
      </c>
      <c r="DN10" s="35">
        <v>5078</v>
      </c>
      <c r="DO10" s="35">
        <v>5161</v>
      </c>
      <c r="DR10" s="35">
        <v>5161</v>
      </c>
      <c r="DS10" s="35">
        <v>5139</v>
      </c>
      <c r="DT10" s="35">
        <v>5237</v>
      </c>
      <c r="DU10" s="35">
        <v>5227</v>
      </c>
      <c r="DV10" s="35">
        <v>5409</v>
      </c>
      <c r="DY10" s="35">
        <v>5334</v>
      </c>
      <c r="DZ10" s="35">
        <v>5272</v>
      </c>
      <c r="EA10" s="35">
        <v>5185</v>
      </c>
      <c r="EB10" s="35">
        <v>5091</v>
      </c>
      <c r="EC10" s="35">
        <v>4989</v>
      </c>
      <c r="EF10" s="35">
        <v>4969</v>
      </c>
      <c r="EG10" s="35">
        <v>4745</v>
      </c>
      <c r="EH10" s="35">
        <v>4641</v>
      </c>
      <c r="EI10" s="35">
        <v>4729</v>
      </c>
      <c r="EJ10" s="35">
        <v>4727</v>
      </c>
      <c r="EM10" s="35">
        <v>4877</v>
      </c>
      <c r="EN10" s="35">
        <v>4776</v>
      </c>
      <c r="EO10" s="35">
        <v>4800</v>
      </c>
      <c r="EP10" s="35">
        <v>4852</v>
      </c>
      <c r="EQ10" s="35">
        <v>4882</v>
      </c>
      <c r="ET10" s="35">
        <v>4882</v>
      </c>
      <c r="EU10" s="35">
        <v>4620</v>
      </c>
      <c r="EV10" s="35">
        <v>4620</v>
      </c>
      <c r="EW10" s="35">
        <v>4786</v>
      </c>
      <c r="EX10" s="35">
        <v>4950</v>
      </c>
      <c r="FA10" s="35">
        <v>4926</v>
      </c>
      <c r="FB10" s="35">
        <v>5092</v>
      </c>
      <c r="FC10" s="35">
        <v>5047</v>
      </c>
      <c r="FD10" s="35">
        <v>5047</v>
      </c>
      <c r="FE10" s="35">
        <v>5459</v>
      </c>
      <c r="FH10" s="35">
        <v>5398</v>
      </c>
      <c r="FI10" s="35">
        <v>5543</v>
      </c>
      <c r="FJ10" s="35">
        <v>5596</v>
      </c>
      <c r="FK10" s="35">
        <v>5843</v>
      </c>
      <c r="FL10" s="35">
        <v>5969</v>
      </c>
      <c r="FO10" s="35">
        <v>5939</v>
      </c>
      <c r="FP10" s="35">
        <v>5963</v>
      </c>
      <c r="FQ10" s="35">
        <v>5563</v>
      </c>
      <c r="FR10" s="35">
        <v>5577</v>
      </c>
      <c r="FS10" s="35">
        <v>5794</v>
      </c>
      <c r="FV10" s="35">
        <v>5951</v>
      </c>
      <c r="FW10" s="35">
        <v>6055</v>
      </c>
      <c r="FX10" s="35">
        <v>5962</v>
      </c>
      <c r="FY10" s="35">
        <v>6083</v>
      </c>
      <c r="FZ10" s="35">
        <v>6501</v>
      </c>
      <c r="GC10" s="35">
        <v>6702</v>
      </c>
      <c r="GD10" s="35">
        <v>6702</v>
      </c>
      <c r="GE10" s="35">
        <v>6858</v>
      </c>
      <c r="GF10" s="35">
        <v>6595</v>
      </c>
      <c r="GG10" s="35">
        <v>6655</v>
      </c>
      <c r="GJ10" s="35">
        <v>6922</v>
      </c>
      <c r="GK10" s="35">
        <v>6853</v>
      </c>
      <c r="GL10" s="35">
        <v>6853</v>
      </c>
      <c r="GM10" s="35">
        <v>6967</v>
      </c>
      <c r="GN10" s="35">
        <v>6789</v>
      </c>
      <c r="GQ10" s="35">
        <v>6476</v>
      </c>
      <c r="GR10" s="35">
        <v>6405</v>
      </c>
      <c r="GS10" s="35">
        <v>6605</v>
      </c>
      <c r="GT10" s="35">
        <v>6764</v>
      </c>
      <c r="GU10" s="35">
        <v>6940</v>
      </c>
      <c r="GX10" s="35">
        <v>7199</v>
      </c>
      <c r="GY10" s="35">
        <v>7256</v>
      </c>
      <c r="GZ10" s="35">
        <v>7027</v>
      </c>
      <c r="HA10" s="35">
        <v>6861</v>
      </c>
      <c r="HB10" s="35">
        <v>6760</v>
      </c>
      <c r="HE10" s="35">
        <v>6558</v>
      </c>
      <c r="HF10" s="35">
        <v>6709</v>
      </c>
      <c r="HG10" s="35">
        <v>6731</v>
      </c>
      <c r="HH10" s="35">
        <v>6699</v>
      </c>
      <c r="HI10" s="35">
        <v>6800</v>
      </c>
      <c r="HL10" s="35">
        <v>6666</v>
      </c>
      <c r="HM10" s="35">
        <v>6658</v>
      </c>
      <c r="HN10" s="35">
        <v>6679</v>
      </c>
      <c r="HO10" s="35">
        <v>6660</v>
      </c>
      <c r="HP10" s="35">
        <v>6634</v>
      </c>
      <c r="HS10" s="35">
        <v>6632</v>
      </c>
      <c r="HT10" s="35">
        <v>6590</v>
      </c>
      <c r="HU10" s="35">
        <v>6677</v>
      </c>
      <c r="HV10" s="35">
        <v>6776</v>
      </c>
      <c r="HW10" s="35">
        <v>6829</v>
      </c>
      <c r="HZ10" s="35">
        <v>6799</v>
      </c>
      <c r="IA10" s="35">
        <v>6521</v>
      </c>
      <c r="IB10" s="35">
        <v>6615</v>
      </c>
      <c r="IC10" s="35">
        <v>6554</v>
      </c>
      <c r="ID10" s="35">
        <v>6673</v>
      </c>
      <c r="IG10" s="35">
        <v>6690</v>
      </c>
      <c r="IH10" s="35">
        <v>6656</v>
      </c>
      <c r="II10" s="35">
        <v>6554</v>
      </c>
      <c r="IJ10" s="35">
        <v>6552</v>
      </c>
      <c r="IK10" s="35">
        <v>6655</v>
      </c>
      <c r="IN10" s="35">
        <v>6655</v>
      </c>
      <c r="IO10" s="35">
        <v>6600</v>
      </c>
      <c r="IP10" s="35">
        <v>6535</v>
      </c>
      <c r="IQ10" s="35">
        <v>6535</v>
      </c>
      <c r="IR10" s="35">
        <v>6315</v>
      </c>
      <c r="IU10" s="35">
        <v>6315</v>
      </c>
      <c r="IV10" s="35">
        <v>6272</v>
      </c>
      <c r="IW10" s="35">
        <v>6443</v>
      </c>
      <c r="IX10" s="35">
        <v>6443</v>
      </c>
      <c r="IY10" s="35">
        <v>6338</v>
      </c>
      <c r="JB10" s="35">
        <v>6338</v>
      </c>
      <c r="JC10" s="35">
        <v>6176</v>
      </c>
      <c r="JD10" s="35">
        <v>6068</v>
      </c>
      <c r="JE10" s="35">
        <v>5965</v>
      </c>
      <c r="JF10" s="35">
        <v>6085</v>
      </c>
      <c r="JI10" s="35">
        <v>5875</v>
      </c>
      <c r="JJ10" s="35">
        <v>5886</v>
      </c>
      <c r="JK10" s="35">
        <v>5961</v>
      </c>
      <c r="JL10" s="35">
        <v>5853</v>
      </c>
      <c r="JM10" s="35">
        <v>5744</v>
      </c>
      <c r="JP10" s="35">
        <v>5985</v>
      </c>
      <c r="JQ10" s="35">
        <v>5945</v>
      </c>
      <c r="JR10" s="35">
        <v>5843</v>
      </c>
      <c r="JS10" s="35">
        <v>5786</v>
      </c>
      <c r="JT10" s="35">
        <v>5729</v>
      </c>
      <c r="JW10" s="35">
        <v>5613</v>
      </c>
      <c r="JX10" s="35">
        <v>5399</v>
      </c>
      <c r="JY10" s="35">
        <v>5352</v>
      </c>
      <c r="JZ10" s="35">
        <v>5352</v>
      </c>
      <c r="KA10" s="35">
        <v>5535</v>
      </c>
      <c r="KD10" s="35">
        <v>5590</v>
      </c>
      <c r="KE10" s="35">
        <v>5535</v>
      </c>
      <c r="KF10" s="35">
        <v>5486</v>
      </c>
      <c r="KG10" s="35">
        <v>5311</v>
      </c>
      <c r="KH10" s="35">
        <v>5339</v>
      </c>
      <c r="KK10" s="35">
        <v>5194</v>
      </c>
      <c r="KL10" s="35">
        <v>5132</v>
      </c>
      <c r="KM10" s="35">
        <v>5260</v>
      </c>
      <c r="KN10" s="35">
        <v>5174</v>
      </c>
      <c r="KO10" s="35">
        <v>5227</v>
      </c>
      <c r="KR10" s="35">
        <v>5239</v>
      </c>
      <c r="KS10" s="35">
        <v>5142</v>
      </c>
      <c r="KT10" s="35">
        <v>4990</v>
      </c>
      <c r="KU10" s="35">
        <v>4990</v>
      </c>
      <c r="KV10" s="35">
        <v>4936</v>
      </c>
      <c r="KY10" s="35">
        <v>5080</v>
      </c>
      <c r="KZ10" s="35">
        <v>4949</v>
      </c>
      <c r="LA10" s="35">
        <v>4995</v>
      </c>
      <c r="LB10" s="35">
        <v>5045</v>
      </c>
      <c r="LC10" s="35">
        <v>5120</v>
      </c>
      <c r="LF10" s="35">
        <v>5154</v>
      </c>
      <c r="LG10" s="35">
        <v>5275</v>
      </c>
      <c r="LH10" s="35">
        <v>5275</v>
      </c>
      <c r="LI10" s="35">
        <v>5163</v>
      </c>
      <c r="LJ10" s="35">
        <v>5201</v>
      </c>
      <c r="LM10" s="35">
        <v>5311</v>
      </c>
      <c r="LN10" s="35">
        <v>5419</v>
      </c>
      <c r="LO10" s="35">
        <v>5360</v>
      </c>
      <c r="LP10" s="35">
        <v>5360</v>
      </c>
      <c r="LQ10" s="35">
        <v>5153</v>
      </c>
      <c r="LT10" s="35">
        <v>5191</v>
      </c>
      <c r="LU10" s="35">
        <v>5334</v>
      </c>
      <c r="LV10" s="35">
        <v>5268</v>
      </c>
      <c r="LW10" s="35">
        <v>5229</v>
      </c>
      <c r="LX10" s="35">
        <v>5138</v>
      </c>
      <c r="MA10" s="35">
        <v>5119</v>
      </c>
      <c r="MB10" s="35">
        <v>5022</v>
      </c>
      <c r="MC10" s="35">
        <v>4929</v>
      </c>
      <c r="MD10" s="35">
        <v>5111</v>
      </c>
      <c r="ME10" s="35">
        <v>5015</v>
      </c>
      <c r="MH10" s="35">
        <v>5106</v>
      </c>
      <c r="MI10" s="35">
        <v>5039</v>
      </c>
      <c r="MJ10" s="35">
        <v>4982</v>
      </c>
      <c r="MK10" s="35">
        <v>4928</v>
      </c>
      <c r="ML10" s="35">
        <v>4999</v>
      </c>
      <c r="MO10" s="35">
        <v>5064</v>
      </c>
      <c r="MP10" s="35">
        <v>5073</v>
      </c>
      <c r="MQ10" s="35">
        <v>5056</v>
      </c>
      <c r="MR10" s="35">
        <v>4904</v>
      </c>
      <c r="MS10" s="35">
        <v>4853</v>
      </c>
      <c r="MV10" s="35">
        <v>4853</v>
      </c>
      <c r="MW10" s="35">
        <v>4791</v>
      </c>
      <c r="MX10" s="35">
        <v>4824</v>
      </c>
      <c r="MY10" s="35">
        <v>4749</v>
      </c>
      <c r="MZ10" s="35">
        <v>4749</v>
      </c>
    </row>
    <row r="11" spans="1:366" s="36" customFormat="1" x14ac:dyDescent="0.25">
      <c r="A11" s="42" t="s">
        <v>79</v>
      </c>
      <c r="C11" s="36">
        <f>C10*0.220462</f>
        <v>1406.768022</v>
      </c>
      <c r="D11" s="36">
        <f>D10*0.220462</f>
        <v>1392.4379919999999</v>
      </c>
      <c r="E11" s="36">
        <f t="shared" ref="E11:F11" si="53">E10*0.220462</f>
        <v>1391.3356819999999</v>
      </c>
      <c r="F11" s="36">
        <f t="shared" si="53"/>
        <v>1387.5878279999999</v>
      </c>
      <c r="G11" s="36">
        <f>G10*0.220462</f>
        <v>1405.004326</v>
      </c>
      <c r="J11" s="36">
        <f>J10*0.220462</f>
        <v>1408.972642</v>
      </c>
      <c r="K11" s="36">
        <f>K10*0.220462</f>
        <v>1391.7766059999999</v>
      </c>
      <c r="L11" s="36">
        <f t="shared" ref="L11:M11" si="54">L10*0.220462</f>
        <v>1375.4624179999998</v>
      </c>
      <c r="M11" s="36">
        <f t="shared" si="54"/>
        <v>1394.4221499999999</v>
      </c>
      <c r="N11" s="36">
        <f>N10*0.220462</f>
        <v>1394.4221499999999</v>
      </c>
      <c r="Q11" s="36">
        <f>Q10*0.220462</f>
        <v>1394.4221499999999</v>
      </c>
      <c r="R11" s="36">
        <f>R10*0.220462</f>
        <v>1407.429408</v>
      </c>
      <c r="S11" s="36">
        <f t="shared" ref="S11:T11" si="55">S10*0.220462</f>
        <v>1413.6023439999999</v>
      </c>
      <c r="T11" s="36">
        <f t="shared" si="55"/>
        <v>1392.2175299999999</v>
      </c>
      <c r="U11" s="36">
        <f>U10*0.220462</f>
        <v>1366.2030139999999</v>
      </c>
      <c r="X11" s="36">
        <f>X10*0.220462</f>
        <v>1367.7462479999999</v>
      </c>
      <c r="Y11" s="36">
        <f>Y10*0.220462</f>
        <v>1344.3772759999999</v>
      </c>
      <c r="Z11" s="36">
        <f t="shared" ref="Z11:AA11" si="56">Z10*0.220462</f>
        <v>1334.676948</v>
      </c>
      <c r="AA11" s="36">
        <f t="shared" si="56"/>
        <v>1340.188498</v>
      </c>
      <c r="AB11" s="36">
        <f>AB10*0.220462</f>
        <v>1336.440644</v>
      </c>
      <c r="AE11" s="36">
        <f>AE10*0.220462</f>
        <v>1351.8729839999999</v>
      </c>
      <c r="AF11" s="36">
        <f>AF10*0.220462</f>
        <v>1374.1396459999999</v>
      </c>
      <c r="AG11" s="36">
        <f t="shared" ref="AG11" si="57">AG10*0.220462</f>
        <v>1340.188498</v>
      </c>
      <c r="AH11" s="36">
        <f t="shared" ref="AH11" si="58">AH10*0.220462</f>
        <v>1343.4954279999999</v>
      </c>
      <c r="AI11" s="36">
        <f>AI10*0.220462</f>
        <v>1301.6076479999999</v>
      </c>
      <c r="AL11" s="36">
        <f>AL10*0.220462</f>
        <v>1307.5601219999999</v>
      </c>
      <c r="AM11" s="36">
        <f>AM10*0.220462</f>
        <v>1342.393118</v>
      </c>
      <c r="AN11" s="36">
        <f t="shared" ref="AN11:AO11" si="59">AN10*0.220462</f>
        <v>1335.558796</v>
      </c>
      <c r="AO11" s="36">
        <f t="shared" si="59"/>
        <v>1301.6076479999999</v>
      </c>
      <c r="AP11" s="36">
        <f>AP10*0.220462</f>
        <v>1334.676948</v>
      </c>
      <c r="AS11" s="36">
        <f>AS10*0.220462</f>
        <v>1325.8584679999999</v>
      </c>
      <c r="AT11" s="36">
        <f>AT10*0.220462</f>
        <v>1331.5904799999998</v>
      </c>
      <c r="AU11" s="36">
        <f t="shared" ref="AU11:AV11" si="60">AU10*0.220462</f>
        <v>1350.1092879999999</v>
      </c>
      <c r="AV11" s="36">
        <f t="shared" si="60"/>
        <v>1364.65978</v>
      </c>
      <c r="AW11" s="36">
        <f>AW10*0.220462</f>
        <v>1355.8413</v>
      </c>
      <c r="AZ11" s="36">
        <f>AZ10*0.220462</f>
        <v>1356.061762</v>
      </c>
      <c r="BA11" s="36">
        <f>BA10*0.220462</f>
        <v>1356.061762</v>
      </c>
      <c r="BB11" s="36">
        <f t="shared" ref="BB11:BC11" si="61">BB10*0.220462</f>
        <v>1385.162746</v>
      </c>
      <c r="BC11" s="36">
        <f t="shared" si="61"/>
        <v>1367.7462479999999</v>
      </c>
      <c r="BD11" s="36">
        <f>BD10*0.220462</f>
        <v>1347.2432819999999</v>
      </c>
      <c r="BG11" s="36">
        <f>BG10*0.220462</f>
        <v>1323.6538479999999</v>
      </c>
      <c r="BH11" s="36">
        <f>BH10*0.220462</f>
        <v>1317.26045</v>
      </c>
      <c r="BI11" s="36">
        <f t="shared" ref="BI11:BJ11" si="62">BI10*0.220462</f>
        <v>1334.676948</v>
      </c>
      <c r="BJ11" s="36">
        <f t="shared" si="62"/>
        <v>1353.4162179999998</v>
      </c>
      <c r="BK11" s="36">
        <f>BK10*0.220462</f>
        <v>1336.220182</v>
      </c>
      <c r="BN11" s="36">
        <f>BN10*0.220462</f>
        <v>1320.126456</v>
      </c>
      <c r="BO11" s="36">
        <f>BO10*0.220462</f>
        <v>1282.2069919999999</v>
      </c>
      <c r="BP11" s="36">
        <f t="shared" ref="BP11:BQ11" si="63">BP10*0.220462</f>
        <v>1289.4822380000001</v>
      </c>
      <c r="BQ11" s="36">
        <f t="shared" si="63"/>
        <v>1247.153534</v>
      </c>
      <c r="BR11" s="36">
        <f>BR10*0.220462</f>
        <v>1236.7918199999999</v>
      </c>
      <c r="BU11" s="36">
        <f>BU10*0.220462</f>
        <v>1220.0367079999999</v>
      </c>
      <c r="BV11" s="36">
        <f>BV10*0.220462</f>
        <v>1231.059808</v>
      </c>
      <c r="BW11" s="36">
        <f t="shared" ref="BW11:BX11" si="64">BW10*0.220462</f>
        <v>1242.0829079999999</v>
      </c>
      <c r="BX11" s="36">
        <f t="shared" si="64"/>
        <v>1272.727126</v>
      </c>
      <c r="BY11" s="36">
        <f>BY10*0.220462</f>
        <v>1266.7746520000001</v>
      </c>
      <c r="CB11" s="36">
        <f>CB10*0.220462</f>
        <v>1278.4591379999999</v>
      </c>
      <c r="CC11" s="36">
        <f>CC10*0.220462</f>
        <v>1239.8782879999999</v>
      </c>
      <c r="CD11" s="36">
        <f t="shared" ref="CD11:CE11" si="65">CD10*0.220462</f>
        <v>1204.604368</v>
      </c>
      <c r="CE11" s="36">
        <f t="shared" si="65"/>
        <v>1150.1502539999999</v>
      </c>
      <c r="CF11" s="36">
        <f>CF10*0.220462</f>
        <v>1174.4010739999999</v>
      </c>
      <c r="CI11" s="36">
        <f>CI10*0.220462</f>
        <v>1202.62021</v>
      </c>
      <c r="CJ11" s="36">
        <f>CJ10*0.220462</f>
        <v>1213.6433099999999</v>
      </c>
      <c r="CK11" s="36">
        <f t="shared" ref="CK11:CL11" si="66">CK10*0.220462</f>
        <v>1220.9185559999999</v>
      </c>
      <c r="CL11" s="36">
        <f t="shared" si="66"/>
        <v>1198.6518939999999</v>
      </c>
      <c r="CM11" s="36">
        <f>CM10*0.220462</f>
        <v>1223.3436380000001</v>
      </c>
      <c r="CP11" s="36">
        <f>CP10*0.220462</f>
        <v>1249.578616</v>
      </c>
      <c r="CQ11" s="36">
        <f>CQ10*0.220462</f>
        <v>1228.855188</v>
      </c>
      <c r="CR11" s="36">
        <f t="shared" ref="CR11:CS11" si="67">CR10*0.220462</f>
        <v>1217.3911639999999</v>
      </c>
      <c r="CS11" s="36">
        <f t="shared" si="67"/>
        <v>1202.179286</v>
      </c>
      <c r="CT11" s="36">
        <f>CT10*0.220462</f>
        <v>1202.179286</v>
      </c>
      <c r="CW11" s="36">
        <f>CW10*0.220462</f>
        <v>1201.0769760000001</v>
      </c>
      <c r="CX11" s="36">
        <f>CX10*0.220462</f>
        <v>1210.115918</v>
      </c>
      <c r="CY11" s="36">
        <f t="shared" ref="CY11:CZ11" si="68">CY10*0.220462</f>
        <v>1190.4947999999999</v>
      </c>
      <c r="CZ11" s="36">
        <f t="shared" si="68"/>
        <v>1184.321864</v>
      </c>
      <c r="DA11" s="36">
        <f>DA10*0.220462</f>
        <v>1182.999092</v>
      </c>
      <c r="DD11" s="36">
        <f>DD10*0.220462</f>
        <v>1203.061134</v>
      </c>
      <c r="DE11" s="36">
        <f>DE10*0.220462</f>
        <v>1220.4776319999999</v>
      </c>
      <c r="DF11" s="36">
        <f t="shared" ref="DF11:DG11" si="69">DF10*0.220462</f>
        <v>1212.9819239999999</v>
      </c>
      <c r="DG11" s="36">
        <f t="shared" si="69"/>
        <v>1199.9746659999998</v>
      </c>
      <c r="DH11" s="36">
        <f>DH10*0.220462</f>
        <v>1199.9746659999998</v>
      </c>
      <c r="DK11" s="36">
        <f>DK10*0.220462</f>
        <v>1158.748272</v>
      </c>
      <c r="DL11" s="36">
        <f>DL10*0.220462</f>
        <v>1140.009002</v>
      </c>
      <c r="DM11" s="36">
        <f t="shared" ref="DM11:DN11" si="70">DM10*0.220462</f>
        <v>1148.1660959999999</v>
      </c>
      <c r="DN11" s="36">
        <f t="shared" si="70"/>
        <v>1119.506036</v>
      </c>
      <c r="DO11" s="36">
        <f>DO10*0.220462</f>
        <v>1137.804382</v>
      </c>
      <c r="DR11" s="36">
        <f>DR10*0.220462</f>
        <v>1137.804382</v>
      </c>
      <c r="DS11" s="36">
        <f>DS10*0.220462</f>
        <v>1132.9542179999999</v>
      </c>
      <c r="DT11" s="36">
        <f t="shared" ref="DT11:DU11" si="71">DT10*0.220462</f>
        <v>1154.5594939999999</v>
      </c>
      <c r="DU11" s="36">
        <f t="shared" si="71"/>
        <v>1152.3548739999999</v>
      </c>
      <c r="DV11" s="36">
        <f>DV10*0.220462</f>
        <v>1192.4789579999999</v>
      </c>
      <c r="DY11" s="36">
        <f>DY10*0.220462</f>
        <v>1175.9443079999999</v>
      </c>
      <c r="DZ11" s="36">
        <f>DZ10*0.220462</f>
        <v>1162.275664</v>
      </c>
      <c r="EA11" s="36">
        <f t="shared" ref="EA11:EB11" si="72">EA10*0.220462</f>
        <v>1143.09547</v>
      </c>
      <c r="EB11" s="36">
        <f t="shared" si="72"/>
        <v>1122.372042</v>
      </c>
      <c r="EC11" s="36">
        <f>EC10*0.220462</f>
        <v>1099.884918</v>
      </c>
      <c r="EF11" s="36">
        <f>EF10*0.220462</f>
        <v>1095.475678</v>
      </c>
      <c r="EG11" s="36">
        <f>EG10*0.220462</f>
        <v>1046.0921899999998</v>
      </c>
      <c r="EH11" s="36">
        <f t="shared" ref="EH11:EI11" si="73">EH10*0.220462</f>
        <v>1023.164142</v>
      </c>
      <c r="EI11" s="36">
        <f t="shared" si="73"/>
        <v>1042.5647979999999</v>
      </c>
      <c r="EJ11" s="36">
        <f>EJ10*0.220462</f>
        <v>1042.1238739999999</v>
      </c>
      <c r="EM11" s="36">
        <f>EM10*0.220462</f>
        <v>1075.193174</v>
      </c>
      <c r="EN11" s="36">
        <f>EN10*0.220462</f>
        <v>1052.926512</v>
      </c>
      <c r="EO11" s="36">
        <f t="shared" ref="EO11:EP11" si="74">EO10*0.220462</f>
        <v>1058.2175999999999</v>
      </c>
      <c r="EP11" s="36">
        <f t="shared" si="74"/>
        <v>1069.6816240000001</v>
      </c>
      <c r="EQ11" s="36">
        <f>EQ10*0.220462</f>
        <v>1076.295484</v>
      </c>
      <c r="ET11" s="36">
        <f>ET10*0.220462</f>
        <v>1076.295484</v>
      </c>
      <c r="EU11" s="36">
        <f>EU10*0.220462</f>
        <v>1018.5344399999999</v>
      </c>
      <c r="EV11" s="36">
        <f t="shared" ref="EV11:EW11" si="75">EV10*0.220462</f>
        <v>1018.5344399999999</v>
      </c>
      <c r="EW11" s="36">
        <f t="shared" si="75"/>
        <v>1055.131132</v>
      </c>
      <c r="EX11" s="36">
        <f>EX10*0.220462</f>
        <v>1091.2869000000001</v>
      </c>
      <c r="FA11" s="36">
        <f>FA10*0.220462</f>
        <v>1085.9958119999999</v>
      </c>
      <c r="FB11" s="36">
        <f>FB10*0.220462</f>
        <v>1122.592504</v>
      </c>
      <c r="FC11" s="36">
        <f t="shared" ref="FC11" si="76">FC10*0.220462</f>
        <v>1112.6717140000001</v>
      </c>
      <c r="FD11" s="36">
        <v>1112.6717140000001</v>
      </c>
      <c r="FE11" s="36">
        <f>FE10*0.220462</f>
        <v>1203.502058</v>
      </c>
      <c r="FH11" s="36">
        <f>FH10*0.220462</f>
        <v>1190.0538759999999</v>
      </c>
      <c r="FI11" s="36">
        <f>FI10*0.220462</f>
        <v>1222.0208659999998</v>
      </c>
      <c r="FJ11" s="36">
        <f t="shared" ref="FJ11:FK11" si="77">FJ10*0.220462</f>
        <v>1233.7053519999999</v>
      </c>
      <c r="FK11" s="36">
        <f t="shared" si="77"/>
        <v>1288.1594659999998</v>
      </c>
      <c r="FL11" s="36">
        <f>FL10*0.220462</f>
        <v>1315.937678</v>
      </c>
      <c r="FO11" s="36">
        <f>FO10*0.220462</f>
        <v>1309.3238179999998</v>
      </c>
      <c r="FP11" s="36">
        <f>FP10*0.220462</f>
        <v>1314.614906</v>
      </c>
      <c r="FQ11" s="36">
        <f t="shared" ref="FQ11:FR11" si="78">FQ10*0.220462</f>
        <v>1226.430106</v>
      </c>
      <c r="FR11" s="36">
        <f t="shared" si="78"/>
        <v>1229.516574</v>
      </c>
      <c r="FS11" s="36">
        <f>FS10*0.220462</f>
        <v>1277.356828</v>
      </c>
      <c r="FV11" s="36">
        <f>FV10*0.220462</f>
        <v>1311.969362</v>
      </c>
      <c r="FW11" s="36">
        <f>FW10*0.220462</f>
        <v>1334.89741</v>
      </c>
      <c r="FX11" s="36">
        <f t="shared" ref="FX11:FY11" si="79">FX10*0.220462</f>
        <v>1314.394444</v>
      </c>
      <c r="FY11" s="36">
        <f t="shared" si="79"/>
        <v>1341.070346</v>
      </c>
      <c r="FZ11" s="36">
        <f>FZ10*0.220462</f>
        <v>1433.2234619999999</v>
      </c>
      <c r="GC11" s="36">
        <f>GC10*0.220462</f>
        <v>1477.5363239999999</v>
      </c>
      <c r="GD11" s="36">
        <f>GD10*0.220462</f>
        <v>1477.5363239999999</v>
      </c>
      <c r="GE11" s="36">
        <f t="shared" ref="GE11:GF11" si="80">GE10*0.220462</f>
        <v>1511.928396</v>
      </c>
      <c r="GF11" s="36">
        <f t="shared" si="80"/>
        <v>1453.9468899999999</v>
      </c>
      <c r="GG11" s="36">
        <f>GG10*0.220462</f>
        <v>1467.17461</v>
      </c>
      <c r="GJ11" s="36">
        <f>GJ10*0.220462</f>
        <v>1526.0379639999999</v>
      </c>
      <c r="GK11" s="36">
        <f>GK10*0.220462</f>
        <v>1510.826086</v>
      </c>
      <c r="GL11" s="36">
        <f t="shared" ref="GL11:GM11" si="81">GL10*0.220462</f>
        <v>1510.826086</v>
      </c>
      <c r="GM11" s="36">
        <f t="shared" si="81"/>
        <v>1535.958754</v>
      </c>
      <c r="GN11" s="36">
        <f>GN10*0.220462</f>
        <v>1496.716518</v>
      </c>
      <c r="GQ11" s="36">
        <f>GQ10*0.220462</f>
        <v>1427.711912</v>
      </c>
      <c r="GR11" s="36">
        <f>GR10*0.220462</f>
        <v>1412.0591099999999</v>
      </c>
      <c r="GS11" s="36">
        <f t="shared" ref="GS11:GT11" si="82">GS10*0.220462</f>
        <v>1456.1515099999999</v>
      </c>
      <c r="GT11" s="36">
        <f t="shared" si="82"/>
        <v>1491.204968</v>
      </c>
      <c r="GU11" s="36">
        <f>GU10*0.220462</f>
        <v>1530.0062799999998</v>
      </c>
      <c r="GX11" s="36">
        <f>GX10*0.220462</f>
        <v>1587.1059379999999</v>
      </c>
      <c r="GY11" s="36">
        <f>GY10*0.220462</f>
        <v>1599.672272</v>
      </c>
      <c r="GZ11" s="36">
        <f t="shared" ref="GZ11:HA11" si="83">GZ10*0.220462</f>
        <v>1549.1864739999999</v>
      </c>
      <c r="HA11" s="36">
        <f t="shared" si="83"/>
        <v>1512.589782</v>
      </c>
      <c r="HB11" s="36">
        <f>HB10*0.220462</f>
        <v>1490.32312</v>
      </c>
      <c r="HE11" s="36">
        <f>HE10*0.220462</f>
        <v>1445.789796</v>
      </c>
      <c r="HF11" s="36">
        <f>HF10*0.220462</f>
        <v>1479.0795579999999</v>
      </c>
      <c r="HG11" s="36">
        <f t="shared" ref="HG11:HH11" si="84">HG10*0.220462</f>
        <v>1483.9297219999999</v>
      </c>
      <c r="HH11" s="36">
        <f t="shared" si="84"/>
        <v>1476.8749379999999</v>
      </c>
      <c r="HI11" s="36">
        <f>HI10*0.220462</f>
        <v>1499.1415999999999</v>
      </c>
      <c r="HL11" s="36">
        <f>HL10*0.220462</f>
        <v>1469.599692</v>
      </c>
      <c r="HM11" s="36">
        <f>HM10*0.220462</f>
        <v>1467.835996</v>
      </c>
      <c r="HN11" s="36">
        <f t="shared" ref="HN11:HO11" si="85">HN10*0.220462</f>
        <v>1472.465698</v>
      </c>
      <c r="HO11" s="36">
        <f t="shared" si="85"/>
        <v>1468.27692</v>
      </c>
      <c r="HP11" s="36">
        <f>HP10*0.220462</f>
        <v>1462.5449079999999</v>
      </c>
      <c r="HS11" s="36">
        <f>HS10*0.220462</f>
        <v>1462.1039839999999</v>
      </c>
      <c r="HT11" s="36">
        <f>HT10*0.220462</f>
        <v>1452.84458</v>
      </c>
      <c r="HU11" s="36">
        <f t="shared" ref="HU11:HV11" si="86">HU10*0.220462</f>
        <v>1472.024774</v>
      </c>
      <c r="HV11" s="36">
        <f t="shared" si="86"/>
        <v>1493.850512</v>
      </c>
      <c r="HW11" s="36">
        <f>HW10*0.220462</f>
        <v>1505.5349979999999</v>
      </c>
      <c r="HZ11" s="36">
        <f>HZ10*0.220462</f>
        <v>1498.9211379999999</v>
      </c>
      <c r="IA11" s="36">
        <f>IA10*0.220462</f>
        <v>1437.6327019999999</v>
      </c>
      <c r="IB11" s="36">
        <f t="shared" ref="IB11:IC11" si="87">IB10*0.220462</f>
        <v>1458.3561299999999</v>
      </c>
      <c r="IC11" s="36">
        <f t="shared" si="87"/>
        <v>1444.907948</v>
      </c>
      <c r="ID11" s="36">
        <f>ID10*0.220462</f>
        <v>1471.142926</v>
      </c>
      <c r="IG11" s="36">
        <f>IG10*0.220462</f>
        <v>1474.8907799999999</v>
      </c>
      <c r="IH11" s="36">
        <f>IH10*0.220462</f>
        <v>1467.395072</v>
      </c>
      <c r="II11" s="36">
        <f t="shared" ref="II11:IJ11" si="88">II10*0.220462</f>
        <v>1444.907948</v>
      </c>
      <c r="IJ11" s="36">
        <f t="shared" si="88"/>
        <v>1444.467024</v>
      </c>
      <c r="IK11" s="36">
        <f>IK10*0.220462</f>
        <v>1467.17461</v>
      </c>
      <c r="IN11" s="36">
        <f>IN10*0.220462</f>
        <v>1467.17461</v>
      </c>
      <c r="IO11" s="36">
        <f>IO10*0.220462</f>
        <v>1455.0491999999999</v>
      </c>
      <c r="IP11" s="36">
        <f t="shared" ref="IP11:IQ11" si="89">IP10*0.220462</f>
        <v>1440.7191699999998</v>
      </c>
      <c r="IQ11" s="36">
        <f t="shared" si="89"/>
        <v>1440.7191699999998</v>
      </c>
      <c r="IR11" s="36">
        <f>IR10*0.220462</f>
        <v>1392.2175299999999</v>
      </c>
      <c r="IU11" s="36">
        <f>IU10*0.220462</f>
        <v>1392.2175299999999</v>
      </c>
      <c r="IV11" s="36">
        <f>IV10*0.220462</f>
        <v>1382.737664</v>
      </c>
      <c r="IW11" s="36">
        <f t="shared" ref="IW11:IX11" si="90">IW10*0.220462</f>
        <v>1420.4366659999998</v>
      </c>
      <c r="IX11" s="36">
        <f t="shared" si="90"/>
        <v>1420.4366659999998</v>
      </c>
      <c r="IY11" s="36">
        <f>IY10*0.220462</f>
        <v>1397.2881559999998</v>
      </c>
      <c r="JB11" s="36">
        <f>JB10*0.220462</f>
        <v>1397.2881559999998</v>
      </c>
      <c r="JC11" s="36">
        <f>JC10*0.220462</f>
        <v>1361.573312</v>
      </c>
      <c r="JD11" s="36">
        <f t="shared" ref="JD11:JE11" si="91">JD10*0.220462</f>
        <v>1337.763416</v>
      </c>
      <c r="JE11" s="36">
        <f t="shared" si="91"/>
        <v>1315.05583</v>
      </c>
      <c r="JF11" s="36">
        <f>JF10*0.220462</f>
        <v>1341.51127</v>
      </c>
      <c r="JI11" s="36">
        <f>JI10*0.220462</f>
        <v>1295.21425</v>
      </c>
      <c r="JJ11" s="36">
        <f>JJ10*0.220462</f>
        <v>1297.639332</v>
      </c>
      <c r="JK11" s="36">
        <f t="shared" ref="JK11:JL11" si="92">JK10*0.220462</f>
        <v>1314.173982</v>
      </c>
      <c r="JL11" s="36">
        <f t="shared" si="92"/>
        <v>1290.364086</v>
      </c>
      <c r="JM11" s="36">
        <f>JM10*0.220462</f>
        <v>1266.3337279999998</v>
      </c>
      <c r="JP11" s="36">
        <f>JP10*0.220462</f>
        <v>1319.46507</v>
      </c>
      <c r="JQ11" s="36">
        <f>JQ10*0.220462</f>
        <v>1310.6465900000001</v>
      </c>
      <c r="JR11" s="36">
        <f t="shared" ref="JR11:JS11" si="93">JR10*0.220462</f>
        <v>1288.1594659999998</v>
      </c>
      <c r="JS11" s="36">
        <f t="shared" si="93"/>
        <v>1275.593132</v>
      </c>
      <c r="JT11" s="36">
        <f>JT10*0.220462</f>
        <v>1263.0267979999999</v>
      </c>
      <c r="JW11" s="36">
        <f>JW10*0.220462</f>
        <v>1237.4532059999999</v>
      </c>
      <c r="JX11" s="36">
        <f>JX10*0.220462</f>
        <v>1190.2743379999999</v>
      </c>
      <c r="JY11" s="36">
        <f t="shared" ref="JY11" si="94">JY10*0.220462</f>
        <v>1179.9126240000001</v>
      </c>
      <c r="JZ11" s="36">
        <v>1179.9126240000001</v>
      </c>
      <c r="KA11" s="36">
        <f>KA10*0.220462</f>
        <v>1220.2571699999999</v>
      </c>
      <c r="KD11" s="36">
        <f>KD10*0.220462</f>
        <v>1232.38258</v>
      </c>
      <c r="KE11" s="36">
        <f>KE10*0.220462</f>
        <v>1220.2571699999999</v>
      </c>
      <c r="KF11" s="36">
        <f t="shared" ref="KF11:KG11" si="95">KF10*0.220462</f>
        <v>1209.454532</v>
      </c>
      <c r="KG11" s="36">
        <f t="shared" si="95"/>
        <v>1170.8736819999999</v>
      </c>
      <c r="KH11" s="36">
        <f>KH10*0.220462</f>
        <v>1177.0466179999999</v>
      </c>
      <c r="KK11" s="36">
        <f>KK10*0.220462</f>
        <v>1145.079628</v>
      </c>
      <c r="KL11" s="36">
        <f>KL10*0.220462</f>
        <v>1131.4109839999999</v>
      </c>
      <c r="KM11" s="36">
        <f t="shared" ref="KM11:KN11" si="96">KM10*0.220462</f>
        <v>1159.63012</v>
      </c>
      <c r="KN11" s="36">
        <f t="shared" si="96"/>
        <v>1140.670388</v>
      </c>
      <c r="KO11" s="36">
        <f>KO10*0.220462</f>
        <v>1152.3548739999999</v>
      </c>
      <c r="KR11" s="36">
        <f>KR10*0.220462</f>
        <v>1155.0004179999999</v>
      </c>
      <c r="KS11" s="36">
        <f>KS10*0.220462</f>
        <v>1133.6156039999998</v>
      </c>
      <c r="KT11" s="36">
        <f t="shared" ref="KT11:KU11" si="97">KT10*0.220462</f>
        <v>1100.10538</v>
      </c>
      <c r="KU11" s="36">
        <f t="shared" si="97"/>
        <v>1100.10538</v>
      </c>
      <c r="KV11" s="36">
        <f>KV10*0.220462</f>
        <v>1088.2004319999999</v>
      </c>
      <c r="KY11" s="36">
        <f>KY10*0.220462</f>
        <v>1119.94696</v>
      </c>
      <c r="KZ11" s="36">
        <f>KZ10*0.220462</f>
        <v>1091.0664380000001</v>
      </c>
      <c r="LA11" s="36">
        <f t="shared" ref="LA11:LB11" si="98">LA10*0.220462</f>
        <v>1101.20769</v>
      </c>
      <c r="LB11" s="36">
        <f t="shared" si="98"/>
        <v>1112.2307899999998</v>
      </c>
      <c r="LC11" s="36">
        <f>LC10*0.220462</f>
        <v>1128.7654399999999</v>
      </c>
      <c r="LF11" s="36">
        <f>LF10*0.220462</f>
        <v>1136.261148</v>
      </c>
      <c r="LG11" s="36">
        <f>LG10*0.220462</f>
        <v>1162.93705</v>
      </c>
      <c r="LH11" s="36">
        <f t="shared" ref="LH11:LI11" si="99">LH10*0.220462</f>
        <v>1162.93705</v>
      </c>
      <c r="LI11" s="36">
        <f t="shared" si="99"/>
        <v>1138.245306</v>
      </c>
      <c r="LJ11" s="36">
        <f>LJ10*0.220462</f>
        <v>1146.6228619999999</v>
      </c>
      <c r="LM11" s="36">
        <f>LM10*0.220462</f>
        <v>1170.8736819999999</v>
      </c>
      <c r="LN11" s="36">
        <f>LN10*0.220462</f>
        <v>1194.6835779999999</v>
      </c>
      <c r="LO11" s="36">
        <f t="shared" ref="LO11:LP11" si="100">LO10*0.220462</f>
        <v>1181.67632</v>
      </c>
      <c r="LP11" s="36">
        <f t="shared" si="100"/>
        <v>1181.67632</v>
      </c>
      <c r="LQ11" s="36">
        <f>LQ10*0.220462</f>
        <v>1136.0406860000001</v>
      </c>
      <c r="LT11" s="36">
        <f>LT10*0.220462</f>
        <v>1144.418242</v>
      </c>
      <c r="LU11" s="36">
        <f>LU10*0.220462</f>
        <v>1175.9443079999999</v>
      </c>
      <c r="LV11" s="36">
        <f t="shared" ref="LV11:LW11" si="101">LV10*0.220462</f>
        <v>1161.393816</v>
      </c>
      <c r="LW11" s="36">
        <f t="shared" si="101"/>
        <v>1152.7957979999999</v>
      </c>
      <c r="LX11" s="36">
        <f>LX10*0.220462</f>
        <v>1132.7337559999999</v>
      </c>
      <c r="MA11" s="36">
        <f>MA10*0.220462</f>
        <v>1128.5449779999999</v>
      </c>
      <c r="MB11" s="36">
        <f>MB10*0.220462</f>
        <v>1107.1601639999999</v>
      </c>
      <c r="MC11" s="36">
        <f t="shared" ref="MC11:MD11" si="102">MC10*0.220462</f>
        <v>1086.6571979999999</v>
      </c>
      <c r="MD11" s="36">
        <f t="shared" si="102"/>
        <v>1126.7812819999999</v>
      </c>
      <c r="ME11" s="36">
        <f>ME10*0.220462</f>
        <v>1105.6169299999999</v>
      </c>
      <c r="MH11" s="36">
        <f>MH10*0.220462</f>
        <v>1125.6789719999999</v>
      </c>
      <c r="MI11" s="36">
        <f>MI10*0.220462</f>
        <v>1110.9080179999999</v>
      </c>
      <c r="MJ11" s="36">
        <f t="shared" ref="MJ11:MK11" si="103">MJ10*0.220462</f>
        <v>1098.341684</v>
      </c>
      <c r="MK11" s="36">
        <f t="shared" si="103"/>
        <v>1086.4367359999999</v>
      </c>
      <c r="ML11" s="36">
        <f>ML10*0.220462</f>
        <v>1102.0895379999999</v>
      </c>
      <c r="MO11" s="36">
        <f>MO10*0.220462</f>
        <v>1116.419568</v>
      </c>
      <c r="MP11" s="36">
        <f>MP10*0.220462</f>
        <v>1118.403726</v>
      </c>
      <c r="MQ11" s="36">
        <f t="shared" ref="MQ11:MR11" si="104">MQ10*0.220462</f>
        <v>1114.655872</v>
      </c>
      <c r="MR11" s="36">
        <f t="shared" si="104"/>
        <v>1081.1456479999999</v>
      </c>
      <c r="MS11" s="36">
        <f>MS10*0.220462</f>
        <v>1069.9020860000001</v>
      </c>
      <c r="MV11" s="36">
        <f>MV10*0.220462</f>
        <v>1069.9020860000001</v>
      </c>
      <c r="MW11" s="36">
        <f>MW10*0.220462</f>
        <v>1056.233442</v>
      </c>
      <c r="MX11" s="36">
        <f t="shared" ref="MX11:MY11" si="105">MX10*0.220462</f>
        <v>1063.5086879999999</v>
      </c>
      <c r="MY11" s="36">
        <f t="shared" si="105"/>
        <v>1046.9740380000001</v>
      </c>
      <c r="MZ11" s="36">
        <f>MZ10*0.220462</f>
        <v>1046.9740380000001</v>
      </c>
    </row>
    <row r="12" spans="1:366" s="35" customFormat="1" x14ac:dyDescent="0.25">
      <c r="A12" s="28" t="s">
        <v>36</v>
      </c>
      <c r="C12" s="35">
        <f>IFERROR(C11/C2,0)</f>
        <v>16.374904225352115</v>
      </c>
      <c r="D12" s="35">
        <f t="shared" ref="D12:G12" si="106">IFERROR(D11/D2,0)</f>
        <v>16.960267868453105</v>
      </c>
      <c r="E12" s="35">
        <f t="shared" si="106"/>
        <v>17.87430218396711</v>
      </c>
      <c r="F12" s="35">
        <f t="shared" si="106"/>
        <v>17.633598017537171</v>
      </c>
      <c r="G12" s="35">
        <f t="shared" si="106"/>
        <v>17.882198370879472</v>
      </c>
      <c r="J12" s="35">
        <f>IFERROR(J11/J2,0)</f>
        <v>17.689549805398617</v>
      </c>
      <c r="K12" s="35">
        <f t="shared" ref="K12:N12" si="107">IFERROR(K11/K2,0)</f>
        <v>17.375488214731586</v>
      </c>
      <c r="L12" s="35">
        <f t="shared" si="107"/>
        <v>16.637987395669526</v>
      </c>
      <c r="M12" s="35">
        <f t="shared" si="107"/>
        <v>16.594337141497082</v>
      </c>
      <c r="N12" s="35">
        <f t="shared" si="107"/>
        <v>16.351104010318949</v>
      </c>
      <c r="Q12" s="35">
        <f>IFERROR(Q11/Q2,0)</f>
        <v>16.351104010318949</v>
      </c>
      <c r="R12" s="35">
        <f t="shared" ref="R12:U12" si="108">IFERROR(R11/R2,0)</f>
        <v>16.380696089385474</v>
      </c>
      <c r="S12" s="35">
        <f t="shared" si="108"/>
        <v>16.634529818780887</v>
      </c>
      <c r="T12" s="35">
        <f t="shared" si="108"/>
        <v>16.158513579387186</v>
      </c>
      <c r="U12" s="35">
        <f t="shared" si="108"/>
        <v>15.590585575716078</v>
      </c>
      <c r="X12" s="35">
        <f>IFERROR(X11/X2,0)</f>
        <v>15.509085474543598</v>
      </c>
      <c r="Y12" s="35">
        <f t="shared" ref="Y12:AB12" si="109">IFERROR(Y11/Y2,0)</f>
        <v>15.608699361430396</v>
      </c>
      <c r="Z12" s="35">
        <f t="shared" si="109"/>
        <v>15.497874454249883</v>
      </c>
      <c r="AA12" s="35">
        <f t="shared" si="109"/>
        <v>15.321693129072825</v>
      </c>
      <c r="AB12" s="35">
        <f t="shared" si="109"/>
        <v>15.421655250403878</v>
      </c>
      <c r="AE12" s="35">
        <f>IFERROR(AE11/AE2,0)</f>
        <v>15.998496852071005</v>
      </c>
      <c r="AF12" s="35">
        <f t="shared" ref="AF12:AI12" si="110">IFERROR(AF11/AF2,0)</f>
        <v>16.079331219283876</v>
      </c>
      <c r="AG12" s="35">
        <f t="shared" si="110"/>
        <v>16.228971881811578</v>
      </c>
      <c r="AH12" s="35">
        <f t="shared" ref="AH12" si="111">IFERROR(AH11/AH2,0)</f>
        <v>16.350193842034805</v>
      </c>
      <c r="AI12" s="35">
        <f t="shared" si="110"/>
        <v>16.282307330497872</v>
      </c>
      <c r="AL12" s="35">
        <f>IFERROR(AL11/AL2,0)</f>
        <v>16.144710729719719</v>
      </c>
      <c r="AM12" s="35">
        <f t="shared" ref="AM12:AP12" si="112">IFERROR(AM11/AM2,0)</f>
        <v>16.040065933803323</v>
      </c>
      <c r="AN12" s="35">
        <f t="shared" si="112"/>
        <v>15.695837301680573</v>
      </c>
      <c r="AO12" s="35">
        <f t="shared" si="112"/>
        <v>15.403640804733726</v>
      </c>
      <c r="AP12" s="35">
        <f t="shared" si="112"/>
        <v>15.44943799050816</v>
      </c>
      <c r="AS12" s="35">
        <f>IFERROR(AS11/AS2,0)</f>
        <v>15.308376261401685</v>
      </c>
      <c r="AT12" s="35">
        <f t="shared" ref="AT12:AW12" si="113">IFERROR(AT11/AT2,0)</f>
        <v>15.559598971722364</v>
      </c>
      <c r="AU12" s="35">
        <f t="shared" si="113"/>
        <v>15.812945514171936</v>
      </c>
      <c r="AV12" s="35">
        <f t="shared" si="113"/>
        <v>16.028421188630489</v>
      </c>
      <c r="AW12" s="35">
        <f t="shared" si="113"/>
        <v>16.325602649006623</v>
      </c>
      <c r="AZ12" s="35">
        <f>IFERROR(AZ11/AZ2,0)</f>
        <v>16.328257218543047</v>
      </c>
      <c r="BA12" s="35">
        <f t="shared" ref="BA12:BD12" si="114">IFERROR(BA11/BA2,0)</f>
        <v>16.328257218543047</v>
      </c>
      <c r="BB12" s="35">
        <f t="shared" si="114"/>
        <v>17.185642009925559</v>
      </c>
      <c r="BC12" s="35">
        <f t="shared" si="114"/>
        <v>16.637224765843573</v>
      </c>
      <c r="BD12" s="35">
        <f t="shared" si="114"/>
        <v>16.200616666666665</v>
      </c>
      <c r="BG12" s="35">
        <f>IFERROR(BG11/BG2,0)</f>
        <v>16.134249731838125</v>
      </c>
      <c r="BH12" s="35">
        <f t="shared" ref="BH12:BK12" si="115">IFERROR(BH11/BH2,0)</f>
        <v>15.785026363091671</v>
      </c>
      <c r="BI12" s="35">
        <f t="shared" si="115"/>
        <v>15.830588874392124</v>
      </c>
      <c r="BJ12" s="35">
        <f t="shared" si="115"/>
        <v>15.969512896755161</v>
      </c>
      <c r="BK12" s="35">
        <f t="shared" si="115"/>
        <v>15.568218361878131</v>
      </c>
      <c r="BN12" s="35">
        <f>IFERROR(BN11/BN2,0)</f>
        <v>15.31824618240891</v>
      </c>
      <c r="BO12" s="35">
        <f t="shared" ref="BO12:BR12" si="116">IFERROR(BO11/BO2,0)</f>
        <v>15.394489038299914</v>
      </c>
      <c r="BP12" s="35">
        <f t="shared" si="116"/>
        <v>15.599833510766999</v>
      </c>
      <c r="BQ12" s="35">
        <f t="shared" si="116"/>
        <v>15.285617526657678</v>
      </c>
      <c r="BR12" s="35">
        <f t="shared" si="116"/>
        <v>14.940708142063299</v>
      </c>
      <c r="BU12" s="35">
        <f>IFERROR(BU11/BU2,0)</f>
        <v>15.105072526928314</v>
      </c>
      <c r="BV12" s="35">
        <f t="shared" ref="BV12:BY12" si="117">IFERROR(BV11/BV2,0)</f>
        <v>15.894897456423498</v>
      </c>
      <c r="BW12" s="35">
        <f t="shared" si="117"/>
        <v>16.855515103813271</v>
      </c>
      <c r="BX12" s="35">
        <f t="shared" si="117"/>
        <v>17.037846398929048</v>
      </c>
      <c r="BY12" s="35">
        <f t="shared" si="117"/>
        <v>17.360211758256821</v>
      </c>
      <c r="CB12" s="35">
        <f>IFERROR(CB11/CB2,0)</f>
        <v>17.325642200840221</v>
      </c>
      <c r="CC12" s="35">
        <f t="shared" ref="CC12:CF12" si="118">IFERROR(CC11/CC2,0)</f>
        <v>16.461474880509826</v>
      </c>
      <c r="CD12" s="35">
        <f t="shared" si="118"/>
        <v>15.707450358586518</v>
      </c>
      <c r="CE12" s="35">
        <f t="shared" si="118"/>
        <v>15.151498537742063</v>
      </c>
      <c r="CF12" s="35">
        <f t="shared" si="118"/>
        <v>15.660769089211895</v>
      </c>
      <c r="CI12" s="35">
        <f>IFERROR(CI11/CI2,0)</f>
        <v>15.394523937532002</v>
      </c>
      <c r="CJ12" s="35">
        <f t="shared" ref="CJ12:CM12" si="119">IFERROR(CJ11/CJ2,0)</f>
        <v>15.43093846153846</v>
      </c>
      <c r="CK12" s="35">
        <f t="shared" si="119"/>
        <v>15.596813438937147</v>
      </c>
      <c r="CL12" s="35">
        <f t="shared" si="119"/>
        <v>15.250024096692112</v>
      </c>
      <c r="CM12" s="35">
        <f t="shared" si="119"/>
        <v>15.312850644636375</v>
      </c>
      <c r="CP12" s="35">
        <f>IFERROR(CP11/CP2,0)</f>
        <v>14.713041516543035</v>
      </c>
      <c r="CQ12" s="35">
        <f t="shared" ref="CQ12:CT12" si="120">IFERROR(CQ11/CQ2,0)</f>
        <v>14.467332093242289</v>
      </c>
      <c r="CR12" s="35">
        <f t="shared" si="120"/>
        <v>14.323934156959641</v>
      </c>
      <c r="CS12" s="35">
        <f t="shared" si="120"/>
        <v>14.123346874999999</v>
      </c>
      <c r="CT12" s="35">
        <f t="shared" si="120"/>
        <v>14.123346874999999</v>
      </c>
      <c r="CW12" s="35">
        <f>IFERROR(CW11/CW2,0)</f>
        <v>14.267961225944404</v>
      </c>
      <c r="CX12" s="35">
        <f t="shared" ref="CX12:DA12" si="121">IFERROR(CX11/CX2,0)</f>
        <v>14.135216890550169</v>
      </c>
      <c r="CY12" s="35">
        <f t="shared" si="121"/>
        <v>13.632140158021299</v>
      </c>
      <c r="CZ12" s="35">
        <f t="shared" si="121"/>
        <v>13.756787826692996</v>
      </c>
      <c r="DA12" s="35">
        <f t="shared" si="121"/>
        <v>13.706396616846252</v>
      </c>
      <c r="DD12" s="35">
        <f>IFERROR(DD11/DD2,0)</f>
        <v>14.193736833411986</v>
      </c>
      <c r="DE12" s="35">
        <f t="shared" ref="DE12:DH12" si="122">IFERROR(DE11/DE2,0)</f>
        <v>14.397518367346938</v>
      </c>
      <c r="DF12" s="35">
        <f t="shared" si="122"/>
        <v>14.593141530317611</v>
      </c>
      <c r="DG12" s="35">
        <f t="shared" si="122"/>
        <v>14.694766911584617</v>
      </c>
      <c r="DH12" s="35">
        <f t="shared" si="122"/>
        <v>14.694766911584617</v>
      </c>
      <c r="DK12" s="35">
        <f>IFERROR(DK11/DK2,0)</f>
        <v>14.006385494983682</v>
      </c>
      <c r="DL12" s="35">
        <f t="shared" ref="DL12:DO12" si="123">IFERROR(DL11/DL2,0)</f>
        <v>14.114262746069086</v>
      </c>
      <c r="DM12" s="35">
        <f t="shared" si="123"/>
        <v>14.778814467756467</v>
      </c>
      <c r="DN12" s="35">
        <f t="shared" si="123"/>
        <v>14.312273536180005</v>
      </c>
      <c r="DO12" s="35">
        <f t="shared" si="123"/>
        <v>14.346291539528433</v>
      </c>
      <c r="DR12" s="35">
        <f>IFERROR(DR11/DR2,0)</f>
        <v>14.346291539528433</v>
      </c>
      <c r="DS12" s="35">
        <f t="shared" ref="DS12:DV12" si="124">IFERROR(DS11/DS2,0)</f>
        <v>15.041877562400424</v>
      </c>
      <c r="DT12" s="35">
        <f t="shared" si="124"/>
        <v>15.96238758468132</v>
      </c>
      <c r="DU12" s="35">
        <f t="shared" si="124"/>
        <v>15.894549986206895</v>
      </c>
      <c r="DV12" s="35">
        <f t="shared" si="124"/>
        <v>15.836373944223107</v>
      </c>
      <c r="DY12" s="35">
        <f>IFERROR(DY11/DY2,0)</f>
        <v>15.27002088040514</v>
      </c>
      <c r="DZ12" s="35">
        <f t="shared" ref="DZ12:EC12" si="125">IFERROR(DZ11/DZ2,0)</f>
        <v>15.008725</v>
      </c>
      <c r="EA12" s="35">
        <f t="shared" si="125"/>
        <v>14.960024473236487</v>
      </c>
      <c r="EB12" s="35">
        <f t="shared" si="125"/>
        <v>14.968952280608161</v>
      </c>
      <c r="EC12" s="35">
        <f t="shared" si="125"/>
        <v>14.829242523931509</v>
      </c>
      <c r="EF12" s="35">
        <f>IFERROR(EF11/EF2,0)</f>
        <v>14.561686534627142</v>
      </c>
      <c r="EG12" s="35">
        <f t="shared" ref="EG12:EJ12" si="126">IFERROR(EG11/EG2,0)</f>
        <v>13.964653450807635</v>
      </c>
      <c r="EH12" s="35">
        <f t="shared" si="126"/>
        <v>13.294752364864866</v>
      </c>
      <c r="EI12" s="35">
        <f t="shared" si="126"/>
        <v>13.743274426575269</v>
      </c>
      <c r="EJ12" s="35">
        <f t="shared" si="126"/>
        <v>13.788355041016141</v>
      </c>
      <c r="EM12" s="35">
        <f>IFERROR(EM11/EM2,0)</f>
        <v>14.149140334254508</v>
      </c>
      <c r="EN12" s="35">
        <f t="shared" ref="EN12:EQ12" si="127">IFERROR(EN11/EN2,0)</f>
        <v>13.702843727225403</v>
      </c>
      <c r="EO12" s="35">
        <f t="shared" si="127"/>
        <v>13.504563552833078</v>
      </c>
      <c r="EP12" s="35">
        <f t="shared" si="127"/>
        <v>14.026771885654341</v>
      </c>
      <c r="EQ12" s="35">
        <f t="shared" si="127"/>
        <v>13.986945860948667</v>
      </c>
      <c r="ET12" s="35">
        <f>IFERROR(ET11/ET2,0)</f>
        <v>13.986945860948667</v>
      </c>
      <c r="EU12" s="35">
        <f t="shared" ref="EU12:EX12" si="128">IFERROR(EU11/EU2,0)</f>
        <v>13.818131054131054</v>
      </c>
      <c r="EV12" s="35">
        <f t="shared" si="128"/>
        <v>14.029399999999999</v>
      </c>
      <c r="EW12" s="35">
        <f t="shared" si="128"/>
        <v>14.20478099084545</v>
      </c>
      <c r="EX12" s="35">
        <f t="shared" si="128"/>
        <v>14.334518586628137</v>
      </c>
      <c r="FA12" s="35">
        <f>IFERROR(FA11/FA2,0)</f>
        <v>14.157160891669925</v>
      </c>
      <c r="FB12" s="35">
        <f t="shared" ref="FB12:FE12" si="129">IFERROR(FB11/FB2,0)</f>
        <v>14.714805400445666</v>
      </c>
      <c r="FC12" s="35">
        <f t="shared" si="129"/>
        <v>14.648126829910481</v>
      </c>
      <c r="FD12" s="35">
        <v>14.648126829910481</v>
      </c>
      <c r="FE12" s="35">
        <f t="shared" si="129"/>
        <v>16.091751009493247</v>
      </c>
      <c r="FH12" s="35">
        <f>IFERROR(FH11/FH2,0)</f>
        <v>16.565337917594654</v>
      </c>
      <c r="FI12" s="35">
        <f t="shared" ref="FI12:FL12" si="130">IFERROR(FI11/FI2,0)</f>
        <v>16.449331888544886</v>
      </c>
      <c r="FJ12" s="35">
        <f t="shared" si="130"/>
        <v>16.853898251366118</v>
      </c>
      <c r="FK12" s="35">
        <f t="shared" si="130"/>
        <v>17.023383983084443</v>
      </c>
      <c r="FL12" s="35">
        <f t="shared" si="130"/>
        <v>17.177100613496933</v>
      </c>
      <c r="FO12" s="35">
        <f>IFERROR(FO11/FO2,0)</f>
        <v>17.090769064090846</v>
      </c>
      <c r="FP12" s="35">
        <f t="shared" ref="FP12:FS12" si="131">IFERROR(FP11/FP2,0)</f>
        <v>17.320354492753623</v>
      </c>
      <c r="FQ12" s="35">
        <f t="shared" si="131"/>
        <v>15.902880005186722</v>
      </c>
      <c r="FR12" s="35">
        <f t="shared" si="131"/>
        <v>16.583714243323442</v>
      </c>
      <c r="FS12" s="35">
        <f t="shared" si="131"/>
        <v>17.296639512525388</v>
      </c>
      <c r="FV12" s="35">
        <f>IFERROR(FV11/FV2,0)</f>
        <v>17.686294985171205</v>
      </c>
      <c r="FW12" s="35">
        <f t="shared" ref="FW12:FZ12" si="132">IFERROR(FW11/FW2,0)</f>
        <v>18.473531829504566</v>
      </c>
      <c r="FX12" s="35">
        <f t="shared" si="132"/>
        <v>17.754889153046062</v>
      </c>
      <c r="FY12" s="35">
        <f t="shared" si="132"/>
        <v>17.998528331767545</v>
      </c>
      <c r="FZ12" s="35">
        <f t="shared" si="132"/>
        <v>19.005748070547671</v>
      </c>
      <c r="GC12" s="35">
        <f>IFERROR(GC11/GC2,0)</f>
        <v>19.792850957803079</v>
      </c>
      <c r="GD12" s="35">
        <f t="shared" ref="GD12:GG12" si="133">IFERROR(GD11/GD2,0)</f>
        <v>19.792850957803079</v>
      </c>
      <c r="GE12" s="35">
        <f t="shared" si="133"/>
        <v>19.725093228962816</v>
      </c>
      <c r="GF12" s="35">
        <f t="shared" si="133"/>
        <v>19.000874150548878</v>
      </c>
      <c r="GG12" s="35">
        <f t="shared" si="133"/>
        <v>18.697267873072512</v>
      </c>
      <c r="GJ12" s="35">
        <f>IFERROR(GJ11/GJ2,0)</f>
        <v>19.642656249195518</v>
      </c>
      <c r="GK12" s="35">
        <f t="shared" ref="GK12:GN12" si="134">IFERROR(GK11/GK2,0)</f>
        <v>19.028036347607053</v>
      </c>
      <c r="GL12" s="35">
        <f t="shared" si="134"/>
        <v>18.859394407689429</v>
      </c>
      <c r="GM12" s="35">
        <f t="shared" si="134"/>
        <v>18.878549090462144</v>
      </c>
      <c r="GN12" s="35">
        <f t="shared" si="134"/>
        <v>18.739408013021158</v>
      </c>
      <c r="GQ12" s="35">
        <f>IFERROR(GQ11/GQ2,0)</f>
        <v>18.187412891719745</v>
      </c>
      <c r="GR12" s="35">
        <f t="shared" ref="GR12:GU12" si="135">IFERROR(GR11/GR2,0)</f>
        <v>17.732752856963454</v>
      </c>
      <c r="GS12" s="35">
        <f t="shared" si="135"/>
        <v>18.325591618424365</v>
      </c>
      <c r="GT12" s="35">
        <f t="shared" si="135"/>
        <v>18.724321546961328</v>
      </c>
      <c r="GU12" s="35">
        <f t="shared" si="135"/>
        <v>18.872656716417911</v>
      </c>
      <c r="GX12" s="35">
        <f>IFERROR(GX11/GX2,0)</f>
        <v>19.181845999516558</v>
      </c>
      <c r="GY12" s="35">
        <f t="shared" ref="GY12:HB12" si="136">IFERROR(GY11/GY2,0)</f>
        <v>19.125684744141559</v>
      </c>
      <c r="GZ12" s="35">
        <f t="shared" si="136"/>
        <v>18.682904896285574</v>
      </c>
      <c r="HA12" s="35">
        <f t="shared" si="136"/>
        <v>17.955719159544159</v>
      </c>
      <c r="HB12" s="35">
        <f t="shared" si="136"/>
        <v>17.655764956758677</v>
      </c>
      <c r="HE12" s="35">
        <f>IFERROR(HE11/HE2,0)</f>
        <v>16.923677818096685</v>
      </c>
      <c r="HF12" s="35">
        <f t="shared" ref="HF12:HI12" si="137">IFERROR(HF11/HF2,0)</f>
        <v>17.419380025909785</v>
      </c>
      <c r="HG12" s="35">
        <f t="shared" si="137"/>
        <v>17.835693774038461</v>
      </c>
      <c r="HH12" s="35">
        <f t="shared" si="137"/>
        <v>17.34642868217054</v>
      </c>
      <c r="HI12" s="35">
        <f t="shared" si="137"/>
        <v>17.383367346938776</v>
      </c>
      <c r="HL12" s="35">
        <f>IFERROR(HL11/HL2,0)</f>
        <v>17.220526037028357</v>
      </c>
      <c r="HM12" s="35">
        <f t="shared" ref="HM12:HP12" si="138">IFERROR(HM11/HM2,0)</f>
        <v>17.03418818614367</v>
      </c>
      <c r="HN12" s="35">
        <f t="shared" si="138"/>
        <v>16.818568794974301</v>
      </c>
      <c r="HO12" s="35">
        <f t="shared" si="138"/>
        <v>16.993945833333331</v>
      </c>
      <c r="HP12" s="35">
        <f t="shared" si="138"/>
        <v>16.847654740237299</v>
      </c>
      <c r="HS12" s="35">
        <f>IFERROR(HS11/HS2,0)</f>
        <v>16.959795661756175</v>
      </c>
      <c r="HT12" s="35">
        <f t="shared" ref="HT12:HW12" si="139">IFERROR(HT11/HT2,0)</f>
        <v>17.114437271763457</v>
      </c>
      <c r="HU12" s="35">
        <f t="shared" si="139"/>
        <v>17.639601845416415</v>
      </c>
      <c r="HV12" s="35">
        <f t="shared" si="139"/>
        <v>17.758565287684259</v>
      </c>
      <c r="HW12" s="35">
        <f t="shared" si="139"/>
        <v>17.753950448113205</v>
      </c>
      <c r="HZ12" s="35">
        <f>IFERROR(HZ11/HZ2,0)</f>
        <v>17.747112692398769</v>
      </c>
      <c r="IA12" s="35">
        <f t="shared" ref="IA12:ID12" si="140">IFERROR(IA11/IA2,0)</f>
        <v>17.108564822087349</v>
      </c>
      <c r="IB12" s="35">
        <f t="shared" si="140"/>
        <v>17.52621235428434</v>
      </c>
      <c r="IC12" s="35">
        <f t="shared" si="140"/>
        <v>17.333348704414586</v>
      </c>
      <c r="ID12" s="35">
        <f t="shared" si="140"/>
        <v>17.414097135416664</v>
      </c>
      <c r="IG12" s="35">
        <f>IFERROR(IG11/IG2,0)</f>
        <v>17.47086922530206</v>
      </c>
      <c r="IH12" s="35">
        <f t="shared" ref="IH12:IK12" si="141">IFERROR(IH11/IH2,0)</f>
        <v>17.16452300853901</v>
      </c>
      <c r="II12" s="35">
        <f t="shared" si="141"/>
        <v>16.951055232285313</v>
      </c>
      <c r="IJ12" s="35">
        <f t="shared" si="141"/>
        <v>16.635575538408386</v>
      </c>
      <c r="IK12" s="35">
        <f t="shared" si="141"/>
        <v>16.568883229813665</v>
      </c>
      <c r="IN12" s="35">
        <f>IFERROR(IN11/IN2,0)</f>
        <v>16.568883229813665</v>
      </c>
      <c r="IO12" s="35">
        <f t="shared" ref="IO12:IR12" si="142">IFERROR(IO11/IO2,0)</f>
        <v>16.160031097290091</v>
      </c>
      <c r="IP12" s="35">
        <f t="shared" si="142"/>
        <v>16.022232762455513</v>
      </c>
      <c r="IQ12" s="35">
        <f t="shared" si="142"/>
        <v>16.022232762455513</v>
      </c>
      <c r="IR12" s="35">
        <f t="shared" si="142"/>
        <v>15.358163596249309</v>
      </c>
      <c r="IU12" s="35">
        <f>IFERROR(IU11/IU2,0)</f>
        <v>15.359858009708736</v>
      </c>
      <c r="IV12" s="35">
        <f t="shared" ref="IV12:IY12" si="143">IFERROR(IV11/IV2,0)</f>
        <v>15.019961590267217</v>
      </c>
      <c r="IW12" s="35">
        <f t="shared" si="143"/>
        <v>15.459693796255985</v>
      </c>
      <c r="IX12" s="35">
        <f t="shared" si="143"/>
        <v>15.15940945570971</v>
      </c>
      <c r="IY12" s="35">
        <f t="shared" si="143"/>
        <v>14.875845374214839</v>
      </c>
      <c r="JB12" s="35">
        <f>IFERROR(JB11/JB2,0)</f>
        <v>14.797078852059725</v>
      </c>
      <c r="JC12" s="35">
        <f t="shared" ref="JC12:JF12" si="144">IFERROR(JC11/JC2,0)</f>
        <v>14.557610520688549</v>
      </c>
      <c r="JD12" s="35">
        <f t="shared" si="144"/>
        <v>14.303040906660964</v>
      </c>
      <c r="JE12" s="35">
        <f t="shared" si="144"/>
        <v>14.094917792068596</v>
      </c>
      <c r="JF12" s="35">
        <f t="shared" si="144"/>
        <v>14.383094993030985</v>
      </c>
      <c r="JI12" s="35">
        <f>IFERROR(JI11/JI2,0)</f>
        <v>13.883741558580768</v>
      </c>
      <c r="JJ12" s="35">
        <f t="shared" ref="JJ12:JM12" si="145">IFERROR(JJ11/JJ2,0)</f>
        <v>13.810550574712645</v>
      </c>
      <c r="JK12" s="35">
        <f t="shared" si="145"/>
        <v>13.611330730191611</v>
      </c>
      <c r="JL12" s="35">
        <f t="shared" si="145"/>
        <v>13.859979441460796</v>
      </c>
      <c r="JM12" s="35">
        <f t="shared" si="145"/>
        <v>13.734639132321039</v>
      </c>
      <c r="JP12" s="35">
        <f>IFERROR(JP11/JP2,0)</f>
        <v>14.54597144746996</v>
      </c>
      <c r="JQ12" s="35">
        <f t="shared" ref="JQ12:JT12" si="146">IFERROR(JQ11/JQ2,0)</f>
        <v>14.41538264408271</v>
      </c>
      <c r="JR12" s="35">
        <f t="shared" si="146"/>
        <v>15.011763966903622</v>
      </c>
      <c r="JS12" s="35">
        <f t="shared" si="146"/>
        <v>15.17298836683716</v>
      </c>
      <c r="JT12" s="35">
        <f t="shared" si="146"/>
        <v>14.932925017734688</v>
      </c>
      <c r="JW12" s="35">
        <f>IFERROR(JW11/JW2,0)</f>
        <v>14.038039773114008</v>
      </c>
      <c r="JX12" s="35">
        <f t="shared" ref="JX12:KA12" si="147">IFERROR(JX11/JX2,0)</f>
        <v>13.579855539075869</v>
      </c>
      <c r="JY12" s="35">
        <f t="shared" si="147"/>
        <v>13.719914232558141</v>
      </c>
      <c r="JZ12" s="35">
        <v>13.719914232558141</v>
      </c>
      <c r="KA12" s="35">
        <f t="shared" si="147"/>
        <v>13.425648256133787</v>
      </c>
      <c r="KD12" s="35">
        <f>IFERROR(KD11/KD2,0)</f>
        <v>13.746598773006134</v>
      </c>
      <c r="KE12" s="35">
        <f t="shared" ref="KE12:KG12" si="148">IFERROR(KE11/KE2,0)</f>
        <v>13.573494660734147</v>
      </c>
      <c r="KF12" s="35">
        <f t="shared" si="148"/>
        <v>13.21808231693989</v>
      </c>
      <c r="KG12" s="35">
        <f t="shared" si="148"/>
        <v>12.67453650140723</v>
      </c>
      <c r="KH12" s="35">
        <f t="shared" ref="KH12" si="149">IFERROR(KH11/KH2,0)</f>
        <v>12.771773198784722</v>
      </c>
      <c r="KK12" s="35">
        <f>IFERROR(KK11/KK2,0)</f>
        <v>12.747184993877324</v>
      </c>
      <c r="KL12" s="35">
        <f t="shared" ref="KL12:KO12" si="150">IFERROR(KL11/KL2,0)</f>
        <v>12.846724014988077</v>
      </c>
      <c r="KM12" s="35">
        <f t="shared" si="150"/>
        <v>12.866194607788751</v>
      </c>
      <c r="KN12" s="35">
        <f t="shared" si="150"/>
        <v>12.97248252018651</v>
      </c>
      <c r="KO12" s="35">
        <f t="shared" si="150"/>
        <v>12.73601761715296</v>
      </c>
      <c r="KR12" s="35">
        <f>IFERROR(KR11/KR2,0)</f>
        <v>13.375801019108279</v>
      </c>
      <c r="KS12" s="35">
        <f t="shared" ref="KS12:KV12" si="151">IFERROR(KS11/KS2,0)</f>
        <v>13.333516866619618</v>
      </c>
      <c r="KT12" s="35">
        <f t="shared" si="151"/>
        <v>12.666728612550374</v>
      </c>
      <c r="KU12" s="35">
        <f t="shared" si="151"/>
        <v>12.666728612550374</v>
      </c>
      <c r="KV12" s="35">
        <f t="shared" si="151"/>
        <v>12.818947249381552</v>
      </c>
      <c r="KY12" s="35">
        <f>IFERROR(KY11/KY2,0)</f>
        <v>13.148003756750409</v>
      </c>
      <c r="KZ12" s="35">
        <f t="shared" ref="KZ12:LC12" si="152">IFERROR(KZ11/KZ2,0)</f>
        <v>13.369273838990321</v>
      </c>
      <c r="LA12" s="35">
        <f t="shared" si="152"/>
        <v>13.844703168217247</v>
      </c>
      <c r="LB12" s="35">
        <f t="shared" si="152"/>
        <v>13.901147231596047</v>
      </c>
      <c r="LC12" s="35">
        <f t="shared" si="152"/>
        <v>13.861788530025787</v>
      </c>
      <c r="LF12" s="35">
        <f>IFERROR(LF11/LF2,0)</f>
        <v>13.769524333494912</v>
      </c>
      <c r="LG12" s="35">
        <f t="shared" ref="LG12:LJ12" si="153">IFERROR(LG11/LG2,0)</f>
        <v>14.325413279132791</v>
      </c>
      <c r="LH12" s="35">
        <f t="shared" si="153"/>
        <v>14.325413279132791</v>
      </c>
      <c r="LI12" s="35">
        <f t="shared" si="153"/>
        <v>14.702212684060965</v>
      </c>
      <c r="LJ12" s="35">
        <f t="shared" si="153"/>
        <v>14.224325294628457</v>
      </c>
      <c r="LM12" s="35">
        <f>IFERROR(LM11/LM2,0)</f>
        <v>14.223441229348882</v>
      </c>
      <c r="LN12" s="35">
        <f t="shared" ref="LN12:LQ12" si="154">IFERROR(LN11/LN2,0)</f>
        <v>14.489794760460883</v>
      </c>
      <c r="LO12" s="35">
        <f t="shared" si="154"/>
        <v>14.417719863347976</v>
      </c>
      <c r="LP12" s="35">
        <f t="shared" si="154"/>
        <v>14.417719863347976</v>
      </c>
      <c r="LQ12" s="35">
        <f t="shared" si="154"/>
        <v>14.098295929511046</v>
      </c>
      <c r="LT12" s="35">
        <f>IFERROR(LT11/LT2,0)</f>
        <v>14.308805226306575</v>
      </c>
      <c r="LU12" s="35">
        <f t="shared" ref="LU12:LX12" si="155">IFERROR(LU11/LU2,0)</f>
        <v>14.396967531831535</v>
      </c>
      <c r="LV12" s="35">
        <f t="shared" si="155"/>
        <v>14.012956274131275</v>
      </c>
      <c r="LW12" s="35">
        <f t="shared" si="155"/>
        <v>14.256688078159781</v>
      </c>
      <c r="LX12" s="35">
        <f t="shared" si="155"/>
        <v>14.360214959432048</v>
      </c>
      <c r="MA12" s="35">
        <f>IFERROR(MA11/MA2,0)</f>
        <v>14.46296268102012</v>
      </c>
      <c r="MB12" s="35">
        <f t="shared" ref="MB12:ME12" si="156">IFERROR(MB11/MB2,0)</f>
        <v>14.341452901554403</v>
      </c>
      <c r="MC12" s="35">
        <f t="shared" si="156"/>
        <v>14.625265114401076</v>
      </c>
      <c r="MD12" s="35">
        <f t="shared" si="156"/>
        <v>15.216492667116812</v>
      </c>
      <c r="ME12" s="35">
        <f t="shared" si="156"/>
        <v>14.578282304852319</v>
      </c>
      <c r="MH12" s="35">
        <f>IFERROR(MH11/MH2,0)</f>
        <v>14.80572105747731</v>
      </c>
      <c r="MI12" s="35">
        <f t="shared" ref="MI12:ML12" si="157">IFERROR(MI11/MI2,0)</f>
        <v>15.168050491534679</v>
      </c>
      <c r="MJ12" s="35">
        <f t="shared" si="157"/>
        <v>14.790488607594936</v>
      </c>
      <c r="MK12" s="35">
        <f t="shared" si="157"/>
        <v>14.18139584910586</v>
      </c>
      <c r="ML12" s="35">
        <f t="shared" si="157"/>
        <v>14.396989392553886</v>
      </c>
      <c r="MO12" s="35">
        <f>IFERROR(MO11/MO2,0)</f>
        <v>14.322252315586914</v>
      </c>
      <c r="MP12" s="35">
        <f t="shared" ref="MP12:MS12" si="158">IFERROR(MP11/MP2,0)</f>
        <v>14.115912230215827</v>
      </c>
      <c r="MQ12" s="35">
        <f t="shared" si="158"/>
        <v>13.985644567126725</v>
      </c>
      <c r="MR12" s="35">
        <f t="shared" si="158"/>
        <v>13.618159062854263</v>
      </c>
      <c r="MS12" s="35">
        <f t="shared" si="158"/>
        <v>13.531074819779944</v>
      </c>
      <c r="MV12" s="35">
        <f>IFERROR(MV11/MV2,0)</f>
        <v>13.531074819779944</v>
      </c>
      <c r="MW12" s="35">
        <f t="shared" ref="MW12:MZ12" si="159">IFERROR(MW11/MW2,0)</f>
        <v>13.028659701492538</v>
      </c>
      <c r="MX12" s="35">
        <f t="shared" si="159"/>
        <v>13.370740357053053</v>
      </c>
      <c r="MY12" s="35">
        <f t="shared" si="159"/>
        <v>13.570629138042774</v>
      </c>
      <c r="MZ12" s="35">
        <f t="shared" si="159"/>
        <v>13.590005685358255</v>
      </c>
    </row>
    <row r="13" spans="1:366" s="51" customFormat="1" x14ac:dyDescent="0.25">
      <c r="A13" s="17" t="s">
        <v>80</v>
      </c>
      <c r="C13" s="51">
        <v>-900</v>
      </c>
      <c r="D13" s="51">
        <v>-900</v>
      </c>
      <c r="E13" s="51">
        <v>-900</v>
      </c>
      <c r="F13" s="51">
        <v>-950</v>
      </c>
      <c r="G13" s="51">
        <v>-950</v>
      </c>
      <c r="J13" s="51">
        <v>-980</v>
      </c>
      <c r="K13" s="51">
        <v>-950</v>
      </c>
      <c r="L13" s="51">
        <v>-950</v>
      </c>
      <c r="M13" s="51">
        <v>-950</v>
      </c>
      <c r="N13" s="51">
        <v>-1000</v>
      </c>
      <c r="Q13" s="51">
        <v>-920</v>
      </c>
      <c r="R13" s="51">
        <v>-950</v>
      </c>
      <c r="S13" s="51">
        <v>-1050</v>
      </c>
      <c r="T13" s="51">
        <v>-970</v>
      </c>
      <c r="U13" s="51">
        <v>-940</v>
      </c>
      <c r="X13" s="51">
        <v>-980</v>
      </c>
      <c r="Y13" s="51">
        <v>-950</v>
      </c>
      <c r="Z13" s="51">
        <v>-950</v>
      </c>
      <c r="AA13" s="51">
        <v>-900</v>
      </c>
      <c r="AB13" s="51">
        <v>-850</v>
      </c>
      <c r="AE13" s="51">
        <v>-900</v>
      </c>
      <c r="AF13" s="51">
        <v>-900</v>
      </c>
      <c r="AG13" s="51">
        <v>-900</v>
      </c>
      <c r="AH13" s="51">
        <v>-750</v>
      </c>
      <c r="AI13" s="51">
        <v>-700</v>
      </c>
      <c r="AL13" s="51">
        <v>-550</v>
      </c>
      <c r="AM13" s="51">
        <v>-550</v>
      </c>
      <c r="AN13" s="51">
        <v>-500</v>
      </c>
      <c r="AO13" s="51">
        <v>-700</v>
      </c>
      <c r="AP13" s="51">
        <v>-820</v>
      </c>
      <c r="AS13" s="51">
        <v>-850</v>
      </c>
      <c r="AT13" s="51">
        <v>-900</v>
      </c>
      <c r="AU13" s="51">
        <v>-900</v>
      </c>
      <c r="AV13" s="51">
        <v>-900</v>
      </c>
      <c r="AW13" s="51">
        <v>-1100</v>
      </c>
      <c r="AZ13" s="51">
        <v>-1100</v>
      </c>
      <c r="BA13" s="51">
        <v>-1100</v>
      </c>
      <c r="BB13" s="51">
        <v>-1100</v>
      </c>
      <c r="BC13" s="51">
        <v>-1050</v>
      </c>
      <c r="BD13" s="51">
        <v>-950</v>
      </c>
      <c r="BG13" s="51">
        <v>-1050</v>
      </c>
      <c r="BH13" s="51">
        <v>-1020</v>
      </c>
      <c r="BI13" s="51">
        <v>-1000</v>
      </c>
      <c r="BJ13" s="51">
        <v>-1000</v>
      </c>
      <c r="BK13" s="51">
        <v>-1040</v>
      </c>
      <c r="BN13" s="51">
        <v>-1040</v>
      </c>
      <c r="BO13" s="51">
        <v>-970</v>
      </c>
      <c r="BP13" s="51">
        <v>-970</v>
      </c>
      <c r="BQ13" s="51">
        <v>-950</v>
      </c>
      <c r="BR13" s="51">
        <v>-1000</v>
      </c>
      <c r="BU13" s="51">
        <v>-950</v>
      </c>
      <c r="BV13" s="51">
        <v>-950</v>
      </c>
      <c r="BW13" s="51">
        <v>-1000</v>
      </c>
      <c r="BX13" s="51">
        <v>-940</v>
      </c>
      <c r="BY13" s="51">
        <v>-850</v>
      </c>
      <c r="CB13" s="51">
        <v>-850</v>
      </c>
      <c r="CC13" s="51">
        <v>-950</v>
      </c>
      <c r="CD13" s="51">
        <v>-1000</v>
      </c>
      <c r="CE13" s="51">
        <v>-900</v>
      </c>
      <c r="CF13" s="51">
        <v>-1000</v>
      </c>
      <c r="CI13" s="51">
        <v>-950</v>
      </c>
      <c r="CJ13" s="51">
        <v>-1020</v>
      </c>
      <c r="CK13" s="51">
        <v>-1000</v>
      </c>
      <c r="CL13" s="51">
        <v>-950</v>
      </c>
      <c r="CM13" s="51">
        <v>-950</v>
      </c>
      <c r="CP13" s="51">
        <v>-1000</v>
      </c>
      <c r="CQ13" s="51">
        <v>-1000</v>
      </c>
      <c r="CR13" s="51">
        <v>-1000</v>
      </c>
      <c r="CS13" s="51">
        <v>-1100</v>
      </c>
      <c r="CT13" s="51">
        <v>-1100</v>
      </c>
      <c r="CW13" s="51">
        <v>-1100</v>
      </c>
      <c r="CX13" s="51">
        <v>-1150</v>
      </c>
      <c r="CY13" s="51">
        <v>-1150</v>
      </c>
      <c r="CZ13" s="51">
        <v>-1150</v>
      </c>
      <c r="DA13" s="51">
        <v>-1100</v>
      </c>
      <c r="DD13" s="51">
        <v>-1100</v>
      </c>
      <c r="DE13" s="51">
        <v>-1150</v>
      </c>
      <c r="DF13" s="51">
        <v>-1250</v>
      </c>
      <c r="DG13" s="51">
        <v>-1230</v>
      </c>
      <c r="DH13" s="51">
        <v>-1230</v>
      </c>
      <c r="DK13" s="51">
        <v>-1190</v>
      </c>
      <c r="DL13" s="51">
        <v>-1190</v>
      </c>
      <c r="DM13" s="51">
        <v>-1190</v>
      </c>
      <c r="DN13" s="51">
        <v>-1190</v>
      </c>
      <c r="DO13" s="51">
        <v>-1120</v>
      </c>
      <c r="DR13" s="51">
        <v>-1120</v>
      </c>
      <c r="DS13" s="51">
        <v>-1100</v>
      </c>
      <c r="DT13" s="51">
        <v>-1050</v>
      </c>
      <c r="DU13" s="51">
        <v>-1050</v>
      </c>
      <c r="DV13" s="51">
        <v>-1090</v>
      </c>
      <c r="DY13" s="51">
        <v>-1150</v>
      </c>
      <c r="DZ13" s="51">
        <v>-1150</v>
      </c>
      <c r="EA13" s="51">
        <v>-950</v>
      </c>
      <c r="EB13" s="51">
        <v>-900</v>
      </c>
      <c r="EC13" s="51">
        <v>-850</v>
      </c>
      <c r="EF13" s="51">
        <v>-750</v>
      </c>
      <c r="EG13" s="51">
        <v>-670</v>
      </c>
      <c r="EH13" s="51">
        <v>-600</v>
      </c>
      <c r="EI13" s="51">
        <v>-750</v>
      </c>
      <c r="EJ13" s="51">
        <v>-770</v>
      </c>
      <c r="EM13" s="51">
        <v>-800</v>
      </c>
      <c r="EN13" s="51">
        <v>-800</v>
      </c>
      <c r="EO13" s="51">
        <v>-780</v>
      </c>
      <c r="EP13" s="51">
        <v>-900</v>
      </c>
      <c r="EQ13" s="51">
        <v>-900</v>
      </c>
      <c r="ET13" s="51">
        <v>-900</v>
      </c>
      <c r="EU13" s="51">
        <v>-830</v>
      </c>
      <c r="EV13" s="51">
        <v>-820</v>
      </c>
      <c r="EW13" s="51">
        <v>-900</v>
      </c>
      <c r="EX13" s="51">
        <v>-920</v>
      </c>
      <c r="FA13" s="51">
        <v>-950</v>
      </c>
      <c r="FB13" s="51">
        <v>-1150</v>
      </c>
      <c r="FC13" s="51">
        <v>-1150</v>
      </c>
      <c r="FD13" s="51">
        <v>-1150</v>
      </c>
      <c r="FE13" s="51">
        <v>-1200</v>
      </c>
      <c r="FH13" s="51">
        <v>-1200</v>
      </c>
      <c r="FI13" s="51">
        <v>-1300</v>
      </c>
      <c r="FJ13" s="51">
        <v>-1350</v>
      </c>
      <c r="FK13" s="51">
        <v>-1450</v>
      </c>
      <c r="FL13" s="51">
        <v>-1440</v>
      </c>
      <c r="FO13" s="51">
        <v>-1440</v>
      </c>
      <c r="FP13" s="51">
        <v>-1500</v>
      </c>
      <c r="FQ13" s="51">
        <v>-1350</v>
      </c>
      <c r="FR13" s="51">
        <v>-1250</v>
      </c>
      <c r="FS13" s="51">
        <v>-1350</v>
      </c>
      <c r="FV13" s="51">
        <v>-1600</v>
      </c>
      <c r="FW13" s="51">
        <v>-1650</v>
      </c>
      <c r="FX13" s="51">
        <v>-1630</v>
      </c>
      <c r="FY13" s="51">
        <v>-1600</v>
      </c>
      <c r="FZ13" s="51">
        <v>-2100</v>
      </c>
      <c r="GC13" s="51">
        <v>-2150</v>
      </c>
      <c r="GD13" s="51">
        <v>-2150</v>
      </c>
      <c r="GE13" s="51">
        <v>-2300</v>
      </c>
      <c r="GF13" s="51">
        <v>-2300</v>
      </c>
      <c r="GG13" s="51">
        <v>-2300</v>
      </c>
      <c r="GJ13" s="51">
        <v>-2400</v>
      </c>
      <c r="GK13" s="51">
        <v>-2400</v>
      </c>
      <c r="GL13" s="51">
        <v>-2400</v>
      </c>
      <c r="GM13" s="51">
        <v>-2500</v>
      </c>
      <c r="GN13" s="51">
        <v>-2400</v>
      </c>
      <c r="GQ13" s="51">
        <v>-2500</v>
      </c>
      <c r="GR13" s="51">
        <v>-2200</v>
      </c>
      <c r="GS13" s="51">
        <v>-2250</v>
      </c>
      <c r="GT13" s="51">
        <v>-2350</v>
      </c>
      <c r="GU13" s="51">
        <v>-2450</v>
      </c>
      <c r="GX13" s="51">
        <v>-2550</v>
      </c>
      <c r="GY13" s="51">
        <v>-2550</v>
      </c>
      <c r="GZ13" s="51">
        <v>-2300</v>
      </c>
      <c r="HA13" s="51">
        <v>-2200</v>
      </c>
      <c r="HB13" s="51">
        <v>-2200</v>
      </c>
      <c r="HE13" s="51">
        <v>-2000</v>
      </c>
      <c r="HF13" s="51">
        <v>-2000</v>
      </c>
      <c r="HG13" s="51">
        <v>-2050</v>
      </c>
      <c r="HH13" s="51">
        <v>-2150</v>
      </c>
      <c r="HI13" s="51">
        <v>-2200</v>
      </c>
      <c r="HL13" s="51">
        <v>-2200</v>
      </c>
      <c r="HM13" s="51">
        <v>-2300</v>
      </c>
      <c r="HN13" s="51">
        <v>-2300</v>
      </c>
      <c r="HO13" s="51">
        <v>-2350</v>
      </c>
      <c r="HP13" s="51">
        <v>-2230</v>
      </c>
      <c r="HS13" s="51">
        <v>-2200</v>
      </c>
      <c r="HT13" s="51">
        <v>-2300</v>
      </c>
      <c r="HU13" s="51">
        <v>-2550</v>
      </c>
      <c r="HV13" s="51">
        <v>-2500</v>
      </c>
      <c r="HW13" s="51">
        <v>-2500</v>
      </c>
      <c r="HZ13" s="51">
        <v>-2500</v>
      </c>
      <c r="IA13" s="51">
        <v>-2450</v>
      </c>
      <c r="IB13" s="51">
        <v>-2450</v>
      </c>
      <c r="IC13" s="51">
        <v>-2190</v>
      </c>
      <c r="ID13" s="51">
        <v>-2300</v>
      </c>
      <c r="IG13" s="51">
        <v>-2300</v>
      </c>
      <c r="IH13" s="51">
        <v>-2300</v>
      </c>
      <c r="II13" s="51">
        <v>-2300</v>
      </c>
      <c r="IJ13" s="51">
        <v>-2200</v>
      </c>
      <c r="IK13" s="51">
        <v>-2300</v>
      </c>
      <c r="IN13" s="51">
        <v>-2300</v>
      </c>
      <c r="IO13" s="51">
        <v>-2450</v>
      </c>
      <c r="IP13" s="51">
        <v>-2450</v>
      </c>
      <c r="IQ13" s="51">
        <v>-2450</v>
      </c>
      <c r="IR13" s="51">
        <v>-2250</v>
      </c>
      <c r="IU13" s="51">
        <v>-2250</v>
      </c>
      <c r="IV13" s="51">
        <v>-2150</v>
      </c>
      <c r="IW13" s="51">
        <v>-2150</v>
      </c>
      <c r="IX13" s="51">
        <v>-2150</v>
      </c>
      <c r="IY13" s="51">
        <v>-2050</v>
      </c>
      <c r="JB13" s="51">
        <v>-1950</v>
      </c>
      <c r="JC13" s="51">
        <v>-1950</v>
      </c>
      <c r="JD13" s="51">
        <v>-2000</v>
      </c>
      <c r="JE13" s="51">
        <v>-2050</v>
      </c>
      <c r="JF13" s="51">
        <v>-1900</v>
      </c>
      <c r="JI13" s="51">
        <v>-1800</v>
      </c>
      <c r="JJ13" s="51">
        <v>-1850</v>
      </c>
      <c r="JK13" s="51">
        <v>-1850</v>
      </c>
      <c r="JL13" s="51">
        <v>-1600</v>
      </c>
      <c r="JM13" s="51">
        <v>-1600</v>
      </c>
      <c r="JP13" s="51">
        <v>-1600</v>
      </c>
      <c r="JQ13" s="51">
        <v>-1670</v>
      </c>
      <c r="JR13" s="51">
        <v>-1670</v>
      </c>
      <c r="JS13" s="51">
        <v>-1650</v>
      </c>
      <c r="JT13" s="51">
        <v>-1600</v>
      </c>
      <c r="JW13" s="51">
        <v>-1530</v>
      </c>
      <c r="JX13" s="51">
        <v>-1450</v>
      </c>
      <c r="JY13" s="51">
        <v>-1400</v>
      </c>
      <c r="JZ13" s="51">
        <v>-1400</v>
      </c>
      <c r="KA13" s="51">
        <v>-1400</v>
      </c>
      <c r="KD13" s="51">
        <v>-1420</v>
      </c>
      <c r="KE13" s="51">
        <v>-1400</v>
      </c>
      <c r="KF13" s="51">
        <v>-1400</v>
      </c>
      <c r="KG13" s="51">
        <v>-1370</v>
      </c>
      <c r="KH13" s="51">
        <v>-1400</v>
      </c>
      <c r="KK13" s="51">
        <v>-1250</v>
      </c>
      <c r="KL13" s="51">
        <v>-1150</v>
      </c>
      <c r="KM13" s="51">
        <v>-1220</v>
      </c>
      <c r="KN13" s="51">
        <v>-1200</v>
      </c>
      <c r="KO13" s="51">
        <v>-1200</v>
      </c>
      <c r="KR13" s="51">
        <v>-1200</v>
      </c>
      <c r="KS13" s="51">
        <v>-1050</v>
      </c>
      <c r="KT13" s="51">
        <v>-950</v>
      </c>
      <c r="KU13" s="51">
        <v>-950</v>
      </c>
      <c r="KV13" s="51">
        <v>-850</v>
      </c>
      <c r="KY13" s="51">
        <v>-850</v>
      </c>
      <c r="KZ13" s="51">
        <v>-700</v>
      </c>
      <c r="LA13" s="51">
        <v>-600</v>
      </c>
      <c r="LB13" s="51">
        <v>-700</v>
      </c>
      <c r="LC13" s="51">
        <v>-700</v>
      </c>
      <c r="LF13" s="51">
        <v>-550</v>
      </c>
      <c r="LG13" s="51">
        <v>-650</v>
      </c>
      <c r="LH13" s="51">
        <v>-650</v>
      </c>
      <c r="LI13" s="51">
        <v>-600</v>
      </c>
      <c r="LJ13" s="51">
        <v>-650</v>
      </c>
      <c r="LM13" s="51">
        <v>-650</v>
      </c>
      <c r="LN13" s="51">
        <v>-650</v>
      </c>
      <c r="LO13" s="51">
        <v>-650</v>
      </c>
      <c r="LP13" s="51">
        <v>-650</v>
      </c>
      <c r="LQ13" s="51">
        <v>-650</v>
      </c>
      <c r="LT13" s="51">
        <v>-650</v>
      </c>
      <c r="LU13" s="51">
        <v>-800</v>
      </c>
      <c r="LV13" s="51">
        <v>-800</v>
      </c>
      <c r="LW13" s="51">
        <v>-850</v>
      </c>
      <c r="LX13" s="51">
        <v>-820</v>
      </c>
      <c r="MA13" s="51">
        <v>-820</v>
      </c>
      <c r="MB13" s="51">
        <v>-950</v>
      </c>
      <c r="MC13" s="51">
        <v>-1100</v>
      </c>
      <c r="MD13" s="51">
        <v>-1100</v>
      </c>
      <c r="ME13" s="51">
        <v>-1100</v>
      </c>
      <c r="MH13" s="51">
        <v>-1100</v>
      </c>
      <c r="MI13" s="51">
        <v>-820</v>
      </c>
      <c r="MJ13" s="51">
        <v>-900</v>
      </c>
      <c r="MK13" s="51">
        <v>-900</v>
      </c>
      <c r="ML13" s="51">
        <v>-900</v>
      </c>
      <c r="MO13" s="51">
        <v>-800</v>
      </c>
      <c r="MP13" s="51">
        <v>-800</v>
      </c>
      <c r="MQ13" s="51">
        <v>-1050</v>
      </c>
      <c r="MR13" s="51">
        <v>-900</v>
      </c>
      <c r="MS13" s="51">
        <v>-1050</v>
      </c>
      <c r="MV13" s="51">
        <v>-1050</v>
      </c>
      <c r="MW13" s="51">
        <v>-900</v>
      </c>
      <c r="MX13" s="51">
        <v>-900</v>
      </c>
      <c r="MY13" s="51">
        <v>-1000</v>
      </c>
      <c r="MZ13" s="51">
        <v>-1000</v>
      </c>
    </row>
    <row r="14" spans="1:366" s="52" customFormat="1" x14ac:dyDescent="0.25">
      <c r="A14" s="5" t="s">
        <v>81</v>
      </c>
      <c r="C14" s="52">
        <f>(C10+C13)*0.220462</f>
        <v>1208.352222</v>
      </c>
      <c r="D14" s="52">
        <f>(D10+D13)*0.220462</f>
        <v>1194.0221919999999</v>
      </c>
      <c r="E14" s="52">
        <f t="shared" ref="E14:G14" si="160">(E10+E13)*0.220462</f>
        <v>1192.9198819999999</v>
      </c>
      <c r="F14" s="52">
        <f t="shared" si="160"/>
        <v>1178.1489279999998</v>
      </c>
      <c r="G14" s="52">
        <f t="shared" si="160"/>
        <v>1195.5654259999999</v>
      </c>
      <c r="J14" s="52">
        <f>(J10+J13)*0.220462</f>
        <v>1192.9198819999999</v>
      </c>
      <c r="K14" s="52">
        <f>(K10+K13)*0.220462</f>
        <v>1182.337706</v>
      </c>
      <c r="L14" s="52">
        <f t="shared" ref="L14:N14" si="161">(L10+L13)*0.220462</f>
        <v>1166.023518</v>
      </c>
      <c r="M14" s="52">
        <f t="shared" si="161"/>
        <v>1184.98325</v>
      </c>
      <c r="N14" s="52">
        <f t="shared" si="161"/>
        <v>1173.9601499999999</v>
      </c>
      <c r="Q14" s="52">
        <f>(Q10+Q13)*0.220462</f>
        <v>1191.5971099999999</v>
      </c>
      <c r="R14" s="52">
        <f>(R10+R13)*0.220462</f>
        <v>1197.9905079999999</v>
      </c>
      <c r="S14" s="52">
        <f t="shared" ref="S14:U14" si="162">(S10+S13)*0.220462</f>
        <v>1182.117244</v>
      </c>
      <c r="T14" s="52">
        <f t="shared" si="162"/>
        <v>1178.3693900000001</v>
      </c>
      <c r="U14" s="52">
        <f t="shared" si="162"/>
        <v>1158.968734</v>
      </c>
      <c r="X14" s="52">
        <f>(X10+X13)*0.220462</f>
        <v>1151.6934879999999</v>
      </c>
      <c r="Y14" s="52">
        <f>(Y10+Y13)*0.220462</f>
        <v>1134.9383760000001</v>
      </c>
      <c r="Z14" s="52">
        <f t="shared" ref="Z14:AB14" si="163">(Z10+Z13)*0.220462</f>
        <v>1125.2380479999999</v>
      </c>
      <c r="AA14" s="52">
        <f t="shared" si="163"/>
        <v>1141.772698</v>
      </c>
      <c r="AB14" s="52">
        <f t="shared" si="163"/>
        <v>1149.0479439999999</v>
      </c>
      <c r="AE14" s="52">
        <f>(AE10+AE13)*0.220462</f>
        <v>1153.4571839999999</v>
      </c>
      <c r="AF14" s="52">
        <f>(AF10+AF13)*0.220462</f>
        <v>1175.7238459999999</v>
      </c>
      <c r="AG14" s="52">
        <f t="shared" ref="AG14:AI14" si="164">(AG10+AG13)*0.220462</f>
        <v>1141.772698</v>
      </c>
      <c r="AH14" s="52">
        <f t="shared" ref="AH14" si="165">(AH10+AH13)*0.220462</f>
        <v>1178.1489279999998</v>
      </c>
      <c r="AI14" s="52">
        <f t="shared" si="164"/>
        <v>1147.2842479999999</v>
      </c>
      <c r="AL14" s="52">
        <f>(AL10+AL13)*0.220462</f>
        <v>1186.306022</v>
      </c>
      <c r="AM14" s="52">
        <f>(AM10+AM13)*0.220462</f>
        <v>1221.1390179999999</v>
      </c>
      <c r="AN14" s="52">
        <f t="shared" ref="AN14:AP14" si="166">(AN10+AN13)*0.220462</f>
        <v>1225.327796</v>
      </c>
      <c r="AO14" s="52">
        <f t="shared" si="166"/>
        <v>1147.2842479999999</v>
      </c>
      <c r="AP14" s="52">
        <f t="shared" si="166"/>
        <v>1153.8981079999999</v>
      </c>
      <c r="AS14" s="52">
        <f>(AS10+AS13)*0.220462</f>
        <v>1138.465768</v>
      </c>
      <c r="AT14" s="52">
        <f>(AT10+AT13)*0.220462</f>
        <v>1133.1746799999999</v>
      </c>
      <c r="AU14" s="52">
        <f t="shared" ref="AU14:AW14" si="167">(AU10+AU13)*0.220462</f>
        <v>1151.6934879999999</v>
      </c>
      <c r="AV14" s="52">
        <f t="shared" si="167"/>
        <v>1166.24398</v>
      </c>
      <c r="AW14" s="52">
        <f t="shared" si="167"/>
        <v>1113.3331000000001</v>
      </c>
      <c r="AZ14" s="52">
        <f>(AZ10+AZ13)*0.220462</f>
        <v>1113.5535620000001</v>
      </c>
      <c r="BA14" s="52">
        <f>(BA10+BA13)*0.220462</f>
        <v>1113.5535620000001</v>
      </c>
      <c r="BB14" s="52">
        <f t="shared" ref="BB14:BD14" si="168">(BB10+BB13)*0.220462</f>
        <v>1142.654546</v>
      </c>
      <c r="BC14" s="52">
        <f t="shared" si="168"/>
        <v>1136.261148</v>
      </c>
      <c r="BD14" s="52">
        <f t="shared" si="168"/>
        <v>1137.804382</v>
      </c>
      <c r="BG14" s="52">
        <f>(BG10+BG13)*0.220462</f>
        <v>1092.1687480000001</v>
      </c>
      <c r="BH14" s="52">
        <f>(BH10+BH13)*0.220462</f>
        <v>1092.38921</v>
      </c>
      <c r="BI14" s="52">
        <f t="shared" ref="BI14:BK14" si="169">(BI10+BI13)*0.220462</f>
        <v>1114.214948</v>
      </c>
      <c r="BJ14" s="52">
        <f t="shared" si="169"/>
        <v>1132.9542179999999</v>
      </c>
      <c r="BK14" s="52">
        <f t="shared" si="169"/>
        <v>1106.9397019999999</v>
      </c>
      <c r="BN14" s="52">
        <f>(BN10+BN13)*0.220462</f>
        <v>1090.8459760000001</v>
      </c>
      <c r="BO14" s="52">
        <f>(BO10+BO13)*0.220462</f>
        <v>1068.3588520000001</v>
      </c>
      <c r="BP14" s="52">
        <f t="shared" ref="BP14:BR14" si="170">(BP10+BP13)*0.220462</f>
        <v>1075.634098</v>
      </c>
      <c r="BQ14" s="52">
        <f t="shared" si="170"/>
        <v>1037.7146339999999</v>
      </c>
      <c r="BR14" s="52">
        <f t="shared" si="170"/>
        <v>1016.3298199999999</v>
      </c>
      <c r="BU14" s="52">
        <f>(BU10+BU13)*0.220462</f>
        <v>1010.597808</v>
      </c>
      <c r="BV14" s="52">
        <f>(BV10+BV13)*0.220462</f>
        <v>1021.620908</v>
      </c>
      <c r="BW14" s="52">
        <f t="shared" ref="BW14:BY14" si="171">(BW10+BW13)*0.220462</f>
        <v>1021.620908</v>
      </c>
      <c r="BX14" s="52">
        <f t="shared" si="171"/>
        <v>1065.4928459999999</v>
      </c>
      <c r="BY14" s="52">
        <f t="shared" si="171"/>
        <v>1079.381952</v>
      </c>
      <c r="CB14" s="52">
        <f>(CB10+CB13)*0.220462</f>
        <v>1091.0664380000001</v>
      </c>
      <c r="CC14" s="52">
        <f>(CC10+CC13)*0.220462</f>
        <v>1030.439388</v>
      </c>
      <c r="CD14" s="52">
        <f t="shared" ref="CD14:CF14" si="172">(CD10+CD13)*0.220462</f>
        <v>984.14236799999992</v>
      </c>
      <c r="CE14" s="52">
        <f t="shared" si="172"/>
        <v>951.73445399999991</v>
      </c>
      <c r="CF14" s="52">
        <f t="shared" si="172"/>
        <v>953.93907400000001</v>
      </c>
      <c r="CI14" s="52">
        <f>(CI10+CI13)*0.220462</f>
        <v>993.18130999999994</v>
      </c>
      <c r="CJ14" s="52">
        <f>(CJ10+CJ13)*0.220462</f>
        <v>988.77206999999999</v>
      </c>
      <c r="CK14" s="52">
        <f t="shared" ref="CK14:CM14" si="173">(CK10+CK13)*0.220462</f>
        <v>1000.456556</v>
      </c>
      <c r="CL14" s="52">
        <f t="shared" si="173"/>
        <v>989.21299399999998</v>
      </c>
      <c r="CM14" s="52">
        <f t="shared" si="173"/>
        <v>1013.904738</v>
      </c>
      <c r="CP14" s="52">
        <f>(CP10+CP13)*0.220462</f>
        <v>1029.116616</v>
      </c>
      <c r="CQ14" s="52">
        <f>(CQ10+CQ13)*0.220462</f>
        <v>1008.393188</v>
      </c>
      <c r="CR14" s="52">
        <f t="shared" ref="CR14:CT14" si="174">(CR10+CR13)*0.220462</f>
        <v>996.92916400000001</v>
      </c>
      <c r="CS14" s="52">
        <f t="shared" si="174"/>
        <v>959.67108599999995</v>
      </c>
      <c r="CT14" s="52">
        <f t="shared" si="174"/>
        <v>959.67108599999995</v>
      </c>
      <c r="CW14" s="52">
        <f>(CW10+CW13)*0.220462</f>
        <v>958.56877599999996</v>
      </c>
      <c r="CX14" s="52">
        <f>(CX10+CX13)*0.220462</f>
        <v>956.58461799999998</v>
      </c>
      <c r="CY14" s="52">
        <f t="shared" ref="CY14:DA14" si="175">(CY10+CY13)*0.220462</f>
        <v>936.96349999999995</v>
      </c>
      <c r="CZ14" s="52">
        <f t="shared" si="175"/>
        <v>930.79056400000002</v>
      </c>
      <c r="DA14" s="52">
        <f t="shared" si="175"/>
        <v>940.49089199999992</v>
      </c>
      <c r="DD14" s="52">
        <f>(DD10+DD13)*0.220462</f>
        <v>960.55293399999994</v>
      </c>
      <c r="DE14" s="52">
        <f>(DE10+DE13)*0.220462</f>
        <v>966.94633199999998</v>
      </c>
      <c r="DF14" s="52">
        <f t="shared" ref="DF14:DH14" si="176">(DF10+DF13)*0.220462</f>
        <v>937.40442399999995</v>
      </c>
      <c r="DG14" s="52">
        <f t="shared" si="176"/>
        <v>928.80640599999992</v>
      </c>
      <c r="DH14" s="52">
        <f t="shared" si="176"/>
        <v>928.80640599999992</v>
      </c>
      <c r="DK14" s="52">
        <f>(DK10+DK13)*0.220462</f>
        <v>896.39849199999992</v>
      </c>
      <c r="DL14" s="52">
        <f>(DL10+DL13)*0.220462</f>
        <v>877.659222</v>
      </c>
      <c r="DM14" s="52">
        <f t="shared" ref="DM14:DO14" si="177">(DM10+DM13)*0.220462</f>
        <v>885.81631599999992</v>
      </c>
      <c r="DN14" s="52">
        <f t="shared" si="177"/>
        <v>857.15625599999998</v>
      </c>
      <c r="DO14" s="52">
        <f t="shared" si="177"/>
        <v>890.88694199999998</v>
      </c>
      <c r="DR14" s="52">
        <f>(DR10+DR13)*0.220462</f>
        <v>890.88694199999998</v>
      </c>
      <c r="DS14" s="52">
        <f>(DS10+DS13)*0.220462</f>
        <v>890.44601799999998</v>
      </c>
      <c r="DT14" s="52">
        <f t="shared" ref="DT14:DV14" si="178">(DT10+DT13)*0.220462</f>
        <v>923.07439399999998</v>
      </c>
      <c r="DU14" s="52">
        <f t="shared" si="178"/>
        <v>920.86977400000001</v>
      </c>
      <c r="DV14" s="52">
        <f t="shared" si="178"/>
        <v>952.17537799999991</v>
      </c>
      <c r="DY14" s="52">
        <f>(DY10+DY13)*0.220462</f>
        <v>922.41300799999999</v>
      </c>
      <c r="DZ14" s="52">
        <f>(DZ10+DZ13)*0.220462</f>
        <v>908.74436400000002</v>
      </c>
      <c r="EA14" s="52">
        <f t="shared" ref="EA14:EC14" si="179">(EA10+EA13)*0.220462</f>
        <v>933.65656999999999</v>
      </c>
      <c r="EB14" s="52">
        <f t="shared" si="179"/>
        <v>923.95624199999997</v>
      </c>
      <c r="EC14" s="52">
        <f t="shared" si="179"/>
        <v>912.49221799999998</v>
      </c>
      <c r="EF14" s="52">
        <f>(EF10+EF13)*0.220462</f>
        <v>930.12917799999991</v>
      </c>
      <c r="EG14" s="52">
        <f>(EG10+EG13)*0.220462</f>
        <v>898.38265000000001</v>
      </c>
      <c r="EH14" s="52">
        <f t="shared" ref="EH14:EJ14" si="180">(EH10+EH13)*0.220462</f>
        <v>890.88694199999998</v>
      </c>
      <c r="EI14" s="52">
        <f t="shared" si="180"/>
        <v>877.218298</v>
      </c>
      <c r="EJ14" s="52">
        <f t="shared" si="180"/>
        <v>872.36813399999994</v>
      </c>
      <c r="EM14" s="52">
        <f>(EM10+EM13)*0.220462</f>
        <v>898.82357400000001</v>
      </c>
      <c r="EN14" s="52">
        <f>(EN10+EN13)*0.220462</f>
        <v>876.55691200000001</v>
      </c>
      <c r="EO14" s="52">
        <f t="shared" ref="EO14:EQ14" si="181">(EO10+EO13)*0.220462</f>
        <v>886.25723999999991</v>
      </c>
      <c r="EP14" s="52">
        <f t="shared" si="181"/>
        <v>871.26582399999995</v>
      </c>
      <c r="EQ14" s="52">
        <f t="shared" si="181"/>
        <v>877.879684</v>
      </c>
      <c r="ET14" s="52">
        <f>(ET10+ET13)*0.220462</f>
        <v>877.879684</v>
      </c>
      <c r="EU14" s="52">
        <f>(EU10+EU13)*0.220462</f>
        <v>835.55097999999998</v>
      </c>
      <c r="EV14" s="52">
        <f t="shared" ref="EV14:EX14" si="182">(EV10+EV13)*0.220462</f>
        <v>837.75559999999996</v>
      </c>
      <c r="EW14" s="52">
        <f t="shared" si="182"/>
        <v>856.71533199999999</v>
      </c>
      <c r="EX14" s="52">
        <f t="shared" si="182"/>
        <v>888.46186</v>
      </c>
      <c r="FA14" s="52">
        <f>(FA10+FA13)*0.220462</f>
        <v>876.55691200000001</v>
      </c>
      <c r="FB14" s="52">
        <f>(FB10+FB13)*0.220462</f>
        <v>869.06120399999998</v>
      </c>
      <c r="FC14" s="52">
        <f t="shared" ref="FC14:FE14" si="183">(FC10+FC13)*0.220462</f>
        <v>859.14041399999996</v>
      </c>
      <c r="FD14" s="52">
        <v>859.14041399999996</v>
      </c>
      <c r="FE14" s="52">
        <f t="shared" si="183"/>
        <v>938.94765799999993</v>
      </c>
      <c r="FH14" s="52">
        <f>(FH10+FH13)*0.220462</f>
        <v>925.49947599999996</v>
      </c>
      <c r="FI14" s="52">
        <f>(FI10+FI13)*0.220462</f>
        <v>935.42026599999997</v>
      </c>
      <c r="FJ14" s="52">
        <f t="shared" ref="FJ14:FL14" si="184">(FJ10+FJ13)*0.220462</f>
        <v>936.08165199999996</v>
      </c>
      <c r="FK14" s="52">
        <f t="shared" si="184"/>
        <v>968.48956599999997</v>
      </c>
      <c r="FL14" s="52">
        <f t="shared" si="184"/>
        <v>998.472398</v>
      </c>
      <c r="FO14" s="52">
        <f>(FO10+FO13)*0.220462</f>
        <v>991.85853799999995</v>
      </c>
      <c r="FP14" s="52">
        <f>(FP10+FP13)*0.220462</f>
        <v>983.92190599999992</v>
      </c>
      <c r="FQ14" s="52">
        <f t="shared" ref="FQ14:FS14" si="185">(FQ10+FQ13)*0.220462</f>
        <v>928.80640599999992</v>
      </c>
      <c r="FR14" s="52">
        <f t="shared" si="185"/>
        <v>953.93907400000001</v>
      </c>
      <c r="FS14" s="52">
        <f t="shared" si="185"/>
        <v>979.73312799999997</v>
      </c>
      <c r="FV14" s="52">
        <f>(FV10+FV13)*0.220462</f>
        <v>959.23016199999995</v>
      </c>
      <c r="FW14" s="52">
        <f>(FW10+FW13)*0.220462</f>
        <v>971.13510999999994</v>
      </c>
      <c r="FX14" s="52">
        <f t="shared" ref="FX14:FZ14" si="186">(FX10+FX13)*0.220462</f>
        <v>955.04138399999999</v>
      </c>
      <c r="FY14" s="52">
        <f t="shared" si="186"/>
        <v>988.33114599999999</v>
      </c>
      <c r="FZ14" s="52">
        <f t="shared" si="186"/>
        <v>970.25326199999995</v>
      </c>
      <c r="GC14" s="52">
        <f>(GC10+GC13)*0.220462</f>
        <v>1003.5430239999999</v>
      </c>
      <c r="GD14" s="52">
        <f>(GD10+GD13)*0.220462</f>
        <v>1003.5430239999999</v>
      </c>
      <c r="GE14" s="52">
        <f t="shared" ref="GE14:GG14" si="187">(GE10+GE13)*0.220462</f>
        <v>1004.8657959999999</v>
      </c>
      <c r="GF14" s="52">
        <f t="shared" si="187"/>
        <v>946.88428999999996</v>
      </c>
      <c r="GG14" s="52">
        <f t="shared" si="187"/>
        <v>960.11200999999994</v>
      </c>
      <c r="GJ14" s="52">
        <f>(GJ10+GJ13)*0.220462</f>
        <v>996.92916400000001</v>
      </c>
      <c r="GK14" s="52">
        <f>(GK10+GK13)*0.220462</f>
        <v>981.71728599999994</v>
      </c>
      <c r="GL14" s="52">
        <f t="shared" ref="GL14:GN14" si="188">(GL10+GL13)*0.220462</f>
        <v>981.71728599999994</v>
      </c>
      <c r="GM14" s="52">
        <f t="shared" si="188"/>
        <v>984.80375399999991</v>
      </c>
      <c r="GN14" s="52">
        <f t="shared" si="188"/>
        <v>967.60771799999998</v>
      </c>
      <c r="GQ14" s="52">
        <f>(GQ10+GQ13)*0.220462</f>
        <v>876.55691200000001</v>
      </c>
      <c r="GR14" s="52">
        <f>(GR10+GR13)*0.220462</f>
        <v>927.04270999999994</v>
      </c>
      <c r="GS14" s="52">
        <f t="shared" ref="GS14:GU14" si="189">(GS10+GS13)*0.220462</f>
        <v>960.11200999999994</v>
      </c>
      <c r="GT14" s="52">
        <f t="shared" si="189"/>
        <v>973.11926799999992</v>
      </c>
      <c r="GU14" s="52">
        <f t="shared" si="189"/>
        <v>989.87437999999997</v>
      </c>
      <c r="GX14" s="52">
        <f>(GX10+GX13)*0.220462</f>
        <v>1024.9278380000001</v>
      </c>
      <c r="GY14" s="52">
        <f>(GY10+GY13)*0.220462</f>
        <v>1037.4941719999999</v>
      </c>
      <c r="GZ14" s="52">
        <f t="shared" ref="GZ14:HB14" si="190">(GZ10+GZ13)*0.220462</f>
        <v>1042.1238739999999</v>
      </c>
      <c r="HA14" s="52">
        <f t="shared" si="190"/>
        <v>1027.573382</v>
      </c>
      <c r="HB14" s="52">
        <f t="shared" si="190"/>
        <v>1005.3067199999999</v>
      </c>
      <c r="HE14" s="52">
        <f>(HE10+HE13)*0.220462</f>
        <v>1004.8657959999999</v>
      </c>
      <c r="HF14" s="52">
        <f>(HF10+HF13)*0.220462</f>
        <v>1038.1555579999999</v>
      </c>
      <c r="HG14" s="52">
        <f t="shared" ref="HG14:HI14" si="191">(HG10+HG13)*0.220462</f>
        <v>1031.982622</v>
      </c>
      <c r="HH14" s="52">
        <f t="shared" si="191"/>
        <v>1002.881638</v>
      </c>
      <c r="HI14" s="52">
        <f t="shared" si="191"/>
        <v>1014.1251999999999</v>
      </c>
      <c r="HL14" s="52">
        <f>(HL10+HL13)*0.220462</f>
        <v>984.58329199999991</v>
      </c>
      <c r="HM14" s="52">
        <f>(HM10+HM13)*0.220462</f>
        <v>960.77339599999993</v>
      </c>
      <c r="HN14" s="52">
        <f t="shared" ref="HN14:HP14" si="192">(HN10+HN13)*0.220462</f>
        <v>965.403098</v>
      </c>
      <c r="HO14" s="52">
        <f t="shared" si="192"/>
        <v>950.19121999999993</v>
      </c>
      <c r="HP14" s="52">
        <f t="shared" si="192"/>
        <v>970.91464799999994</v>
      </c>
      <c r="HS14" s="52">
        <f>(HS10+HS13)*0.220462</f>
        <v>977.08758399999999</v>
      </c>
      <c r="HT14" s="52">
        <f>(HT10+HT13)*0.220462</f>
        <v>945.78197999999998</v>
      </c>
      <c r="HU14" s="52">
        <f t="shared" ref="HU14:HW14" si="193">(HU10+HU13)*0.220462</f>
        <v>909.84667400000001</v>
      </c>
      <c r="HV14" s="52">
        <f t="shared" si="193"/>
        <v>942.69551200000001</v>
      </c>
      <c r="HW14" s="52">
        <f t="shared" si="193"/>
        <v>954.379998</v>
      </c>
      <c r="HZ14" s="52">
        <f>(HZ10+HZ13)*0.220462</f>
        <v>947.76613799999996</v>
      </c>
      <c r="IA14" s="52">
        <f>(IA10+IA13)*0.220462</f>
        <v>897.50080199999991</v>
      </c>
      <c r="IB14" s="52">
        <f t="shared" ref="IB14:ID14" si="194">(IB10+IB13)*0.220462</f>
        <v>918.22422999999992</v>
      </c>
      <c r="IC14" s="52">
        <f t="shared" si="194"/>
        <v>962.09616799999992</v>
      </c>
      <c r="ID14" s="52">
        <f t="shared" si="194"/>
        <v>964.08032600000001</v>
      </c>
      <c r="IG14" s="52">
        <f>(IG10+IG13)*0.220462</f>
        <v>967.82817999999997</v>
      </c>
      <c r="IH14" s="52">
        <f>(IH10+IH13)*0.220462</f>
        <v>960.33247199999994</v>
      </c>
      <c r="II14" s="52">
        <f t="shared" ref="II14:IK14" si="195">(II10+II13)*0.220462</f>
        <v>937.84534799999994</v>
      </c>
      <c r="IJ14" s="52">
        <f t="shared" si="195"/>
        <v>959.45062399999995</v>
      </c>
      <c r="IK14" s="52">
        <f t="shared" si="195"/>
        <v>960.11200999999994</v>
      </c>
      <c r="IN14" s="52">
        <f>(IN10+IN13)*0.220462</f>
        <v>960.11200999999994</v>
      </c>
      <c r="IO14" s="52">
        <f>(IO10+IO13)*0.220462</f>
        <v>914.91729999999995</v>
      </c>
      <c r="IP14" s="52">
        <f t="shared" ref="IP14:IR14" si="196">(IP10+IP13)*0.220462</f>
        <v>900.58726999999999</v>
      </c>
      <c r="IQ14" s="52">
        <f t="shared" si="196"/>
        <v>900.58726999999999</v>
      </c>
      <c r="IR14" s="52">
        <f t="shared" si="196"/>
        <v>896.17802999999992</v>
      </c>
      <c r="IU14" s="52">
        <f>(IU10+IU13)*0.220462</f>
        <v>896.17802999999992</v>
      </c>
      <c r="IV14" s="52">
        <f>(IV10+IV13)*0.220462</f>
        <v>908.74436400000002</v>
      </c>
      <c r="IW14" s="52">
        <f t="shared" ref="IW14:IY14" si="197">(IW10+IW13)*0.220462</f>
        <v>946.44336599999997</v>
      </c>
      <c r="IX14" s="52">
        <f t="shared" si="197"/>
        <v>946.44336599999997</v>
      </c>
      <c r="IY14" s="52">
        <f t="shared" si="197"/>
        <v>945.34105599999998</v>
      </c>
      <c r="JB14" s="52">
        <f>(JB10+JB13)*0.220462</f>
        <v>967.38725599999998</v>
      </c>
      <c r="JC14" s="52">
        <f>(JC10+JC13)*0.220462</f>
        <v>931.67241200000001</v>
      </c>
      <c r="JD14" s="52">
        <f t="shared" ref="JD14:JF14" si="198">(JD10+JD13)*0.220462</f>
        <v>896.83941599999991</v>
      </c>
      <c r="JE14" s="52">
        <f t="shared" si="198"/>
        <v>863.10872999999992</v>
      </c>
      <c r="JF14" s="52">
        <f t="shared" si="198"/>
        <v>922.63346999999999</v>
      </c>
      <c r="JI14" s="52">
        <f>(JI10+JI13)*0.220462</f>
        <v>898.38265000000001</v>
      </c>
      <c r="JJ14" s="52">
        <f>(JJ10+JJ13)*0.220462</f>
        <v>889.78463199999999</v>
      </c>
      <c r="JK14" s="52">
        <f t="shared" ref="JK14:JM14" si="199">(JK10+JK13)*0.220462</f>
        <v>906.31928199999993</v>
      </c>
      <c r="JL14" s="52">
        <f t="shared" si="199"/>
        <v>937.62488599999995</v>
      </c>
      <c r="JM14" s="52">
        <f t="shared" si="199"/>
        <v>913.59452799999997</v>
      </c>
      <c r="JP14" s="52">
        <f>(JP10+JP13)*0.220462</f>
        <v>966.72586999999999</v>
      </c>
      <c r="JQ14" s="52">
        <f>(JQ10+JQ13)*0.220462</f>
        <v>942.47505000000001</v>
      </c>
      <c r="JR14" s="52">
        <f t="shared" ref="JR14:JT14" si="200">(JR10+JR13)*0.220462</f>
        <v>919.98792600000002</v>
      </c>
      <c r="JS14" s="52">
        <f t="shared" si="200"/>
        <v>911.83083199999999</v>
      </c>
      <c r="JT14" s="52">
        <f t="shared" si="200"/>
        <v>910.287598</v>
      </c>
      <c r="JW14" s="52">
        <f>(JW10+JW13)*0.220462</f>
        <v>900.14634599999999</v>
      </c>
      <c r="JX14" s="52">
        <f>(JX10+JX13)*0.220462</f>
        <v>870.60443799999996</v>
      </c>
      <c r="JY14" s="52">
        <f t="shared" ref="JY14:KA14" si="201">(JY10+JY13)*0.220462</f>
        <v>871.26582399999995</v>
      </c>
      <c r="JZ14" s="52">
        <v>871.26582399999995</v>
      </c>
      <c r="KA14" s="52">
        <f t="shared" si="201"/>
        <v>911.61036999999999</v>
      </c>
      <c r="KD14" s="52">
        <f>(KD10+KD13)*0.220462</f>
        <v>919.32653999999991</v>
      </c>
      <c r="KE14" s="52">
        <f>(KE10+KE13)*0.220462</f>
        <v>911.61036999999999</v>
      </c>
      <c r="KF14" s="52">
        <f t="shared" ref="KF14:KG14" si="202">(KF10+KF13)*0.220462</f>
        <v>900.80773199999999</v>
      </c>
      <c r="KG14" s="52">
        <f t="shared" si="202"/>
        <v>868.84074199999998</v>
      </c>
      <c r="KH14" s="52">
        <f t="shared" ref="KH14" si="203">(KH10+KH13)*0.220462</f>
        <v>868.39981799999998</v>
      </c>
      <c r="KK14" s="52">
        <f>(KK10+KK13)*0.220462</f>
        <v>869.50212799999997</v>
      </c>
      <c r="KL14" s="52">
        <f>(KL10+KL13)*0.220462</f>
        <v>877.879684</v>
      </c>
      <c r="KM14" s="52">
        <f t="shared" ref="KM14:KO14" si="204">(KM10+KM13)*0.220462</f>
        <v>890.66647999999998</v>
      </c>
      <c r="KN14" s="52">
        <f t="shared" si="204"/>
        <v>876.11598800000002</v>
      </c>
      <c r="KO14" s="52">
        <f t="shared" si="204"/>
        <v>887.80047400000001</v>
      </c>
      <c r="KR14" s="52">
        <f>(KR10+KR13)*0.220462</f>
        <v>890.44601799999998</v>
      </c>
      <c r="KS14" s="52">
        <f>(KS10+KS13)*0.220462</f>
        <v>902.13050399999997</v>
      </c>
      <c r="KT14" s="52">
        <f t="shared" ref="KT14:KV14" si="205">(KT10+KT13)*0.220462</f>
        <v>890.66647999999998</v>
      </c>
      <c r="KU14" s="52">
        <f t="shared" si="205"/>
        <v>890.66647999999998</v>
      </c>
      <c r="KV14" s="52">
        <f t="shared" si="205"/>
        <v>900.80773199999999</v>
      </c>
      <c r="KY14" s="52">
        <f>(KY10+KY13)*0.220462</f>
        <v>932.55426</v>
      </c>
      <c r="KZ14" s="52">
        <f>(KZ10+KZ13)*0.220462</f>
        <v>936.74303799999996</v>
      </c>
      <c r="LA14" s="52">
        <f t="shared" ref="LA14:LC14" si="206">(LA10+LA13)*0.220462</f>
        <v>968.93048999999996</v>
      </c>
      <c r="LB14" s="52">
        <f t="shared" si="206"/>
        <v>957.90738999999996</v>
      </c>
      <c r="LC14" s="52">
        <f t="shared" si="206"/>
        <v>974.44203999999991</v>
      </c>
      <c r="LF14" s="52">
        <f>(LF10+LF13)*0.220462</f>
        <v>1015.0070479999999</v>
      </c>
      <c r="LG14" s="52">
        <f>(LG10+LG13)*0.220462</f>
        <v>1019.63675</v>
      </c>
      <c r="LH14" s="52">
        <f t="shared" ref="LH14:LJ14" si="207">(LH10+LH13)*0.220462</f>
        <v>1019.63675</v>
      </c>
      <c r="LI14" s="52">
        <f t="shared" si="207"/>
        <v>1005.9681059999999</v>
      </c>
      <c r="LJ14" s="52">
        <f t="shared" si="207"/>
        <v>1003.3225619999999</v>
      </c>
      <c r="LM14" s="52">
        <f>(LM10+LM13)*0.220462</f>
        <v>1027.573382</v>
      </c>
      <c r="LN14" s="52">
        <f>(LN10+LN13)*0.220462</f>
        <v>1051.383278</v>
      </c>
      <c r="LO14" s="52">
        <f t="shared" ref="LO14:LQ14" si="208">(LO10+LO13)*0.220462</f>
        <v>1038.3760199999999</v>
      </c>
      <c r="LP14" s="52">
        <f t="shared" si="208"/>
        <v>1038.3760199999999</v>
      </c>
      <c r="LQ14" s="52">
        <f t="shared" si="208"/>
        <v>992.74038599999994</v>
      </c>
      <c r="LT14" s="52">
        <f>(LT10+LT13)*0.220462</f>
        <v>1001.117942</v>
      </c>
      <c r="LU14" s="52">
        <f>(LU10+LU13)*0.220462</f>
        <v>999.57470799999999</v>
      </c>
      <c r="LV14" s="52">
        <f t="shared" ref="LV14:LX14" si="209">(LV10+LV13)*0.220462</f>
        <v>985.02421599999991</v>
      </c>
      <c r="LW14" s="52">
        <f t="shared" si="209"/>
        <v>965.403098</v>
      </c>
      <c r="LX14" s="52">
        <f t="shared" si="209"/>
        <v>951.95491599999991</v>
      </c>
      <c r="MA14" s="52">
        <f>(MA10+MA13)*0.220462</f>
        <v>947.76613799999996</v>
      </c>
      <c r="MB14" s="52">
        <f>(MB10+MB13)*0.220462</f>
        <v>897.72126400000002</v>
      </c>
      <c r="MC14" s="52">
        <f t="shared" ref="MC14:ME14" si="210">(MC10+MC13)*0.220462</f>
        <v>844.14899800000001</v>
      </c>
      <c r="MD14" s="52">
        <f t="shared" si="210"/>
        <v>884.27308199999993</v>
      </c>
      <c r="ME14" s="52">
        <f t="shared" si="210"/>
        <v>863.10872999999992</v>
      </c>
      <c r="MH14" s="52">
        <f>(MH10+MH13)*0.220462</f>
        <v>883.17077199999994</v>
      </c>
      <c r="MI14" s="52">
        <f>(MI10+MI13)*0.220462</f>
        <v>930.12917799999991</v>
      </c>
      <c r="MJ14" s="52">
        <f t="shared" ref="MJ14:ML14" si="211">(MJ10+MJ13)*0.220462</f>
        <v>899.925884</v>
      </c>
      <c r="MK14" s="52">
        <f t="shared" si="211"/>
        <v>888.02093600000001</v>
      </c>
      <c r="ML14" s="52">
        <f t="shared" si="211"/>
        <v>903.67373799999996</v>
      </c>
      <c r="MO14" s="52">
        <f>(MO10+MO13)*0.220462</f>
        <v>940.04996799999992</v>
      </c>
      <c r="MP14" s="52">
        <f>(MP10+MP13)*0.220462</f>
        <v>942.03412600000001</v>
      </c>
      <c r="MQ14" s="52">
        <f t="shared" ref="MQ14:MS14" si="212">(MQ10+MQ13)*0.220462</f>
        <v>883.17077199999994</v>
      </c>
      <c r="MR14" s="52">
        <f t="shared" si="212"/>
        <v>882.72984799999995</v>
      </c>
      <c r="MS14" s="52">
        <f t="shared" si="212"/>
        <v>838.41698599999995</v>
      </c>
      <c r="MV14" s="52">
        <f>(MV10+MV13)*0.220462</f>
        <v>838.41698599999995</v>
      </c>
      <c r="MW14" s="52">
        <f>(MW10+MW13)*0.220462</f>
        <v>857.81764199999998</v>
      </c>
      <c r="MX14" s="52">
        <f t="shared" ref="MX14:MZ14" si="213">(MX10+MX13)*0.220462</f>
        <v>865.09288800000002</v>
      </c>
      <c r="MY14" s="52">
        <f t="shared" si="213"/>
        <v>826.51203799999996</v>
      </c>
      <c r="MZ14" s="52">
        <f t="shared" si="213"/>
        <v>826.51203799999996</v>
      </c>
    </row>
    <row r="15" spans="1:366" s="53" customFormat="1" x14ac:dyDescent="0.25">
      <c r="A15" s="42" t="s">
        <v>82</v>
      </c>
      <c r="C15" s="53">
        <f>C14*C20</f>
        <v>6456.5884278126005</v>
      </c>
      <c r="D15" s="53">
        <f t="shared" ref="D15:G15" si="214">D14*D20</f>
        <v>6418.5856953151997</v>
      </c>
      <c r="E15" s="53">
        <f>E14*E20</f>
        <v>6496.164509419199</v>
      </c>
      <c r="F15" s="53">
        <f t="shared" si="214"/>
        <v>6364.7139537343992</v>
      </c>
      <c r="G15" s="53">
        <f t="shared" si="214"/>
        <v>6318.8023894951993</v>
      </c>
      <c r="J15" s="53">
        <f>J14*J20</f>
        <v>6318.1808630247997</v>
      </c>
      <c r="K15" s="53">
        <f>K14*K20</f>
        <v>6194.5037092752009</v>
      </c>
      <c r="L15" s="53">
        <f>L14*L20</f>
        <v>6065.3045335805991</v>
      </c>
      <c r="M15" s="53">
        <f t="shared" ref="M15:N15" si="215">M14*M20</f>
        <v>6090.4584100250004</v>
      </c>
      <c r="N15" s="53">
        <f t="shared" si="215"/>
        <v>6000.3451186799994</v>
      </c>
      <c r="Q15" s="53">
        <f>Q14*Q20</f>
        <v>6094.185099673</v>
      </c>
      <c r="R15" s="53">
        <f>R14*R20</f>
        <v>6133.7114009599991</v>
      </c>
      <c r="S15" s="53">
        <f>S14*S20</f>
        <v>6017.6860423064009</v>
      </c>
      <c r="T15" s="53">
        <f t="shared" ref="T15:U15" si="216">T14*T20</f>
        <v>6144.1358363990003</v>
      </c>
      <c r="U15" s="53">
        <f t="shared" si="216"/>
        <v>6017.249770054601</v>
      </c>
      <c r="X15" s="53">
        <f>X14*X20</f>
        <v>5979.4774203471998</v>
      </c>
      <c r="Y15" s="53">
        <f>Y14*Y20</f>
        <v>5866.8369470568005</v>
      </c>
      <c r="Z15" s="53">
        <f>Z14*Z20</f>
        <v>5743.1024731872003</v>
      </c>
      <c r="AA15" s="53">
        <f t="shared" ref="AA15:AB15" si="217">AA14*AA20</f>
        <v>5817.1035417704006</v>
      </c>
      <c r="AB15" s="53">
        <f t="shared" si="217"/>
        <v>5832.6822685383995</v>
      </c>
      <c r="AE15" s="53">
        <f>AE14*AE20</f>
        <v>5877.5564267903992</v>
      </c>
      <c r="AF15" s="53">
        <f>AF14*AF20</f>
        <v>5995.0158907539999</v>
      </c>
      <c r="AG15" s="53">
        <f>AG14*AG20</f>
        <v>5790.8427697163997</v>
      </c>
      <c r="AH15" s="53">
        <f>AH14*AH20</f>
        <v>5878.7275209343989</v>
      </c>
      <c r="AI15" s="53">
        <f t="shared" ref="AI15" si="218">AI14*AI20</f>
        <v>5854.2473322695996</v>
      </c>
      <c r="AL15" s="53">
        <f>AL14*AL20</f>
        <v>6140.319969872</v>
      </c>
      <c r="AM15" s="53">
        <f>AM14*AM20</f>
        <v>6312.3118118455995</v>
      </c>
      <c r="AN15" s="53">
        <f>AN14*AN20</f>
        <v>6375.7481209267999</v>
      </c>
      <c r="AO15" s="53">
        <f>AO14*AO20</f>
        <v>6001.6733581376002</v>
      </c>
      <c r="AP15" s="53">
        <f t="shared" ref="AP15" si="219">AP14*AP20</f>
        <v>6060.6190326483993</v>
      </c>
      <c r="AS15" s="53">
        <f>AS14*AS20</f>
        <v>5900.7819221208001</v>
      </c>
      <c r="AT15" s="53">
        <f>AT14*AT20</f>
        <v>5836.3028718719997</v>
      </c>
      <c r="AU15" s="53">
        <f>AU14*AU20</f>
        <v>6020.8232165663994</v>
      </c>
      <c r="AV15" s="53">
        <f>AV14*AV20</f>
        <v>6114.5005627419996</v>
      </c>
      <c r="AW15" s="53">
        <f t="shared" ref="AW15" si="220">AW14*AW20</f>
        <v>5790.3341197899999</v>
      </c>
      <c r="AZ15" s="53">
        <f>AZ14*AZ20</f>
        <v>5791.4807206058003</v>
      </c>
      <c r="BA15" s="53">
        <f>BA14*BA20</f>
        <v>5791.4807206058003</v>
      </c>
      <c r="BB15" s="53">
        <f>BB14*BB20</f>
        <v>5910.6091700941997</v>
      </c>
      <c r="BC15" s="53">
        <f>BC14*BC20</f>
        <v>5832.0875943396004</v>
      </c>
      <c r="BD15" s="53">
        <f t="shared" ref="BD15" si="221">BD14*BD20</f>
        <v>5892.4613335016002</v>
      </c>
      <c r="BG15" s="53">
        <f>BG14*BG20</f>
        <v>5674.5811639836011</v>
      </c>
      <c r="BH15" s="53">
        <f>BH14*BH20</f>
        <v>5688.6168110749995</v>
      </c>
      <c r="BI15" s="53">
        <f>BI14*BI20</f>
        <v>5801.3829697516003</v>
      </c>
      <c r="BJ15" s="53">
        <f>BJ14*BJ20</f>
        <v>5900.085681078599</v>
      </c>
      <c r="BK15" s="53">
        <f t="shared" ref="BK15" si="222">BK14*BK20</f>
        <v>5759.8500453868</v>
      </c>
      <c r="BN15" s="53">
        <f>BN14*BN20</f>
        <v>5668.7992834792003</v>
      </c>
      <c r="BO15" s="53">
        <f>BO14*BO20</f>
        <v>5544.5687701096003</v>
      </c>
      <c r="BP15" s="53">
        <f>BP14*BP20</f>
        <v>5527.0382491631999</v>
      </c>
      <c r="BQ15" s="53">
        <f>BQ14*BQ20</f>
        <v>5328.6646455899991</v>
      </c>
      <c r="BR15" s="53">
        <f t="shared" ref="BR15" si="223">BR14*BR20</f>
        <v>5266.5194942579992</v>
      </c>
      <c r="BU15" s="53">
        <f>BU14*BU20</f>
        <v>5293.0060193999998</v>
      </c>
      <c r="BV15" s="53">
        <f>BV14*BV20</f>
        <v>5349.1049121972001</v>
      </c>
      <c r="BW15" s="53">
        <f>BW14*BW20</f>
        <v>5412.3432464023999</v>
      </c>
      <c r="BX15" s="53">
        <f>BX14*BX20</f>
        <v>5635.2851132093992</v>
      </c>
      <c r="BY15" s="53">
        <f t="shared" ref="BY15" si="224">BY14*BY20</f>
        <v>5685.7523703551997</v>
      </c>
      <c r="CB15" s="53">
        <f>CB14*CB20</f>
        <v>5724.1709603232011</v>
      </c>
      <c r="CC15" s="53">
        <f>CC14*CC20</f>
        <v>5403.7271946108003</v>
      </c>
      <c r="CD15" s="53">
        <f>CD14*CD20</f>
        <v>5181.0174963359996</v>
      </c>
      <c r="CE15" s="53">
        <f>CE14*CE20</f>
        <v>5008.8832579565997</v>
      </c>
      <c r="CF15" s="53">
        <f t="shared" ref="CF15" si="225">CF14*CF20</f>
        <v>5048.0547917931999</v>
      </c>
      <c r="CI15" s="53">
        <f>CI14*CI20</f>
        <v>5194.6362056929993</v>
      </c>
      <c r="CJ15" s="53">
        <f>CJ14*CJ20</f>
        <v>5114.9179181099998</v>
      </c>
      <c r="CK15" s="53">
        <f>CK14*CK20</f>
        <v>5151.3508068439996</v>
      </c>
      <c r="CL15" s="53">
        <f>CL14*CL20</f>
        <v>5069.8155155493996</v>
      </c>
      <c r="CM15" s="53">
        <f t="shared" ref="CM15" si="226">CM14*CM20</f>
        <v>5150.8388499875991</v>
      </c>
      <c r="CP15" s="53">
        <f>CP14*CP20</f>
        <v>5210.5203384696006</v>
      </c>
      <c r="CQ15" s="53">
        <f>CQ14*CQ20</f>
        <v>5118.5029829692003</v>
      </c>
      <c r="CR15" s="53">
        <f>CR14*CR20</f>
        <v>5028.9094748816005</v>
      </c>
      <c r="CS15" s="53">
        <f>CS14*CS20</f>
        <v>4863.613063847999</v>
      </c>
      <c r="CT15" s="53">
        <f t="shared" ref="CT15" si="227">CT14*CT20</f>
        <v>4863.613063847999</v>
      </c>
      <c r="CW15" s="53">
        <f>CW14*CW20</f>
        <v>4872.5009452855993</v>
      </c>
      <c r="CX15" s="53">
        <f>CX14*CX20</f>
        <v>4794.880397725</v>
      </c>
      <c r="CY15" s="53">
        <f>CY14*CY20</f>
        <v>4637.3134505500002</v>
      </c>
      <c r="CZ15" s="53">
        <f>CZ14*CZ20</f>
        <v>4569.6231949016001</v>
      </c>
      <c r="DA15" s="53">
        <f t="shared" ref="DA15" si="228">DA14*DA20</f>
        <v>4650.9155591183999</v>
      </c>
      <c r="DD15" s="53">
        <f>DD14*DD20</f>
        <v>4746.8604892411995</v>
      </c>
      <c r="DE15" s="53">
        <f>DE14*DE20</f>
        <v>4803.3059042100003</v>
      </c>
      <c r="DF15" s="53">
        <f>DF14*DF20</f>
        <v>4730.5176852736004</v>
      </c>
      <c r="DG15" s="53">
        <f>DG14*DG20</f>
        <v>4689.9150664564004</v>
      </c>
      <c r="DH15" s="53">
        <f t="shared" ref="DH15" si="229">DH14*DH20</f>
        <v>4689.9150664564004</v>
      </c>
      <c r="DK15" s="53">
        <f>DK14*DK20</f>
        <v>4535.0592507263991</v>
      </c>
      <c r="DL15" s="53">
        <f>DL14*DL20</f>
        <v>4441.8333225420001</v>
      </c>
      <c r="DM15" s="53">
        <f>DM14*DM20</f>
        <v>4480.6360895911994</v>
      </c>
      <c r="DN15" s="53">
        <f>DN14*DN20</f>
        <v>4298.3814769631999</v>
      </c>
      <c r="DO15" s="53">
        <f t="shared" ref="DO15" si="230">DO14*DO20</f>
        <v>4454.7910647767994</v>
      </c>
      <c r="DR15" s="53">
        <f>DR14*DR20</f>
        <v>4454.7910647767994</v>
      </c>
      <c r="DS15" s="53">
        <f>DS14*DS20</f>
        <v>4481.7928977975998</v>
      </c>
      <c r="DT15" s="53">
        <f>DT14*DT20</f>
        <v>4636.0488364255998</v>
      </c>
      <c r="DU15" s="53">
        <f>DU14*DU20</f>
        <v>4613.8338286722001</v>
      </c>
      <c r="DV15" s="53">
        <f t="shared" ref="DV15" si="231">DV14*DV20</f>
        <v>4731.645105895399</v>
      </c>
      <c r="DY15" s="53">
        <f>DY14*DY20</f>
        <v>4583.7469606544</v>
      </c>
      <c r="DZ15" s="53">
        <f>DZ14*DZ20</f>
        <v>4544.0853177456002</v>
      </c>
      <c r="EA15" s="53">
        <f>EA14*EA20</f>
        <v>4625.7081104079998</v>
      </c>
      <c r="EB15" s="53">
        <f>EB14*EB20</f>
        <v>4591.4157533705993</v>
      </c>
      <c r="EC15" s="53">
        <f t="shared" ref="EC15" si="232">EC14*EC20</f>
        <v>4492.2904384357998</v>
      </c>
      <c r="EF15" s="53">
        <f>EF14*EF20</f>
        <v>4566.9342639799997</v>
      </c>
      <c r="EG15" s="53">
        <f>EG14*EG20</f>
        <v>4412.7657385350003</v>
      </c>
      <c r="EH15" s="53">
        <f>EH14*EH20</f>
        <v>4410.7812498419999</v>
      </c>
      <c r="EI15" s="53">
        <f>EI14*EI20</f>
        <v>4354.8625185912006</v>
      </c>
      <c r="EJ15" s="53">
        <f t="shared" ref="EJ15" si="233">EJ14*EJ20</f>
        <v>4349.1913320570002</v>
      </c>
      <c r="EM15" s="53">
        <f>EM14*EM20</f>
        <v>4465.0858685597996</v>
      </c>
      <c r="EN15" s="53">
        <f>EN14*EN20</f>
        <v>4353.9458375951999</v>
      </c>
      <c r="EO15" s="53">
        <f>EO14*EO20</f>
        <v>4384.4031920039997</v>
      </c>
      <c r="EP15" s="53">
        <f>EP14*EP20</f>
        <v>4355.1964744287998</v>
      </c>
      <c r="EQ15" s="53">
        <f t="shared" ref="EQ15" si="234">EQ14*EQ20</f>
        <v>4399.1428844924003</v>
      </c>
      <c r="ET15" s="53">
        <f>ET14*ET20</f>
        <v>4385.0968095483995</v>
      </c>
      <c r="EU15" s="53">
        <f>EU14*EU20</f>
        <v>4227.1359629179997</v>
      </c>
      <c r="EV15" s="53">
        <f>EV14*EV20</f>
        <v>4268.8674353599999</v>
      </c>
      <c r="EW15" s="53">
        <f>EW14*EW20</f>
        <v>4313.3046820203999</v>
      </c>
      <c r="EX15" s="53">
        <f t="shared" ref="EX15" si="235">EX14*EX20</f>
        <v>4402.7727472300003</v>
      </c>
      <c r="FA15" s="53">
        <f>FA14*FA20</f>
        <v>4315.5526448496003</v>
      </c>
      <c r="FB15" s="53">
        <f>FB14*FB20</f>
        <v>4283.5157683955995</v>
      </c>
      <c r="FC15" s="53">
        <f>FC14*FC20</f>
        <v>4219.7540574023997</v>
      </c>
      <c r="FD15" s="53">
        <v>4219.7540574023997</v>
      </c>
      <c r="FE15" s="53">
        <f t="shared" ref="FE15" si="236">FE14*FE20</f>
        <v>4593.2380481701994</v>
      </c>
      <c r="FH15" s="53">
        <f>FH14*FH20</f>
        <v>4519.1213913603997</v>
      </c>
      <c r="FI15" s="53">
        <f>FI14*FI20</f>
        <v>4539.5945508979994</v>
      </c>
      <c r="FJ15" s="53">
        <f>FJ14*FJ20</f>
        <v>4536.1580774268004</v>
      </c>
      <c r="FK15" s="53">
        <f>FK14*FK20</f>
        <v>4669.9598382954</v>
      </c>
      <c r="FL15" s="53">
        <f t="shared" ref="FL15" si="237">FL14*FL20</f>
        <v>4820.9242792633995</v>
      </c>
      <c r="FO15" s="53">
        <f>FO14*FO20</f>
        <v>4739.1000945639989</v>
      </c>
      <c r="FP15" s="53">
        <f>FP14*FP20</f>
        <v>4715.6425188861995</v>
      </c>
      <c r="FQ15" s="53">
        <f>FQ14*FQ20</f>
        <v>4438.9515755552002</v>
      </c>
      <c r="FR15" s="53">
        <f>FR14*FR20</f>
        <v>4554.7728966278</v>
      </c>
      <c r="FS15" s="53">
        <f t="shared" ref="FS15" si="238">FS14*FS20</f>
        <v>4682.7324585888</v>
      </c>
      <c r="FV15" s="53">
        <f>FV14*FV20</f>
        <v>4575.0482576589993</v>
      </c>
      <c r="FW15" s="53">
        <f>FW14*FW20</f>
        <v>4651.7371769000001</v>
      </c>
      <c r="FX15" s="53">
        <f>FX14*FX20</f>
        <v>4637.6809607039995</v>
      </c>
      <c r="FY15" s="53">
        <f>FY14*FY20</f>
        <v>4801.4115403825999</v>
      </c>
      <c r="FZ15" s="53">
        <f t="shared" ref="FZ15" si="239">FZ14*FZ20</f>
        <v>4676.6207228399999</v>
      </c>
      <c r="GC15" s="53">
        <f>GC14*GC20</f>
        <v>4804.2615187951997</v>
      </c>
      <c r="GD15" s="53">
        <f>GD14*GD20</f>
        <v>4822.3252932271998</v>
      </c>
      <c r="GE15" s="53">
        <f>GE14*GE20</f>
        <v>4881.0351174903999</v>
      </c>
      <c r="GF15" s="53">
        <f>GF14*GF20</f>
        <v>4637.2711218459999</v>
      </c>
      <c r="GG15" s="53">
        <f t="shared" ref="GG15" si="240">GG14*GG20</f>
        <v>4684.9625639959995</v>
      </c>
      <c r="GJ15" s="53">
        <f>GJ14*GJ20</f>
        <v>4858.2352020048002</v>
      </c>
      <c r="GK15" s="53">
        <f>GK14*GK20</f>
        <v>4805.1134280555998</v>
      </c>
      <c r="GL15" s="53">
        <f>GL14*GL20</f>
        <v>4717.6424178730003</v>
      </c>
      <c r="GM15" s="53">
        <f>GM14*GM20</f>
        <v>4730.5048323389992</v>
      </c>
      <c r="GN15" s="53">
        <f t="shared" ref="GN15" si="241">GN14*GN20</f>
        <v>4640.0660508971996</v>
      </c>
      <c r="GQ15" s="53">
        <f>GQ14*GQ20</f>
        <v>4233.6822292688003</v>
      </c>
      <c r="GR15" s="53">
        <f>GR14*GR20</f>
        <v>4453.2350660269994</v>
      </c>
      <c r="GS15" s="53">
        <f>GS14*GS20</f>
        <v>4608.2496143969993</v>
      </c>
      <c r="GT15" s="53">
        <f>GT14*GT20</f>
        <v>4659.781614818</v>
      </c>
      <c r="GU15" s="53">
        <f t="shared" ref="GU15" si="242">GU14*GU20</f>
        <v>4724.5714283019997</v>
      </c>
      <c r="GX15" s="53">
        <f>GX14*GX20</f>
        <v>4863.6925624452006</v>
      </c>
      <c r="GY15" s="53">
        <f>GY14*GY20</f>
        <v>4927.3710710795995</v>
      </c>
      <c r="GZ15" s="53">
        <f>GZ14*GZ20</f>
        <v>4936.0197292009998</v>
      </c>
      <c r="HA15" s="53">
        <f>HA14*HA20</f>
        <v>4850.0436057018005</v>
      </c>
      <c r="HB15" s="53">
        <f t="shared" ref="HB15" si="243">HB14*HB20</f>
        <v>4750.0742519999994</v>
      </c>
      <c r="HE15" s="53">
        <f>HE14*HE20</f>
        <v>4764.2697119951999</v>
      </c>
      <c r="HF15" s="53">
        <f>HF14*HF20</f>
        <v>4957.0889738941996</v>
      </c>
      <c r="HG15" s="53">
        <f>HG14*HG20</f>
        <v>4961.7724465760002</v>
      </c>
      <c r="HH15" s="53">
        <f>HH14*HH20</f>
        <v>4893.4606644572004</v>
      </c>
      <c r="HI15" s="53">
        <f t="shared" ref="HI15" si="244">HI14*HI20</f>
        <v>4929.2569471199995</v>
      </c>
      <c r="HL15" s="53">
        <f>HL14*HL20</f>
        <v>4825.1473391043992</v>
      </c>
      <c r="HM15" s="53">
        <f>HM14*HM20</f>
        <v>4728.3501910743998</v>
      </c>
      <c r="HN15" s="53">
        <f>HN14*HN20</f>
        <v>4731.6336639176006</v>
      </c>
      <c r="HO15" s="53">
        <f>HO14*HO20</f>
        <v>4609.852703829999</v>
      </c>
      <c r="HP15" s="53">
        <f t="shared" ref="HP15" si="245">HP14*HP20</f>
        <v>4749.2290006919993</v>
      </c>
      <c r="HS15" s="53">
        <f>HS14*HS20</f>
        <v>4866.7755471456003</v>
      </c>
      <c r="HT15" s="53">
        <f>HT14*HT20</f>
        <v>4710.8454641819999</v>
      </c>
      <c r="HU15" s="53">
        <f>HU14*HU20</f>
        <v>4528.1249271631996</v>
      </c>
      <c r="HV15" s="53">
        <f>HV14*HV20</f>
        <v>4695.8491539256001</v>
      </c>
      <c r="HW15" s="53">
        <f t="shared" ref="HW15" si="246">HW14*HW20</f>
        <v>4745.2727880558004</v>
      </c>
      <c r="HZ15" s="53">
        <f>HZ14*HZ20</f>
        <v>4724.0455382472001</v>
      </c>
      <c r="IA15" s="53">
        <f>IA14*IA20</f>
        <v>4436.1669641255994</v>
      </c>
      <c r="IB15" s="53">
        <f>IB14*IB20</f>
        <v>4496.9113440020001</v>
      </c>
      <c r="IC15" s="53">
        <f>IC14*IC20</f>
        <v>4689.737770916</v>
      </c>
      <c r="ID15" s="53">
        <f t="shared" ref="ID15" si="247">ID14*ID20</f>
        <v>4701.7233418694004</v>
      </c>
      <c r="IG15" s="53">
        <f>IG14*IG20</f>
        <v>4680.4170784799999</v>
      </c>
      <c r="IH15" s="53">
        <f>IH14*IH20</f>
        <v>4677.1072383815999</v>
      </c>
      <c r="II15" s="53">
        <f>II14*II20</f>
        <v>4562.61761802</v>
      </c>
      <c r="IJ15" s="53">
        <f>IJ14*IJ20</f>
        <v>4722.0321910783996</v>
      </c>
      <c r="IK15" s="53">
        <f t="shared" ref="IK15" si="248">IK14*IK20</f>
        <v>4734.7923773149996</v>
      </c>
      <c r="IN15" s="53">
        <f>IN14*IN20</f>
        <v>4721.1587867729995</v>
      </c>
      <c r="IO15" s="53">
        <f>IO14*IO20</f>
        <v>4547.3219644600003</v>
      </c>
      <c r="IP15" s="53">
        <f>IP14*IP20</f>
        <v>4481.2321967930002</v>
      </c>
      <c r="IQ15" s="53">
        <f>IQ14*IQ20</f>
        <v>4481.2321967930002</v>
      </c>
      <c r="IR15" s="53">
        <f t="shared" ref="IR15" si="249">IR14*IR20</f>
        <v>4465.8343590959994</v>
      </c>
      <c r="IU15" s="53">
        <f>IU14*IU20</f>
        <v>4423.8036094889994</v>
      </c>
      <c r="IV15" s="53">
        <f>IV14*IV20</f>
        <v>4498.4663506728002</v>
      </c>
      <c r="IW15" s="53">
        <f>IW14*IW20</f>
        <v>4653.4727419487999</v>
      </c>
      <c r="IX15" s="53">
        <f>IX14*IX20</f>
        <v>4613.7221205767992</v>
      </c>
      <c r="IY15" s="53">
        <f t="shared" ref="IY15" si="250">IY14*IY20</f>
        <v>4602.4874652416001</v>
      </c>
      <c r="JB15" s="53">
        <f>JB14*JB20</f>
        <v>4694.9238308191998</v>
      </c>
      <c r="JC15" s="53">
        <f>JC14*JC20</f>
        <v>4517.1205223407997</v>
      </c>
      <c r="JD15" s="53">
        <f>JD14*JD20</f>
        <v>4348.2362245343993</v>
      </c>
      <c r="JE15" s="53">
        <f>JE14*JE20</f>
        <v>4248.7390342979998</v>
      </c>
      <c r="JF15" s="53">
        <f t="shared" ref="JF15" si="251">JF14*JF20</f>
        <v>4532.7137114159996</v>
      </c>
      <c r="JI15" s="53">
        <f>JI14*JI20</f>
        <v>4456.2474587950001</v>
      </c>
      <c r="JJ15" s="53">
        <f>JJ14*JJ20</f>
        <v>4423.4753195248004</v>
      </c>
      <c r="JK15" s="53">
        <f>JK14*JK20</f>
        <v>4557.5171414651995</v>
      </c>
      <c r="JL15" s="53">
        <f>JL14*JL20</f>
        <v>4732.3803246192001</v>
      </c>
      <c r="JM15" s="53">
        <f t="shared" ref="JM15" si="252">JM14*JM20</f>
        <v>4574.6418800543997</v>
      </c>
      <c r="JP15" s="53">
        <f>JP14*JP20</f>
        <v>4898.9800188119998</v>
      </c>
      <c r="JQ15" s="53">
        <f>JQ14*JQ20</f>
        <v>4815.7647629849998</v>
      </c>
      <c r="JR15" s="53">
        <f>JR14*JR20</f>
        <v>4740.0537911298006</v>
      </c>
      <c r="JS15" s="53">
        <f>JS14*JS20</f>
        <v>4715.0772322720004</v>
      </c>
      <c r="JT15" s="53">
        <f t="shared" ref="JT15" si="253">JT14*JT20</f>
        <v>4725.7580650169994</v>
      </c>
      <c r="JW15" s="53">
        <f>JW14*JW20</f>
        <v>4650.4260673397994</v>
      </c>
      <c r="JX15" s="53">
        <f>JX14*JX20</f>
        <v>4427.8071112241996</v>
      </c>
      <c r="JY15" s="53">
        <f>JY14*JY20</f>
        <v>4399.2825251231998</v>
      </c>
      <c r="JZ15" s="53">
        <v>4399.2825251231998</v>
      </c>
      <c r="KA15" s="53">
        <f t="shared" ref="KA15" si="254">KA14*KA20</f>
        <v>4614.7540150139994</v>
      </c>
      <c r="KD15" s="53">
        <f>KD14*KD20</f>
        <v>4653.1712822099989</v>
      </c>
      <c r="KE15" s="53">
        <f>KE14*KE20</f>
        <v>4592.7842050970003</v>
      </c>
      <c r="KF15" s="53">
        <f>KF14*KF20</f>
        <v>4554.9342968579995</v>
      </c>
      <c r="KG15" s="53">
        <f>KG14*KG20</f>
        <v>4390.8604578453997</v>
      </c>
      <c r="KH15" s="53">
        <f t="shared" ref="KH15" si="255">KH14*KH20</f>
        <v>4387.5900804450002</v>
      </c>
      <c r="KK15" s="53">
        <f>KK14*KK20</f>
        <v>4361.5096242607997</v>
      </c>
      <c r="KL15" s="53">
        <f>KL14*KL20</f>
        <v>4394.8412740407994</v>
      </c>
      <c r="KM15" s="53">
        <f>KM14*KM20</f>
        <v>4451.372933744</v>
      </c>
      <c r="KN15" s="53">
        <f>KN14*KN20</f>
        <v>4385.1357431376</v>
      </c>
      <c r="KO15" s="53">
        <f t="shared" ref="KO15" si="256">KO14*KO20</f>
        <v>4392.5704052097999</v>
      </c>
      <c r="KR15" s="53">
        <f>KR14*KR20</f>
        <v>4458.5522567278003</v>
      </c>
      <c r="KS15" s="53">
        <f>KS14*KS20</f>
        <v>4562.2543848287996</v>
      </c>
      <c r="KT15" s="53">
        <f>KT14*KT20</f>
        <v>4470.3441297680001</v>
      </c>
      <c r="KU15" s="53">
        <f>KU14*KU20</f>
        <v>4470.3441297680001</v>
      </c>
      <c r="KV15" s="53">
        <f t="shared" ref="KV15" si="257">KV14*KV20</f>
        <v>4405.5803748924</v>
      </c>
      <c r="KY15" s="53">
        <f>KY14*KY20</f>
        <v>4569.1428522960005</v>
      </c>
      <c r="KZ15" s="53">
        <f>KZ14*KZ20</f>
        <v>4558.8473430345994</v>
      </c>
      <c r="LA15" s="53">
        <f>LA14*LA20</f>
        <v>4733.4192297480004</v>
      </c>
      <c r="LB15" s="53">
        <f>LB14*LB20</f>
        <v>4694.1293739560006</v>
      </c>
      <c r="LC15" s="53">
        <f t="shared" ref="LC15" si="258">LC14*LC20</f>
        <v>4795.8139440639989</v>
      </c>
      <c r="LF15" s="53">
        <f>LF14*LF20</f>
        <v>4998.1992064663991</v>
      </c>
      <c r="LG15" s="53">
        <f>LG14*LG20</f>
        <v>4963.4897353249999</v>
      </c>
      <c r="LH15" s="53">
        <f>LH14*LH20</f>
        <v>4963.4897353249999</v>
      </c>
      <c r="LI15" s="53">
        <f>LI14*LI20</f>
        <v>4886.1882844631991</v>
      </c>
      <c r="LJ15" s="53">
        <f t="shared" ref="LJ15" si="259">LJ14*LJ20</f>
        <v>4900.8293863452</v>
      </c>
      <c r="LM15" s="53">
        <f>LM14*LM20</f>
        <v>5006.3375171039997</v>
      </c>
      <c r="LN15" s="53">
        <f>LN14*LN20</f>
        <v>5131.0658116233999</v>
      </c>
      <c r="LO15" s="53">
        <f>LO14*LO20</f>
        <v>5084.408181929999</v>
      </c>
      <c r="LP15" s="53">
        <f>LP14*LP20</f>
        <v>5080.5661906559999</v>
      </c>
      <c r="LQ15" s="53">
        <f t="shared" ref="LQ15" si="260">LQ14*LQ20</f>
        <v>4856.8830644664004</v>
      </c>
      <c r="LT15" s="53">
        <f>LT14*LT20</f>
        <v>4900.2721025015999</v>
      </c>
      <c r="LU15" s="53">
        <f>LU14*LU20</f>
        <v>4884.3218531712</v>
      </c>
      <c r="LV15" s="53">
        <f>LV14*LV20</f>
        <v>4819.7234888879993</v>
      </c>
      <c r="LW15" s="53">
        <f>LW14*LW20</f>
        <v>4764.4573692495997</v>
      </c>
      <c r="LX15" s="53">
        <f t="shared" ref="LX15" si="261">LX14*LX20</f>
        <v>4682.4758408207999</v>
      </c>
      <c r="MA15" s="53">
        <f>MA14*MA20</f>
        <v>4652.3944182143996</v>
      </c>
      <c r="MB15" s="53">
        <f>MB14*MB20</f>
        <v>4445.4259272016006</v>
      </c>
      <c r="MC15" s="53">
        <f>MC14*MC20</f>
        <v>4138.6937073944</v>
      </c>
      <c r="MD15" s="53">
        <f>MD14*MD20</f>
        <v>4328.1630271571994</v>
      </c>
      <c r="ME15" s="53">
        <f t="shared" ref="ME15" si="262">ME14*ME20</f>
        <v>4242.6109623149996</v>
      </c>
      <c r="MH15" s="53">
        <f>MH14*MH20</f>
        <v>4366.1313455363997</v>
      </c>
      <c r="MI15" s="53">
        <f>MI14*MI20</f>
        <v>4601.6280823194002</v>
      </c>
      <c r="MJ15" s="53">
        <f>MJ14*MJ20</f>
        <v>4461.4725625184001</v>
      </c>
      <c r="MK15" s="53">
        <f>MK14*MK20</f>
        <v>4343.2215958823999</v>
      </c>
      <c r="ML15" s="53">
        <f t="shared" ref="ML15" si="263">ML14*ML20</f>
        <v>4463.6964288509998</v>
      </c>
      <c r="MO15" s="53">
        <f>MO14*MO20</f>
        <v>4643.4708219328004</v>
      </c>
      <c r="MP15" s="53">
        <f>MP14*MP20</f>
        <v>4583.938057116</v>
      </c>
      <c r="MQ15" s="53">
        <f>MQ14*MQ20</f>
        <v>4306.6056355035998</v>
      </c>
      <c r="MR15" s="53">
        <f>MR14*MR20</f>
        <v>4303.4845549696001</v>
      </c>
      <c r="MS15" s="53">
        <f t="shared" ref="MS15" si="264">MS14*MS20</f>
        <v>4076.0480191376</v>
      </c>
      <c r="MV15" s="53">
        <f>MV14*MV20</f>
        <v>4076.0480191376</v>
      </c>
      <c r="MW15" s="53">
        <f>MW14*MW20</f>
        <v>4148.8350255329997</v>
      </c>
      <c r="MX15" s="53">
        <f>MX14*MX20</f>
        <v>4178.6581769064005</v>
      </c>
      <c r="MY15" s="53">
        <f>MY14*MY20</f>
        <v>4001.1447759580001</v>
      </c>
      <c r="MZ15" s="53">
        <f t="shared" ref="MZ15" si="265">MZ14*MZ20</f>
        <v>4001.1447759580001</v>
      </c>
    </row>
    <row r="16" spans="1:366" s="33" customFormat="1" x14ac:dyDescent="0.25">
      <c r="A16" s="28" t="s">
        <v>126</v>
      </c>
      <c r="C16" s="33">
        <f>C13*0.22</f>
        <v>-198</v>
      </c>
      <c r="D16" s="33">
        <f t="shared" ref="D16:G16" si="266">D13*0.22</f>
        <v>-198</v>
      </c>
      <c r="E16" s="33">
        <f t="shared" si="266"/>
        <v>-198</v>
      </c>
      <c r="F16" s="33">
        <f t="shared" si="266"/>
        <v>-209</v>
      </c>
      <c r="G16" s="33">
        <f t="shared" si="266"/>
        <v>-209</v>
      </c>
      <c r="J16" s="33">
        <f>J13*0.22</f>
        <v>-215.6</v>
      </c>
      <c r="K16" s="33">
        <f t="shared" ref="K16:N16" si="267">K13*0.22</f>
        <v>-209</v>
      </c>
      <c r="L16" s="33">
        <f t="shared" si="267"/>
        <v>-209</v>
      </c>
      <c r="M16" s="33">
        <f t="shared" si="267"/>
        <v>-209</v>
      </c>
      <c r="N16" s="33">
        <f t="shared" si="267"/>
        <v>-220</v>
      </c>
      <c r="Q16" s="33">
        <f>Q13*0.22</f>
        <v>-202.4</v>
      </c>
      <c r="R16" s="33">
        <f t="shared" ref="R16:U16" si="268">R13*0.22</f>
        <v>-209</v>
      </c>
      <c r="S16" s="33">
        <f t="shared" si="268"/>
        <v>-231</v>
      </c>
      <c r="T16" s="33">
        <f t="shared" si="268"/>
        <v>-213.4</v>
      </c>
      <c r="U16" s="33">
        <f t="shared" si="268"/>
        <v>-206.8</v>
      </c>
      <c r="X16" s="33">
        <f>X13*0.22</f>
        <v>-215.6</v>
      </c>
      <c r="Y16" s="33">
        <f t="shared" ref="Y16:AB16" si="269">Y13*0.22</f>
        <v>-209</v>
      </c>
      <c r="Z16" s="33">
        <f t="shared" si="269"/>
        <v>-209</v>
      </c>
      <c r="AA16" s="33">
        <f t="shared" si="269"/>
        <v>-198</v>
      </c>
      <c r="AB16" s="33">
        <f t="shared" si="269"/>
        <v>-187</v>
      </c>
      <c r="AE16" s="33">
        <f>AE13*0.22</f>
        <v>-198</v>
      </c>
      <c r="AF16" s="33">
        <f t="shared" ref="AF16:AI16" si="270">AF13*0.22</f>
        <v>-198</v>
      </c>
      <c r="AG16" s="33">
        <f t="shared" si="270"/>
        <v>-198</v>
      </c>
      <c r="AH16" s="33">
        <f t="shared" ref="AH16" si="271">AH13*0.22</f>
        <v>-165</v>
      </c>
      <c r="AI16" s="33">
        <f t="shared" si="270"/>
        <v>-154</v>
      </c>
      <c r="AL16" s="33">
        <f>AL13*0.22</f>
        <v>-121</v>
      </c>
      <c r="AM16" s="33">
        <f t="shared" ref="AM16:AP16" si="272">AM13*0.22</f>
        <v>-121</v>
      </c>
      <c r="AN16" s="33">
        <f t="shared" si="272"/>
        <v>-110</v>
      </c>
      <c r="AO16" s="33">
        <f t="shared" si="272"/>
        <v>-154</v>
      </c>
      <c r="AP16" s="33">
        <f t="shared" si="272"/>
        <v>-180.4</v>
      </c>
      <c r="AS16" s="33">
        <f>AS13*0.22</f>
        <v>-187</v>
      </c>
      <c r="AT16" s="33">
        <f t="shared" ref="AT16:AW16" si="273">AT13*0.22</f>
        <v>-198</v>
      </c>
      <c r="AU16" s="33">
        <f t="shared" si="273"/>
        <v>-198</v>
      </c>
      <c r="AV16" s="33">
        <f t="shared" si="273"/>
        <v>-198</v>
      </c>
      <c r="AW16" s="33">
        <f t="shared" si="273"/>
        <v>-242</v>
      </c>
      <c r="AZ16" s="33">
        <f>AZ13*0.22</f>
        <v>-242</v>
      </c>
      <c r="BA16" s="33">
        <f t="shared" ref="BA16:BD16" si="274">BA13*0.22</f>
        <v>-242</v>
      </c>
      <c r="BB16" s="33">
        <f t="shared" si="274"/>
        <v>-242</v>
      </c>
      <c r="BC16" s="33">
        <f t="shared" si="274"/>
        <v>-231</v>
      </c>
      <c r="BD16" s="33">
        <f t="shared" si="274"/>
        <v>-209</v>
      </c>
      <c r="BG16" s="33">
        <f>BG13*0.22</f>
        <v>-231</v>
      </c>
      <c r="BH16" s="33">
        <f t="shared" ref="BH16:BK16" si="275">BH13*0.22</f>
        <v>-224.4</v>
      </c>
      <c r="BI16" s="33">
        <f t="shared" si="275"/>
        <v>-220</v>
      </c>
      <c r="BJ16" s="33">
        <f t="shared" si="275"/>
        <v>-220</v>
      </c>
      <c r="BK16" s="33">
        <f t="shared" si="275"/>
        <v>-228.8</v>
      </c>
      <c r="BN16" s="33">
        <f>BN13*0.22</f>
        <v>-228.8</v>
      </c>
      <c r="BO16" s="33">
        <f t="shared" ref="BO16:BR16" si="276">BO13*0.22</f>
        <v>-213.4</v>
      </c>
      <c r="BP16" s="33">
        <f t="shared" si="276"/>
        <v>-213.4</v>
      </c>
      <c r="BQ16" s="33">
        <f t="shared" si="276"/>
        <v>-209</v>
      </c>
      <c r="BR16" s="33">
        <f t="shared" si="276"/>
        <v>-220</v>
      </c>
      <c r="BU16" s="33">
        <f>BU13*0.22</f>
        <v>-209</v>
      </c>
      <c r="BV16" s="33">
        <f t="shared" ref="BV16:BY16" si="277">BV13*0.22</f>
        <v>-209</v>
      </c>
      <c r="BW16" s="33">
        <f t="shared" si="277"/>
        <v>-220</v>
      </c>
      <c r="BX16" s="33">
        <f t="shared" si="277"/>
        <v>-206.8</v>
      </c>
      <c r="BY16" s="33">
        <f t="shared" si="277"/>
        <v>-187</v>
      </c>
      <c r="CB16" s="33">
        <f>CB13*0.22</f>
        <v>-187</v>
      </c>
      <c r="CC16" s="33">
        <f t="shared" ref="CC16:CF16" si="278">CC13*0.22</f>
        <v>-209</v>
      </c>
      <c r="CD16" s="33">
        <f t="shared" si="278"/>
        <v>-220</v>
      </c>
      <c r="CE16" s="33">
        <f t="shared" si="278"/>
        <v>-198</v>
      </c>
      <c r="CF16" s="33">
        <f t="shared" si="278"/>
        <v>-220</v>
      </c>
      <c r="CI16" s="33">
        <f>CI13*0.22</f>
        <v>-209</v>
      </c>
      <c r="CJ16" s="33">
        <f t="shared" ref="CJ16:CM16" si="279">CJ13*0.22</f>
        <v>-224.4</v>
      </c>
      <c r="CK16" s="33">
        <f t="shared" si="279"/>
        <v>-220</v>
      </c>
      <c r="CL16" s="33">
        <f t="shared" si="279"/>
        <v>-209</v>
      </c>
      <c r="CM16" s="33">
        <f t="shared" si="279"/>
        <v>-209</v>
      </c>
      <c r="CP16" s="33">
        <f>CP13*0.22</f>
        <v>-220</v>
      </c>
      <c r="CQ16" s="33">
        <f t="shared" ref="CQ16:CT16" si="280">CQ13*0.22</f>
        <v>-220</v>
      </c>
      <c r="CR16" s="33">
        <f t="shared" si="280"/>
        <v>-220</v>
      </c>
      <c r="CS16" s="33">
        <f t="shared" si="280"/>
        <v>-242</v>
      </c>
      <c r="CT16" s="33">
        <f t="shared" si="280"/>
        <v>-242</v>
      </c>
      <c r="CW16" s="33">
        <f>CW13*0.22</f>
        <v>-242</v>
      </c>
      <c r="CX16" s="33">
        <f t="shared" ref="CX16:DA16" si="281">CX13*0.22</f>
        <v>-253</v>
      </c>
      <c r="CY16" s="33">
        <f t="shared" si="281"/>
        <v>-253</v>
      </c>
      <c r="CZ16" s="33">
        <f t="shared" si="281"/>
        <v>-253</v>
      </c>
      <c r="DA16" s="33">
        <f t="shared" si="281"/>
        <v>-242</v>
      </c>
      <c r="DD16" s="33">
        <f>DD13*0.22</f>
        <v>-242</v>
      </c>
      <c r="DE16" s="33">
        <f t="shared" ref="DE16:DH16" si="282">DE13*0.22</f>
        <v>-253</v>
      </c>
      <c r="DF16" s="33">
        <f t="shared" si="282"/>
        <v>-275</v>
      </c>
      <c r="DG16" s="33">
        <f t="shared" si="282"/>
        <v>-270.60000000000002</v>
      </c>
      <c r="DH16" s="33">
        <f t="shared" si="282"/>
        <v>-270.60000000000002</v>
      </c>
      <c r="DK16" s="33">
        <f>DK13*0.22</f>
        <v>-261.8</v>
      </c>
      <c r="DL16" s="33">
        <f t="shared" ref="DL16:DO16" si="283">DL13*0.22</f>
        <v>-261.8</v>
      </c>
      <c r="DM16" s="33">
        <f t="shared" si="283"/>
        <v>-261.8</v>
      </c>
      <c r="DN16" s="33">
        <f t="shared" si="283"/>
        <v>-261.8</v>
      </c>
      <c r="DO16" s="33">
        <f t="shared" si="283"/>
        <v>-246.4</v>
      </c>
      <c r="DR16" s="33">
        <f>DR13*0.22</f>
        <v>-246.4</v>
      </c>
      <c r="DS16" s="33">
        <f t="shared" ref="DS16:DV16" si="284">DS13*0.22</f>
        <v>-242</v>
      </c>
      <c r="DT16" s="33">
        <f t="shared" si="284"/>
        <v>-231</v>
      </c>
      <c r="DU16" s="33">
        <f t="shared" si="284"/>
        <v>-231</v>
      </c>
      <c r="DV16" s="33">
        <f t="shared" si="284"/>
        <v>-239.8</v>
      </c>
      <c r="DY16" s="33">
        <f>DY13*0.22</f>
        <v>-253</v>
      </c>
      <c r="DZ16" s="33">
        <f t="shared" ref="DZ16:EC16" si="285">DZ13*0.22</f>
        <v>-253</v>
      </c>
      <c r="EA16" s="33">
        <f t="shared" si="285"/>
        <v>-209</v>
      </c>
      <c r="EB16" s="33">
        <f t="shared" si="285"/>
        <v>-198</v>
      </c>
      <c r="EC16" s="33">
        <f t="shared" si="285"/>
        <v>-187</v>
      </c>
      <c r="EF16" s="33">
        <f>EF13*0.22</f>
        <v>-165</v>
      </c>
      <c r="EG16" s="33">
        <f t="shared" ref="EG16:EJ16" si="286">EG13*0.22</f>
        <v>-147.4</v>
      </c>
      <c r="EH16" s="33">
        <f t="shared" si="286"/>
        <v>-132</v>
      </c>
      <c r="EI16" s="33">
        <f t="shared" si="286"/>
        <v>-165</v>
      </c>
      <c r="EJ16" s="33">
        <f t="shared" si="286"/>
        <v>-169.4</v>
      </c>
      <c r="EM16" s="33">
        <f>EM13*0.22</f>
        <v>-176</v>
      </c>
      <c r="EN16" s="33">
        <f t="shared" ref="EN16:EQ16" si="287">EN13*0.22</f>
        <v>-176</v>
      </c>
      <c r="EO16" s="33">
        <f t="shared" si="287"/>
        <v>-171.6</v>
      </c>
      <c r="EP16" s="33">
        <f t="shared" si="287"/>
        <v>-198</v>
      </c>
      <c r="EQ16" s="33">
        <f t="shared" si="287"/>
        <v>-198</v>
      </c>
      <c r="ET16" s="33">
        <f>ET13*0.22</f>
        <v>-198</v>
      </c>
      <c r="EU16" s="33">
        <f t="shared" ref="EU16:EX16" si="288">EU13*0.22</f>
        <v>-182.6</v>
      </c>
      <c r="EV16" s="33">
        <f t="shared" si="288"/>
        <v>-180.4</v>
      </c>
      <c r="EW16" s="33">
        <f t="shared" si="288"/>
        <v>-198</v>
      </c>
      <c r="EX16" s="33">
        <f t="shared" si="288"/>
        <v>-202.4</v>
      </c>
      <c r="FA16" s="33">
        <f>FA13*0.22</f>
        <v>-209</v>
      </c>
      <c r="FB16" s="33">
        <f t="shared" ref="FB16:FE16" si="289">FB13*0.22</f>
        <v>-253</v>
      </c>
      <c r="FC16" s="33">
        <f t="shared" si="289"/>
        <v>-253</v>
      </c>
      <c r="FD16" s="33">
        <v>-253</v>
      </c>
      <c r="FE16" s="33">
        <f t="shared" si="289"/>
        <v>-264</v>
      </c>
      <c r="FH16" s="33">
        <f>FH13*0.22</f>
        <v>-264</v>
      </c>
      <c r="FI16" s="33">
        <f t="shared" ref="FI16:FJ16" si="290">FI13*0.22</f>
        <v>-286</v>
      </c>
      <c r="FJ16" s="33">
        <f t="shared" si="290"/>
        <v>-297</v>
      </c>
      <c r="FK16" s="33">
        <f t="shared" ref="FK16" si="291">FK13*0.22</f>
        <v>-319</v>
      </c>
      <c r="FL16" s="33">
        <f t="shared" ref="FL16" si="292">FL13*0.22</f>
        <v>-316.8</v>
      </c>
      <c r="FO16" s="33">
        <f>FO13*0.22</f>
        <v>-316.8</v>
      </c>
      <c r="FP16" s="33">
        <f t="shared" ref="FP16:FS16" si="293">FP13*0.22</f>
        <v>-330</v>
      </c>
      <c r="FQ16" s="33">
        <f t="shared" si="293"/>
        <v>-297</v>
      </c>
      <c r="FR16" s="33">
        <f t="shared" si="293"/>
        <v>-275</v>
      </c>
      <c r="FS16" s="33">
        <f t="shared" si="293"/>
        <v>-297</v>
      </c>
      <c r="FV16" s="33">
        <f>FV13*0.22</f>
        <v>-352</v>
      </c>
      <c r="FW16" s="33">
        <f t="shared" ref="FW16:FZ16" si="294">FW13*0.22</f>
        <v>-363</v>
      </c>
      <c r="FX16" s="33">
        <f t="shared" si="294"/>
        <v>-358.6</v>
      </c>
      <c r="FY16" s="33">
        <f t="shared" si="294"/>
        <v>-352</v>
      </c>
      <c r="FZ16" s="33">
        <f t="shared" si="294"/>
        <v>-462</v>
      </c>
      <c r="GC16" s="33">
        <f>GC13*0.22</f>
        <v>-473</v>
      </c>
      <c r="GD16" s="33">
        <f t="shared" ref="GD16:GG16" si="295">GD13*0.22</f>
        <v>-473</v>
      </c>
      <c r="GE16" s="33">
        <f t="shared" si="295"/>
        <v>-506</v>
      </c>
      <c r="GF16" s="33">
        <f t="shared" si="295"/>
        <v>-506</v>
      </c>
      <c r="GG16" s="33">
        <f t="shared" si="295"/>
        <v>-506</v>
      </c>
      <c r="GJ16" s="33">
        <f>GJ13*0.22</f>
        <v>-528</v>
      </c>
      <c r="GK16" s="33">
        <f t="shared" ref="GK16:GN16" si="296">GK13*0.22</f>
        <v>-528</v>
      </c>
      <c r="GL16" s="33">
        <f t="shared" si="296"/>
        <v>-528</v>
      </c>
      <c r="GM16" s="33">
        <f t="shared" si="296"/>
        <v>-550</v>
      </c>
      <c r="GN16" s="33">
        <f t="shared" si="296"/>
        <v>-528</v>
      </c>
      <c r="GQ16" s="33">
        <f>GQ13*0.22</f>
        <v>-550</v>
      </c>
      <c r="GR16" s="33">
        <f t="shared" ref="GR16:GU16" si="297">GR13*0.22</f>
        <v>-484</v>
      </c>
      <c r="GS16" s="33">
        <f t="shared" si="297"/>
        <v>-495</v>
      </c>
      <c r="GT16" s="33">
        <f t="shared" si="297"/>
        <v>-517</v>
      </c>
      <c r="GU16" s="33">
        <f t="shared" si="297"/>
        <v>-539</v>
      </c>
      <c r="GX16" s="33">
        <f>GX13*0.22</f>
        <v>-561</v>
      </c>
      <c r="GY16" s="33">
        <f t="shared" ref="GY16:HB16" si="298">GY13*0.22</f>
        <v>-561</v>
      </c>
      <c r="GZ16" s="33">
        <f t="shared" si="298"/>
        <v>-506</v>
      </c>
      <c r="HA16" s="33">
        <f t="shared" si="298"/>
        <v>-484</v>
      </c>
      <c r="HB16" s="33">
        <f t="shared" si="298"/>
        <v>-484</v>
      </c>
      <c r="HE16" s="33">
        <f>HE13*0.22</f>
        <v>-440</v>
      </c>
      <c r="HF16" s="33">
        <f t="shared" ref="HF16:HI16" si="299">HF13*0.22</f>
        <v>-440</v>
      </c>
      <c r="HG16" s="33">
        <f t="shared" si="299"/>
        <v>-451</v>
      </c>
      <c r="HH16" s="33">
        <f t="shared" si="299"/>
        <v>-473</v>
      </c>
      <c r="HI16" s="33">
        <f t="shared" si="299"/>
        <v>-484</v>
      </c>
      <c r="HL16" s="33">
        <f>HL13*0.22</f>
        <v>-484</v>
      </c>
      <c r="HM16" s="33">
        <f t="shared" ref="HM16:HP16" si="300">HM13*0.22</f>
        <v>-506</v>
      </c>
      <c r="HN16" s="33">
        <f t="shared" si="300"/>
        <v>-506</v>
      </c>
      <c r="HO16" s="33">
        <f t="shared" si="300"/>
        <v>-517</v>
      </c>
      <c r="HP16" s="33">
        <f t="shared" si="300"/>
        <v>-490.6</v>
      </c>
      <c r="HS16" s="33">
        <f>HS13*0.22</f>
        <v>-484</v>
      </c>
      <c r="HT16" s="33">
        <f t="shared" ref="HT16:HW16" si="301">HT13*0.22</f>
        <v>-506</v>
      </c>
      <c r="HU16" s="33">
        <f t="shared" si="301"/>
        <v>-561</v>
      </c>
      <c r="HV16" s="33">
        <f t="shared" si="301"/>
        <v>-550</v>
      </c>
      <c r="HW16" s="33">
        <f t="shared" si="301"/>
        <v>-550</v>
      </c>
      <c r="HZ16" s="33">
        <f>HZ13*0.22</f>
        <v>-550</v>
      </c>
      <c r="IA16" s="33">
        <f t="shared" ref="IA16:ID16" si="302">IA13*0.22</f>
        <v>-539</v>
      </c>
      <c r="IB16" s="33">
        <f t="shared" si="302"/>
        <v>-539</v>
      </c>
      <c r="IC16" s="33">
        <f t="shared" si="302"/>
        <v>-481.8</v>
      </c>
      <c r="ID16" s="33">
        <f t="shared" si="302"/>
        <v>-506</v>
      </c>
      <c r="IG16" s="33">
        <f>IG13*0.22</f>
        <v>-506</v>
      </c>
      <c r="IH16" s="33">
        <f t="shared" ref="IH16:IK16" si="303">IH13*0.22</f>
        <v>-506</v>
      </c>
      <c r="II16" s="33">
        <f t="shared" si="303"/>
        <v>-506</v>
      </c>
      <c r="IJ16" s="33">
        <f t="shared" si="303"/>
        <v>-484</v>
      </c>
      <c r="IK16" s="33">
        <f t="shared" si="303"/>
        <v>-506</v>
      </c>
      <c r="IN16" s="33">
        <f>IN13*0.22</f>
        <v>-506</v>
      </c>
      <c r="IO16" s="33">
        <f t="shared" ref="IO16:IR16" si="304">IO13*0.22</f>
        <v>-539</v>
      </c>
      <c r="IP16" s="33">
        <f t="shared" si="304"/>
        <v>-539</v>
      </c>
      <c r="IQ16" s="33">
        <f t="shared" si="304"/>
        <v>-539</v>
      </c>
      <c r="IR16" s="33">
        <f t="shared" si="304"/>
        <v>-495</v>
      </c>
      <c r="IU16" s="33">
        <f>IU13*0.22</f>
        <v>-495</v>
      </c>
      <c r="IV16" s="33">
        <f t="shared" ref="IV16:IY16" si="305">IV13*0.22</f>
        <v>-473</v>
      </c>
      <c r="IW16" s="33">
        <f t="shared" si="305"/>
        <v>-473</v>
      </c>
      <c r="IX16" s="33">
        <f t="shared" si="305"/>
        <v>-473</v>
      </c>
      <c r="IY16" s="33">
        <f t="shared" si="305"/>
        <v>-451</v>
      </c>
      <c r="JB16" s="33">
        <f>JB13*0.22</f>
        <v>-429</v>
      </c>
      <c r="JC16" s="33">
        <f t="shared" ref="JC16:JF16" si="306">JC13*0.22</f>
        <v>-429</v>
      </c>
      <c r="JD16" s="33">
        <f t="shared" si="306"/>
        <v>-440</v>
      </c>
      <c r="JE16" s="33">
        <f t="shared" si="306"/>
        <v>-451</v>
      </c>
      <c r="JF16" s="33">
        <f t="shared" si="306"/>
        <v>-418</v>
      </c>
      <c r="JI16" s="33">
        <f>JI13*0.22</f>
        <v>-396</v>
      </c>
      <c r="JJ16" s="33">
        <f t="shared" ref="JJ16:JM16" si="307">JJ13*0.22</f>
        <v>-407</v>
      </c>
      <c r="JK16" s="33">
        <f t="shared" si="307"/>
        <v>-407</v>
      </c>
      <c r="JL16" s="33">
        <f t="shared" si="307"/>
        <v>-352</v>
      </c>
      <c r="JM16" s="33">
        <f t="shared" si="307"/>
        <v>-352</v>
      </c>
      <c r="JP16" s="33">
        <f>JP13*0.22</f>
        <v>-352</v>
      </c>
      <c r="JQ16" s="33">
        <f t="shared" ref="JQ16:JT16" si="308">JQ13*0.22</f>
        <v>-367.4</v>
      </c>
      <c r="JR16" s="33">
        <f t="shared" si="308"/>
        <v>-367.4</v>
      </c>
      <c r="JS16" s="33">
        <f t="shared" si="308"/>
        <v>-363</v>
      </c>
      <c r="JT16" s="33">
        <f t="shared" si="308"/>
        <v>-352</v>
      </c>
      <c r="JW16" s="33">
        <f>JW13*0.22</f>
        <v>-336.6</v>
      </c>
      <c r="JX16" s="33">
        <f t="shared" ref="JX16:KA16" si="309">JX13*0.22</f>
        <v>-319</v>
      </c>
      <c r="JY16" s="33">
        <f t="shared" si="309"/>
        <v>-308</v>
      </c>
      <c r="JZ16" s="33">
        <v>-308</v>
      </c>
      <c r="KA16" s="33">
        <f t="shared" si="309"/>
        <v>-308</v>
      </c>
      <c r="KD16" s="33">
        <f>KD13*0.22</f>
        <v>-312.39999999999998</v>
      </c>
      <c r="KE16" s="33">
        <f t="shared" ref="KE16:KG16" si="310">KE13*0.22</f>
        <v>-308</v>
      </c>
      <c r="KF16" s="33">
        <f t="shared" si="310"/>
        <v>-308</v>
      </c>
      <c r="KG16" s="33">
        <f t="shared" si="310"/>
        <v>-301.39999999999998</v>
      </c>
      <c r="KH16" s="33">
        <f t="shared" ref="KH16" si="311">KH13*0.22</f>
        <v>-308</v>
      </c>
      <c r="KK16" s="33">
        <f>KK13*0.22</f>
        <v>-275</v>
      </c>
      <c r="KL16" s="33">
        <f t="shared" ref="KL16:KO16" si="312">KL13*0.22</f>
        <v>-253</v>
      </c>
      <c r="KM16" s="33">
        <f t="shared" si="312"/>
        <v>-268.39999999999998</v>
      </c>
      <c r="KN16" s="33">
        <f t="shared" si="312"/>
        <v>-264</v>
      </c>
      <c r="KO16" s="33">
        <f t="shared" si="312"/>
        <v>-264</v>
      </c>
      <c r="KR16" s="33">
        <f>KR13*0.22</f>
        <v>-264</v>
      </c>
      <c r="KS16" s="33">
        <f t="shared" ref="KS16:KV16" si="313">KS13*0.22</f>
        <v>-231</v>
      </c>
      <c r="KT16" s="33">
        <f t="shared" si="313"/>
        <v>-209</v>
      </c>
      <c r="KU16" s="33">
        <f t="shared" si="313"/>
        <v>-209</v>
      </c>
      <c r="KV16" s="33">
        <f t="shared" si="313"/>
        <v>-187</v>
      </c>
      <c r="KY16" s="33">
        <f>KY13*0.22</f>
        <v>-187</v>
      </c>
      <c r="KZ16" s="33">
        <f t="shared" ref="KZ16:LC16" si="314">KZ13*0.22</f>
        <v>-154</v>
      </c>
      <c r="LA16" s="33">
        <f t="shared" si="314"/>
        <v>-132</v>
      </c>
      <c r="LB16" s="33">
        <f t="shared" si="314"/>
        <v>-154</v>
      </c>
      <c r="LC16" s="33">
        <f t="shared" si="314"/>
        <v>-154</v>
      </c>
      <c r="LF16" s="33">
        <f>LF13*0.22</f>
        <v>-121</v>
      </c>
      <c r="LG16" s="33">
        <f t="shared" ref="LG16:LJ16" si="315">LG13*0.22</f>
        <v>-143</v>
      </c>
      <c r="LH16" s="33">
        <f t="shared" si="315"/>
        <v>-143</v>
      </c>
      <c r="LI16" s="33">
        <f t="shared" si="315"/>
        <v>-132</v>
      </c>
      <c r="LJ16" s="33">
        <f t="shared" si="315"/>
        <v>-143</v>
      </c>
      <c r="LM16" s="33">
        <f>LM13*0.22</f>
        <v>-143</v>
      </c>
      <c r="LN16" s="33">
        <f t="shared" ref="LN16:LQ16" si="316">LN13*0.22</f>
        <v>-143</v>
      </c>
      <c r="LO16" s="33">
        <f t="shared" si="316"/>
        <v>-143</v>
      </c>
      <c r="LP16" s="33">
        <f t="shared" si="316"/>
        <v>-143</v>
      </c>
      <c r="LQ16" s="33">
        <f t="shared" si="316"/>
        <v>-143</v>
      </c>
      <c r="LT16" s="33">
        <f>LT13*0.22</f>
        <v>-143</v>
      </c>
      <c r="LU16" s="33">
        <f t="shared" ref="LU16:LX16" si="317">LU13*0.22</f>
        <v>-176</v>
      </c>
      <c r="LV16" s="33">
        <f t="shared" si="317"/>
        <v>-176</v>
      </c>
      <c r="LW16" s="33">
        <f t="shared" si="317"/>
        <v>-187</v>
      </c>
      <c r="LX16" s="33">
        <f t="shared" si="317"/>
        <v>-180.4</v>
      </c>
      <c r="MA16" s="33">
        <f>MA13*0.22</f>
        <v>-180.4</v>
      </c>
      <c r="MB16" s="33">
        <f t="shared" ref="MB16:ME16" si="318">MB13*0.22</f>
        <v>-209</v>
      </c>
      <c r="MC16" s="33">
        <f t="shared" si="318"/>
        <v>-242</v>
      </c>
      <c r="MD16" s="33">
        <f t="shared" si="318"/>
        <v>-242</v>
      </c>
      <c r="ME16" s="33">
        <f t="shared" si="318"/>
        <v>-242</v>
      </c>
      <c r="MH16" s="33">
        <f>MH13*0.22</f>
        <v>-242</v>
      </c>
      <c r="MI16" s="33">
        <f t="shared" ref="MI16:ML16" si="319">MI13*0.22</f>
        <v>-180.4</v>
      </c>
      <c r="MJ16" s="33">
        <f t="shared" si="319"/>
        <v>-198</v>
      </c>
      <c r="MK16" s="33">
        <f t="shared" si="319"/>
        <v>-198</v>
      </c>
      <c r="ML16" s="33">
        <f t="shared" si="319"/>
        <v>-198</v>
      </c>
      <c r="MO16" s="33">
        <f>MO13*0.22</f>
        <v>-176</v>
      </c>
      <c r="MP16" s="33">
        <f t="shared" ref="MP16:MS16" si="320">MP13*0.22</f>
        <v>-176</v>
      </c>
      <c r="MQ16" s="33">
        <f t="shared" si="320"/>
        <v>-231</v>
      </c>
      <c r="MR16" s="33">
        <f t="shared" si="320"/>
        <v>-198</v>
      </c>
      <c r="MS16" s="33">
        <f t="shared" si="320"/>
        <v>-231</v>
      </c>
      <c r="MV16" s="33">
        <f>MV13*0.22</f>
        <v>-231</v>
      </c>
      <c r="MW16" s="33">
        <f t="shared" ref="MW16:MZ16" si="321">MW13*0.22</f>
        <v>-198</v>
      </c>
      <c r="MX16" s="33">
        <f t="shared" si="321"/>
        <v>-198</v>
      </c>
      <c r="MY16" s="33">
        <f t="shared" si="321"/>
        <v>-220</v>
      </c>
      <c r="MZ16" s="33">
        <f t="shared" si="321"/>
        <v>-220</v>
      </c>
    </row>
    <row r="17" spans="1:378" s="51" customFormat="1" x14ac:dyDescent="0.25">
      <c r="A17" s="17" t="s">
        <v>83</v>
      </c>
      <c r="C17" s="51">
        <v>-900</v>
      </c>
      <c r="D17" s="51">
        <v>-900</v>
      </c>
      <c r="E17" s="51">
        <v>-900</v>
      </c>
      <c r="F17" s="51">
        <v>-950</v>
      </c>
      <c r="G17" s="51">
        <v>-950</v>
      </c>
      <c r="J17" s="51">
        <v>-980</v>
      </c>
      <c r="K17" s="51">
        <v>-950</v>
      </c>
      <c r="L17" s="51">
        <v>-950</v>
      </c>
      <c r="M17" s="51">
        <v>-950</v>
      </c>
      <c r="N17" s="51">
        <v>-1000</v>
      </c>
      <c r="Q17" s="51">
        <v>-920</v>
      </c>
      <c r="R17" s="51">
        <v>-950</v>
      </c>
      <c r="S17" s="51">
        <v>-1050</v>
      </c>
      <c r="T17" s="51">
        <v>-970</v>
      </c>
      <c r="U17" s="51">
        <v>-940</v>
      </c>
      <c r="X17" s="51">
        <v>-980</v>
      </c>
      <c r="Y17" s="51">
        <v>-950</v>
      </c>
      <c r="Z17" s="51">
        <v>-950</v>
      </c>
      <c r="AA17" s="51">
        <v>-900</v>
      </c>
      <c r="AB17" s="51">
        <v>-850</v>
      </c>
      <c r="AE17" s="51">
        <v>-900</v>
      </c>
      <c r="AF17" s="51">
        <v>-900</v>
      </c>
      <c r="AG17" s="51">
        <v>-900</v>
      </c>
      <c r="AH17" s="51">
        <v>-750</v>
      </c>
      <c r="AI17" s="51">
        <v>-700</v>
      </c>
      <c r="AL17" s="51">
        <v>-550</v>
      </c>
      <c r="AM17" s="51">
        <v>-550</v>
      </c>
      <c r="AN17" s="51">
        <v>-500</v>
      </c>
      <c r="AO17" s="51">
        <v>-700</v>
      </c>
      <c r="AP17" s="51">
        <v>-820</v>
      </c>
      <c r="AS17" s="51">
        <v>-850</v>
      </c>
      <c r="AT17" s="51">
        <v>-900</v>
      </c>
      <c r="AU17" s="51">
        <v>-900</v>
      </c>
      <c r="AV17" s="51">
        <v>-900</v>
      </c>
      <c r="AW17" s="51">
        <v>-1100</v>
      </c>
      <c r="AZ17" s="51">
        <v>-1100</v>
      </c>
      <c r="BA17" s="51">
        <v>-1100</v>
      </c>
      <c r="BB17" s="51">
        <v>-1100</v>
      </c>
      <c r="BC17" s="51">
        <v>-1050</v>
      </c>
      <c r="BD17" s="51">
        <v>-950</v>
      </c>
      <c r="BG17" s="51">
        <v>-1050</v>
      </c>
      <c r="BH17" s="51">
        <v>-1020</v>
      </c>
      <c r="BI17" s="51">
        <v>-1000</v>
      </c>
      <c r="BJ17" s="51">
        <v>-1000</v>
      </c>
      <c r="BK17" s="51">
        <v>-1040</v>
      </c>
      <c r="BN17" s="51">
        <v>-1040</v>
      </c>
      <c r="BO17" s="51">
        <v>-970</v>
      </c>
      <c r="BP17" s="51">
        <v>-970</v>
      </c>
      <c r="BQ17" s="51">
        <v>-950</v>
      </c>
      <c r="BR17" s="51">
        <v>-1000</v>
      </c>
      <c r="BU17" s="51">
        <v>-950</v>
      </c>
      <c r="BV17" s="51">
        <v>-950</v>
      </c>
      <c r="BW17" s="51">
        <v>-1000</v>
      </c>
      <c r="BX17" s="51">
        <v>-940</v>
      </c>
      <c r="BY17" s="51">
        <v>-850</v>
      </c>
      <c r="CB17" s="51">
        <v>-850</v>
      </c>
      <c r="CC17" s="51">
        <v>-950</v>
      </c>
      <c r="CD17" s="51">
        <v>-1000</v>
      </c>
      <c r="CE17" s="51">
        <v>-900</v>
      </c>
      <c r="CF17" s="51">
        <v>-1000</v>
      </c>
      <c r="CI17" s="51">
        <v>-950</v>
      </c>
      <c r="CJ17" s="51">
        <v>-1020</v>
      </c>
      <c r="CK17" s="51">
        <v>-1000</v>
      </c>
      <c r="CL17" s="51">
        <v>-950</v>
      </c>
      <c r="CM17" s="51">
        <v>-950</v>
      </c>
      <c r="CP17" s="51">
        <v>-1000</v>
      </c>
      <c r="CQ17" s="51">
        <v>-1000</v>
      </c>
      <c r="CR17" s="51">
        <v>-1000</v>
      </c>
      <c r="CS17" s="51">
        <v>-1100</v>
      </c>
      <c r="CT17" s="51">
        <v>-1100</v>
      </c>
      <c r="CW17" s="51">
        <v>-1100</v>
      </c>
      <c r="CX17" s="51">
        <v>-1150</v>
      </c>
      <c r="CY17" s="51">
        <v>-1150</v>
      </c>
      <c r="CZ17" s="51">
        <v>-1150</v>
      </c>
      <c r="DA17" s="51">
        <v>-1100</v>
      </c>
      <c r="DD17" s="51">
        <v>-1100</v>
      </c>
      <c r="DE17" s="51">
        <v>-1150</v>
      </c>
      <c r="DF17" s="51">
        <v>-1250</v>
      </c>
      <c r="DG17" s="51">
        <v>-1230</v>
      </c>
      <c r="DH17" s="51">
        <v>-1230</v>
      </c>
      <c r="DK17" s="51">
        <v>-1190</v>
      </c>
      <c r="DL17" s="51">
        <v>-1190</v>
      </c>
      <c r="DM17" s="51">
        <v>-1190</v>
      </c>
      <c r="DN17" s="51">
        <v>-1190</v>
      </c>
      <c r="DO17" s="51">
        <v>-1120</v>
      </c>
      <c r="DR17" s="51">
        <v>-1120</v>
      </c>
      <c r="DS17" s="51">
        <v>-1100</v>
      </c>
      <c r="DT17" s="51">
        <v>-1050</v>
      </c>
      <c r="DU17" s="51">
        <v>-1050</v>
      </c>
      <c r="DV17" s="51">
        <v>-1090</v>
      </c>
      <c r="DY17" s="51">
        <v>-1150</v>
      </c>
      <c r="DZ17" s="51">
        <v>-1150</v>
      </c>
      <c r="EA17" s="51">
        <v>-950</v>
      </c>
      <c r="EB17" s="51">
        <v>-900</v>
      </c>
      <c r="EC17" s="51">
        <v>-850</v>
      </c>
      <c r="EF17" s="51">
        <v>-750</v>
      </c>
      <c r="EG17" s="51">
        <v>-670</v>
      </c>
      <c r="EH17" s="51">
        <v>-600</v>
      </c>
      <c r="EI17" s="51">
        <v>-750</v>
      </c>
      <c r="EJ17" s="51">
        <v>-770</v>
      </c>
      <c r="EM17" s="51">
        <v>-800</v>
      </c>
      <c r="EN17" s="51">
        <v>-800</v>
      </c>
      <c r="EO17" s="51">
        <v>-780</v>
      </c>
      <c r="EP17" s="51">
        <v>-900</v>
      </c>
      <c r="EQ17" s="51">
        <v>-900</v>
      </c>
      <c r="ET17" s="51">
        <v>-900</v>
      </c>
      <c r="EU17" s="51">
        <v>-830</v>
      </c>
      <c r="EV17" s="51">
        <v>-820</v>
      </c>
      <c r="EW17" s="51">
        <v>-900</v>
      </c>
      <c r="EX17" s="51">
        <v>-920</v>
      </c>
      <c r="FA17" s="51">
        <v>-950</v>
      </c>
      <c r="FB17" s="51">
        <v>-1150</v>
      </c>
      <c r="FC17" s="51">
        <v>-1150</v>
      </c>
      <c r="FD17" s="51">
        <v>-1150</v>
      </c>
      <c r="FE17" s="51">
        <v>-1200</v>
      </c>
      <c r="FH17" s="51">
        <v>-1200</v>
      </c>
      <c r="FI17" s="51">
        <v>-1300</v>
      </c>
      <c r="FJ17" s="51">
        <v>-1350</v>
      </c>
      <c r="FK17" s="51">
        <v>-1450</v>
      </c>
      <c r="FL17" s="51">
        <v>-1450</v>
      </c>
      <c r="FO17" s="51">
        <v>-1440</v>
      </c>
      <c r="FP17" s="51">
        <v>-1500</v>
      </c>
      <c r="FQ17" s="51">
        <v>-1350</v>
      </c>
      <c r="FR17" s="51">
        <v>-1250</v>
      </c>
      <c r="FS17" s="51">
        <v>-1350</v>
      </c>
      <c r="FV17" s="51">
        <v>-1600</v>
      </c>
      <c r="FW17" s="51">
        <v>-1650</v>
      </c>
      <c r="FX17" s="51">
        <v>-1630</v>
      </c>
      <c r="FY17" s="51">
        <v>-1600</v>
      </c>
      <c r="FZ17" s="51">
        <v>-2100</v>
      </c>
      <c r="GC17" s="51">
        <v>-2150</v>
      </c>
      <c r="GD17" s="51">
        <v>-2150</v>
      </c>
      <c r="GE17" s="51">
        <v>-2300</v>
      </c>
      <c r="GF17" s="51">
        <v>-2300</v>
      </c>
      <c r="GG17" s="51">
        <v>-2300</v>
      </c>
      <c r="GJ17" s="51">
        <v>-2400</v>
      </c>
      <c r="GK17" s="51">
        <v>-2400</v>
      </c>
      <c r="GL17" s="51">
        <v>-2400</v>
      </c>
      <c r="GM17" s="51">
        <v>-2500</v>
      </c>
      <c r="GN17" s="51">
        <v>-2400</v>
      </c>
      <c r="GQ17" s="51">
        <v>-2500</v>
      </c>
      <c r="GR17" s="51">
        <v>-2200</v>
      </c>
      <c r="GS17" s="51">
        <v>-2250</v>
      </c>
      <c r="GT17" s="51">
        <v>-2350</v>
      </c>
      <c r="GU17" s="51">
        <v>-2450</v>
      </c>
      <c r="GX17" s="51">
        <v>-2550</v>
      </c>
      <c r="GY17" s="51">
        <v>-2550</v>
      </c>
      <c r="GZ17" s="51">
        <v>-2300</v>
      </c>
      <c r="HA17" s="51">
        <v>-2200</v>
      </c>
      <c r="HB17" s="51">
        <v>-2200</v>
      </c>
      <c r="HE17" s="51">
        <v>-2000</v>
      </c>
      <c r="HF17" s="51">
        <v>-2000</v>
      </c>
      <c r="HG17" s="51">
        <v>-2050</v>
      </c>
      <c r="HH17" s="51">
        <v>-2150</v>
      </c>
      <c r="HI17" s="51">
        <v>-2200</v>
      </c>
      <c r="HL17" s="51">
        <v>-2200</v>
      </c>
      <c r="HM17" s="51">
        <v>-2300</v>
      </c>
      <c r="HN17" s="51">
        <v>-2300</v>
      </c>
      <c r="HO17" s="51">
        <v>-2350</v>
      </c>
      <c r="HP17" s="51">
        <v>-2230</v>
      </c>
      <c r="HS17" s="51">
        <v>-2200</v>
      </c>
      <c r="HT17" s="51">
        <v>-2300</v>
      </c>
      <c r="HU17" s="51">
        <v>-2550</v>
      </c>
      <c r="HV17" s="51">
        <v>-2500</v>
      </c>
      <c r="HW17" s="51">
        <v>-2500</v>
      </c>
      <c r="HZ17" s="51">
        <v>-2500</v>
      </c>
      <c r="IA17" s="51">
        <v>-2450</v>
      </c>
      <c r="IB17" s="51">
        <v>-2450</v>
      </c>
      <c r="IC17" s="51">
        <v>-2190</v>
      </c>
      <c r="ID17" s="51">
        <v>-2300</v>
      </c>
      <c r="IG17" s="51">
        <v>-2300</v>
      </c>
      <c r="IH17" s="51">
        <v>-2300</v>
      </c>
      <c r="II17" s="51">
        <v>-2300</v>
      </c>
      <c r="IJ17" s="51">
        <v>-2200</v>
      </c>
      <c r="IK17" s="51">
        <v>-2300</v>
      </c>
      <c r="IN17" s="51">
        <v>-2300</v>
      </c>
      <c r="IO17" s="51">
        <v>-2450</v>
      </c>
      <c r="IP17" s="51">
        <v>-2450</v>
      </c>
      <c r="IQ17" s="51">
        <v>-2450</v>
      </c>
      <c r="IR17" s="51">
        <v>-2250</v>
      </c>
      <c r="IU17" s="51">
        <v>-2250</v>
      </c>
      <c r="IV17" s="51">
        <v>-2150</v>
      </c>
      <c r="IW17" s="51">
        <v>-2150</v>
      </c>
      <c r="IX17" s="51">
        <v>-2150</v>
      </c>
      <c r="IY17" s="51">
        <v>-2050</v>
      </c>
      <c r="JB17" s="51">
        <v>-1950</v>
      </c>
      <c r="JC17" s="51">
        <v>-1950</v>
      </c>
      <c r="JD17" s="51">
        <v>-2000</v>
      </c>
      <c r="JE17" s="51">
        <v>-2050</v>
      </c>
      <c r="JF17" s="51">
        <v>-1900</v>
      </c>
      <c r="JI17" s="51">
        <v>-1800</v>
      </c>
      <c r="JJ17" s="51">
        <v>-1850</v>
      </c>
      <c r="JK17" s="51">
        <v>-1850</v>
      </c>
      <c r="JL17" s="51">
        <v>-1600</v>
      </c>
      <c r="JM17" s="51">
        <v>-1600</v>
      </c>
      <c r="JP17" s="51">
        <v>-1600</v>
      </c>
      <c r="JQ17" s="51">
        <v>-1670</v>
      </c>
      <c r="JR17" s="51">
        <v>-1670</v>
      </c>
      <c r="JS17" s="51">
        <v>-1650</v>
      </c>
      <c r="JT17" s="51">
        <v>-1600</v>
      </c>
      <c r="JW17" s="51">
        <v>-1530</v>
      </c>
      <c r="JX17" s="51">
        <v>-1450</v>
      </c>
      <c r="JY17" s="51">
        <v>-1400</v>
      </c>
      <c r="JZ17" s="51">
        <v>-1400</v>
      </c>
      <c r="KA17" s="51">
        <v>-1400</v>
      </c>
      <c r="KD17" s="51">
        <v>-1420</v>
      </c>
      <c r="KE17" s="51">
        <v>-1400</v>
      </c>
      <c r="KF17" s="51">
        <v>-1400</v>
      </c>
      <c r="KG17" s="51">
        <v>-1370</v>
      </c>
      <c r="KH17" s="51">
        <v>-1400</v>
      </c>
      <c r="KK17" s="51">
        <v>-1250</v>
      </c>
      <c r="KL17" s="51">
        <v>-1150</v>
      </c>
      <c r="KM17" s="51">
        <v>-1220</v>
      </c>
      <c r="KN17" s="51">
        <v>-1200</v>
      </c>
      <c r="KO17" s="51">
        <v>-1200</v>
      </c>
      <c r="KR17" s="51">
        <v>-1200</v>
      </c>
      <c r="KS17" s="51">
        <v>-1050</v>
      </c>
      <c r="KT17" s="51">
        <v>-950</v>
      </c>
      <c r="KU17" s="51">
        <v>-950</v>
      </c>
      <c r="KV17" s="51">
        <v>-850</v>
      </c>
      <c r="KY17" s="51">
        <v>-850</v>
      </c>
      <c r="KZ17" s="51">
        <v>-700</v>
      </c>
      <c r="LA17" s="51">
        <v>-600</v>
      </c>
      <c r="LB17" s="51">
        <v>-700</v>
      </c>
      <c r="LC17" s="51">
        <v>-700</v>
      </c>
      <c r="LF17" s="51">
        <v>-550</v>
      </c>
      <c r="LG17" s="51">
        <v>-650</v>
      </c>
      <c r="LH17" s="51">
        <v>-650</v>
      </c>
      <c r="LI17" s="51">
        <v>-600</v>
      </c>
      <c r="LJ17" s="51">
        <v>-650</v>
      </c>
      <c r="LM17" s="51">
        <v>-650</v>
      </c>
      <c r="LN17" s="51">
        <v>-650</v>
      </c>
      <c r="LO17" s="51">
        <v>-650</v>
      </c>
      <c r="LP17" s="51">
        <v>-650</v>
      </c>
      <c r="LQ17" s="51">
        <v>-650</v>
      </c>
      <c r="LT17" s="51">
        <v>-650</v>
      </c>
      <c r="LU17" s="51">
        <v>-800</v>
      </c>
      <c r="LV17" s="51">
        <v>-800</v>
      </c>
      <c r="LW17" s="51">
        <v>-850</v>
      </c>
      <c r="LX17" s="51">
        <v>-820</v>
      </c>
      <c r="MA17" s="51">
        <v>-820</v>
      </c>
      <c r="MB17" s="51">
        <v>-950</v>
      </c>
      <c r="MC17" s="51">
        <v>-1100</v>
      </c>
      <c r="MD17" s="51">
        <v>-1100</v>
      </c>
      <c r="ME17" s="51">
        <v>-1100</v>
      </c>
      <c r="MH17" s="51">
        <v>-1100</v>
      </c>
      <c r="MI17" s="51">
        <v>-820</v>
      </c>
      <c r="MJ17" s="51">
        <v>-900</v>
      </c>
      <c r="MK17" s="51">
        <v>-900</v>
      </c>
      <c r="ML17" s="51">
        <v>-900</v>
      </c>
      <c r="MO17" s="51">
        <v>-800</v>
      </c>
      <c r="MP17" s="51">
        <v>-800</v>
      </c>
      <c r="MQ17" s="51">
        <v>-1050</v>
      </c>
      <c r="MR17" s="51">
        <v>-900</v>
      </c>
      <c r="MS17" s="51">
        <v>-1050</v>
      </c>
      <c r="MV17" s="51">
        <v>-1050</v>
      </c>
      <c r="MW17" s="51">
        <v>-900</v>
      </c>
      <c r="MX17" s="51">
        <v>-900</v>
      </c>
      <c r="MY17" s="51">
        <v>-1000</v>
      </c>
      <c r="MZ17" s="51">
        <v>-1000</v>
      </c>
    </row>
    <row r="18" spans="1:378" s="52" customFormat="1" x14ac:dyDescent="0.25">
      <c r="A18" t="s">
        <v>84</v>
      </c>
      <c r="C18" s="52">
        <f>(C10+C17)*0.220462</f>
        <v>1208.352222</v>
      </c>
      <c r="D18" s="52">
        <f>(D10+D17)*0.220462</f>
        <v>1194.0221919999999</v>
      </c>
      <c r="E18" s="52">
        <f>(E10+E17)*0.220462</f>
        <v>1192.9198819999999</v>
      </c>
      <c r="F18" s="52">
        <f>(F10+F17)*0.220462</f>
        <v>1178.1489279999998</v>
      </c>
      <c r="G18" s="52">
        <f>(G10+G17)*0.220462</f>
        <v>1195.5654259999999</v>
      </c>
      <c r="J18" s="52">
        <f>(J10+J17)*0.220462</f>
        <v>1192.9198819999999</v>
      </c>
      <c r="K18" s="52">
        <f>(K10+K17)*0.220462</f>
        <v>1182.337706</v>
      </c>
      <c r="L18" s="52">
        <f>(L10+L17)*0.220462</f>
        <v>1166.023518</v>
      </c>
      <c r="M18" s="52">
        <f>(M10+M17)*0.220462</f>
        <v>1184.98325</v>
      </c>
      <c r="N18" s="52">
        <f>(N10+N17)*0.220462</f>
        <v>1173.9601499999999</v>
      </c>
      <c r="Q18" s="52">
        <f>(Q10+Q17)*0.220462</f>
        <v>1191.5971099999999</v>
      </c>
      <c r="R18" s="52">
        <f>(R10+R17)*0.220462</f>
        <v>1197.9905079999999</v>
      </c>
      <c r="S18" s="52">
        <f>(S10+S17)*0.220462</f>
        <v>1182.117244</v>
      </c>
      <c r="T18" s="52">
        <f>(T10+T17)*0.220462</f>
        <v>1178.3693900000001</v>
      </c>
      <c r="U18" s="52">
        <f>(U10+U17)*0.220462</f>
        <v>1158.968734</v>
      </c>
      <c r="X18" s="52">
        <f>(X10+X17)*0.220462</f>
        <v>1151.6934879999999</v>
      </c>
      <c r="Y18" s="52">
        <f>(Y10+Y17)*0.220462</f>
        <v>1134.9383760000001</v>
      </c>
      <c r="Z18" s="52">
        <f>(Z10+Z17)*0.220462</f>
        <v>1125.2380479999999</v>
      </c>
      <c r="AA18" s="52">
        <f>(AA10+AA17)*0.220462</f>
        <v>1141.772698</v>
      </c>
      <c r="AB18" s="52">
        <f>(AB10+AB17)*0.220462</f>
        <v>1149.0479439999999</v>
      </c>
      <c r="AE18" s="52">
        <f>(AE10+AE17)*0.220462</f>
        <v>1153.4571839999999</v>
      </c>
      <c r="AF18" s="52">
        <f>(AF10+AF17)*0.220462</f>
        <v>1175.7238459999999</v>
      </c>
      <c r="AG18" s="52">
        <f>(AG10+AG17)*0.220462</f>
        <v>1141.772698</v>
      </c>
      <c r="AH18" s="52">
        <f>(AH10+AH17)*0.220462</f>
        <v>1178.1489279999998</v>
      </c>
      <c r="AI18" s="52">
        <f>(AI10+AI17)*0.220462</f>
        <v>1147.2842479999999</v>
      </c>
      <c r="AL18" s="52">
        <f>(AL10+AL17)*0.220462</f>
        <v>1186.306022</v>
      </c>
      <c r="AM18" s="52">
        <f>(AM10+AM17)*0.220462</f>
        <v>1221.1390179999999</v>
      </c>
      <c r="AN18" s="52">
        <f>(AN10+AN17)*0.220462</f>
        <v>1225.327796</v>
      </c>
      <c r="AO18" s="52">
        <f>(AO10+AO17)*0.220462</f>
        <v>1147.2842479999999</v>
      </c>
      <c r="AP18" s="52">
        <f>(AP10+AP17)*0.220462</f>
        <v>1153.8981079999999</v>
      </c>
      <c r="AS18" s="52">
        <f>(AS10+AS17)*0.220462</f>
        <v>1138.465768</v>
      </c>
      <c r="AT18" s="52">
        <f>(AT10+AT17)*0.220462</f>
        <v>1133.1746799999999</v>
      </c>
      <c r="AU18" s="52">
        <f>(AU10+AU17)*0.220462</f>
        <v>1151.6934879999999</v>
      </c>
      <c r="AV18" s="52">
        <f>(AV10+AV17)*0.220462</f>
        <v>1166.24398</v>
      </c>
      <c r="AW18" s="52">
        <f>(AW10+AW17)*0.220462</f>
        <v>1113.3331000000001</v>
      </c>
      <c r="AZ18" s="52">
        <f>(AZ10+AZ17)*0.220462</f>
        <v>1113.5535620000001</v>
      </c>
      <c r="BA18" s="52">
        <f>(BA10+BA17)*0.220462</f>
        <v>1113.5535620000001</v>
      </c>
      <c r="BB18" s="52">
        <f>(BB10+BB17)*0.220462</f>
        <v>1142.654546</v>
      </c>
      <c r="BC18" s="52">
        <f>(BC10+BC17)*0.220462</f>
        <v>1136.261148</v>
      </c>
      <c r="BD18" s="52">
        <f>(BD10+BD17)*0.220462</f>
        <v>1137.804382</v>
      </c>
      <c r="BG18" s="52">
        <f>(BG10+BG17)*0.220462</f>
        <v>1092.1687480000001</v>
      </c>
      <c r="BH18" s="52">
        <f>(BH10+BH17)*0.220462</f>
        <v>1092.38921</v>
      </c>
      <c r="BI18" s="52">
        <f>(BI10+BI17)*0.220462</f>
        <v>1114.214948</v>
      </c>
      <c r="BJ18" s="52">
        <f>(BJ10+BJ17)*0.220462</f>
        <v>1132.9542179999999</v>
      </c>
      <c r="BK18" s="52">
        <f>(BK10+BK17)*0.220462</f>
        <v>1106.9397019999999</v>
      </c>
      <c r="BN18" s="52">
        <f>(BN10+BN17)*0.220462</f>
        <v>1090.8459760000001</v>
      </c>
      <c r="BO18" s="52">
        <f>(BO10+BO17)*0.220462</f>
        <v>1068.3588520000001</v>
      </c>
      <c r="BP18" s="52">
        <f>(BP10+BP17)*0.220462</f>
        <v>1075.634098</v>
      </c>
      <c r="BQ18" s="52">
        <f>(BQ10+BQ17)*0.220462</f>
        <v>1037.7146339999999</v>
      </c>
      <c r="BR18" s="52">
        <f>(BR10+BR17)*0.220462</f>
        <v>1016.3298199999999</v>
      </c>
      <c r="BU18" s="52">
        <f>(BU10+BU17)*0.220462</f>
        <v>1010.597808</v>
      </c>
      <c r="BV18" s="52">
        <f>(BV10+BV17)*0.220462</f>
        <v>1021.620908</v>
      </c>
      <c r="BW18" s="52">
        <f>(BW10+BW17)*0.220462</f>
        <v>1021.620908</v>
      </c>
      <c r="BX18" s="52">
        <f>(BX10+BX17)*0.220462</f>
        <v>1065.4928459999999</v>
      </c>
      <c r="BY18" s="52">
        <f>(BY10+BY17)*0.220462</f>
        <v>1079.381952</v>
      </c>
      <c r="CB18" s="52">
        <f>(CB10+CB17)*0.220462</f>
        <v>1091.0664380000001</v>
      </c>
      <c r="CC18" s="52">
        <f>(CC10+CC17)*0.220462</f>
        <v>1030.439388</v>
      </c>
      <c r="CD18" s="52">
        <f>(CD10+CD17)*0.220462</f>
        <v>984.14236799999992</v>
      </c>
      <c r="CE18" s="52">
        <f>(CE10+CE17)*0.220462</f>
        <v>951.73445399999991</v>
      </c>
      <c r="CF18" s="52">
        <f>(CF10+CF17)*0.220462</f>
        <v>953.93907400000001</v>
      </c>
      <c r="CI18" s="52">
        <f>(CI10+CI17)*0.220462</f>
        <v>993.18130999999994</v>
      </c>
      <c r="CJ18" s="52">
        <f>(CJ10+CJ17)*0.220462</f>
        <v>988.77206999999999</v>
      </c>
      <c r="CK18" s="52">
        <f>(CK10+CK17)*0.220462</f>
        <v>1000.456556</v>
      </c>
      <c r="CL18" s="52">
        <f>(CL10+CL17)*0.220462</f>
        <v>989.21299399999998</v>
      </c>
      <c r="CM18" s="52">
        <f>(CM10+CM17)*0.220462</f>
        <v>1013.904738</v>
      </c>
      <c r="CP18" s="52">
        <f>(CP10+CP17)*0.220462</f>
        <v>1029.116616</v>
      </c>
      <c r="CQ18" s="52">
        <f>(CQ10+CQ17)*0.220462</f>
        <v>1008.393188</v>
      </c>
      <c r="CR18" s="52">
        <f>(CR10+CR17)*0.220462</f>
        <v>996.92916400000001</v>
      </c>
      <c r="CS18" s="52">
        <f>(CS10+CS17)*0.220462</f>
        <v>959.67108599999995</v>
      </c>
      <c r="CT18" s="52">
        <f>(CT10+CT17)*0.220462</f>
        <v>959.67108599999995</v>
      </c>
      <c r="CW18" s="52">
        <f>(CW10+CW17)*0.220462</f>
        <v>958.56877599999996</v>
      </c>
      <c r="CX18" s="52">
        <f>(CX10+CX17)*0.220462</f>
        <v>956.58461799999998</v>
      </c>
      <c r="CY18" s="52">
        <f>(CY10+CY17)*0.220462</f>
        <v>936.96349999999995</v>
      </c>
      <c r="CZ18" s="52">
        <f>(CZ10+CZ17)*0.220462</f>
        <v>930.79056400000002</v>
      </c>
      <c r="DA18" s="52">
        <f>(DA10+DA17)*0.220462</f>
        <v>940.49089199999992</v>
      </c>
      <c r="DD18" s="52">
        <f>(DD10+DD17)*0.220462</f>
        <v>960.55293399999994</v>
      </c>
      <c r="DE18" s="52">
        <f>(DE10+DE17)*0.220462</f>
        <v>966.94633199999998</v>
      </c>
      <c r="DF18" s="52">
        <f>(DF10+DF17)*0.220462</f>
        <v>937.40442399999995</v>
      </c>
      <c r="DG18" s="52">
        <f>(DG10+DG17)*0.220462</f>
        <v>928.80640599999992</v>
      </c>
      <c r="DH18" s="52">
        <f>(DH10+DH17)*0.220462</f>
        <v>928.80640599999992</v>
      </c>
      <c r="DK18" s="52">
        <f>(DK10+DK17)*0.220462</f>
        <v>896.39849199999992</v>
      </c>
      <c r="DL18" s="52">
        <f>(DL10+DL17)*0.220462</f>
        <v>877.659222</v>
      </c>
      <c r="DM18" s="52">
        <f>(DM10+DM17)*0.220462</f>
        <v>885.81631599999992</v>
      </c>
      <c r="DN18" s="52">
        <f>(DN10+DN17)*0.220462</f>
        <v>857.15625599999998</v>
      </c>
      <c r="DO18" s="52">
        <f>(DO10+DO17)*0.220462</f>
        <v>890.88694199999998</v>
      </c>
      <c r="DR18" s="52">
        <f>(DR10+DR17)*0.220462</f>
        <v>890.88694199999998</v>
      </c>
      <c r="DS18" s="52">
        <f>(DS10+DS17)*0.220462</f>
        <v>890.44601799999998</v>
      </c>
      <c r="DT18" s="52">
        <f>(DT10+DT17)*0.220462</f>
        <v>923.07439399999998</v>
      </c>
      <c r="DU18" s="52">
        <f>(DU10+DU17)*0.220462</f>
        <v>920.86977400000001</v>
      </c>
      <c r="DV18" s="52">
        <f>(DV10+DV17)*0.220462</f>
        <v>952.17537799999991</v>
      </c>
      <c r="DY18" s="52">
        <f>(DY10+DY17)*0.220462</f>
        <v>922.41300799999999</v>
      </c>
      <c r="DZ18" s="52">
        <f>(DZ10+DZ17)*0.220462</f>
        <v>908.74436400000002</v>
      </c>
      <c r="EA18" s="52">
        <f>(EA10+EA17)*0.220462</f>
        <v>933.65656999999999</v>
      </c>
      <c r="EB18" s="52">
        <f>(EB10+EB17)*0.220462</f>
        <v>923.95624199999997</v>
      </c>
      <c r="EC18" s="52">
        <f>(EC10+EC17)*0.220462</f>
        <v>912.49221799999998</v>
      </c>
      <c r="EF18" s="52">
        <f>(EF10+EF17)*0.220462</f>
        <v>930.12917799999991</v>
      </c>
      <c r="EG18" s="52">
        <f>(EG10+EG17)*0.220462</f>
        <v>898.38265000000001</v>
      </c>
      <c r="EH18" s="52">
        <f>(EH10+EH17)*0.220462</f>
        <v>890.88694199999998</v>
      </c>
      <c r="EI18" s="52">
        <f>(EI10+EI17)*0.220462</f>
        <v>877.218298</v>
      </c>
      <c r="EJ18" s="52">
        <f>(EJ10+EJ17)*0.220462</f>
        <v>872.36813399999994</v>
      </c>
      <c r="EM18" s="52">
        <f>(EM10+EM17)*0.220462</f>
        <v>898.82357400000001</v>
      </c>
      <c r="EN18" s="52">
        <f>(EN10+EN17)*0.220462</f>
        <v>876.55691200000001</v>
      </c>
      <c r="EO18" s="52">
        <f>(EO10+EO17)*0.220462</f>
        <v>886.25723999999991</v>
      </c>
      <c r="EP18" s="52">
        <f>(EP10+EP17)*0.220462</f>
        <v>871.26582399999995</v>
      </c>
      <c r="EQ18" s="52">
        <f>(EQ10+EQ17)*0.220462</f>
        <v>877.879684</v>
      </c>
      <c r="ET18" s="52">
        <f>(ET10+ET17)*0.220462</f>
        <v>877.879684</v>
      </c>
      <c r="EU18" s="52">
        <f>(EU10+EU17)*0.220462</f>
        <v>835.55097999999998</v>
      </c>
      <c r="EV18" s="52">
        <f>(EV10+EV17)*0.220462</f>
        <v>837.75559999999996</v>
      </c>
      <c r="EW18" s="52">
        <f>(EW10+EW17)*0.220462</f>
        <v>856.71533199999999</v>
      </c>
      <c r="EX18" s="52">
        <f>(EX10+EX17)*0.220462</f>
        <v>888.46186</v>
      </c>
      <c r="FA18" s="52">
        <f>(FA10+FA17)*0.220462</f>
        <v>876.55691200000001</v>
      </c>
      <c r="FB18" s="52">
        <f>(FB10+FB17)*0.220462</f>
        <v>869.06120399999998</v>
      </c>
      <c r="FC18" s="52">
        <f>(FC10+FC17)*0.220462</f>
        <v>859.14041399999996</v>
      </c>
      <c r="FD18" s="52">
        <v>859.14041399999996</v>
      </c>
      <c r="FE18" s="52">
        <f>(FE10+FE17)*0.220462</f>
        <v>938.94765799999993</v>
      </c>
      <c r="FH18" s="52">
        <f>(FH10+FH17)*0.220462</f>
        <v>925.49947599999996</v>
      </c>
      <c r="FI18" s="52">
        <f>(FI10+FI17)*0.220462</f>
        <v>935.42026599999997</v>
      </c>
      <c r="FJ18" s="52">
        <f>(FJ10+FJ17)*0.220462</f>
        <v>936.08165199999996</v>
      </c>
      <c r="FK18" s="52">
        <f>(FK10+FK17)*0.220462</f>
        <v>968.48956599999997</v>
      </c>
      <c r="FL18" s="52">
        <f>(FL10+FL17)*0.220462</f>
        <v>996.26777799999991</v>
      </c>
      <c r="FO18" s="52">
        <f>(FO10+FO17)*0.220462</f>
        <v>991.85853799999995</v>
      </c>
      <c r="FP18" s="52">
        <f>(FP10+FP17)*0.220462</f>
        <v>983.92190599999992</v>
      </c>
      <c r="FQ18" s="52">
        <f>(FQ10+FQ17)*0.220462</f>
        <v>928.80640599999992</v>
      </c>
      <c r="FR18" s="52">
        <f>(FR10+FR17)*0.220462</f>
        <v>953.93907400000001</v>
      </c>
      <c r="FS18" s="52">
        <f>(FS10+FS17)*0.220462</f>
        <v>979.73312799999997</v>
      </c>
      <c r="FV18" s="52">
        <f>(FV10+FV17)*0.220462</f>
        <v>959.23016199999995</v>
      </c>
      <c r="FW18" s="52">
        <f>(FW10+FW17)*0.220462</f>
        <v>971.13510999999994</v>
      </c>
      <c r="FX18" s="52">
        <f>(FX10+FX17)*0.220462</f>
        <v>955.04138399999999</v>
      </c>
      <c r="FY18" s="52">
        <f>(FY10+FY17)*0.220462</f>
        <v>988.33114599999999</v>
      </c>
      <c r="FZ18" s="52">
        <f>(FZ10+FZ17)*0.220462</f>
        <v>970.25326199999995</v>
      </c>
      <c r="GC18" s="52">
        <f>(GC10+GC17)*0.220462</f>
        <v>1003.5430239999999</v>
      </c>
      <c r="GD18" s="52">
        <f>(GD10+GD17)*0.220462</f>
        <v>1003.5430239999999</v>
      </c>
      <c r="GE18" s="52">
        <f>(GE10+GE17)*0.220462</f>
        <v>1004.8657959999999</v>
      </c>
      <c r="GF18" s="52">
        <f>(GF10+GF17)*0.220462</f>
        <v>946.88428999999996</v>
      </c>
      <c r="GG18" s="52">
        <f>(GG10+GG17)*0.220462</f>
        <v>960.11200999999994</v>
      </c>
      <c r="GJ18" s="52">
        <f>(GJ10+GJ17)*0.220462</f>
        <v>996.92916400000001</v>
      </c>
      <c r="GK18" s="52">
        <f>(GK10+GK17)*0.220462</f>
        <v>981.71728599999994</v>
      </c>
      <c r="GL18" s="52">
        <f>(GL10+GL17)*0.220462</f>
        <v>981.71728599999994</v>
      </c>
      <c r="GM18" s="52">
        <f>(GM10+GM17)*0.220462</f>
        <v>984.80375399999991</v>
      </c>
      <c r="GN18" s="52">
        <f>(GN10+GN17)*0.220462</f>
        <v>967.60771799999998</v>
      </c>
      <c r="GQ18" s="52">
        <f>(GQ10+GQ17)*0.220462</f>
        <v>876.55691200000001</v>
      </c>
      <c r="GR18" s="52">
        <f>(GR10+GR17)*0.220462</f>
        <v>927.04270999999994</v>
      </c>
      <c r="GS18" s="52">
        <f>(GS10+GS17)*0.220462</f>
        <v>960.11200999999994</v>
      </c>
      <c r="GT18" s="52">
        <f>(GT10+GT17)*0.220462</f>
        <v>973.11926799999992</v>
      </c>
      <c r="GU18" s="52">
        <f>(GU10+GU17)*0.220462</f>
        <v>989.87437999999997</v>
      </c>
      <c r="GX18" s="52">
        <f>(GX10+GX17)*0.220462</f>
        <v>1024.9278380000001</v>
      </c>
      <c r="GY18" s="52">
        <f>(GY10+GY17)*0.220462</f>
        <v>1037.4941719999999</v>
      </c>
      <c r="GZ18" s="52">
        <f>(GZ10+GZ17)*0.220462</f>
        <v>1042.1238739999999</v>
      </c>
      <c r="HA18" s="52">
        <f>(HA10+HA17)*0.220462</f>
        <v>1027.573382</v>
      </c>
      <c r="HB18" s="52">
        <f>(HB10+HB17)*0.220462</f>
        <v>1005.3067199999999</v>
      </c>
      <c r="HE18" s="52">
        <f>(HE10+HE17)*0.220462</f>
        <v>1004.8657959999999</v>
      </c>
      <c r="HF18" s="52">
        <f>(HF10+HF17)*0.220462</f>
        <v>1038.1555579999999</v>
      </c>
      <c r="HG18" s="52">
        <f>(HG10+HG17)*0.220462</f>
        <v>1031.982622</v>
      </c>
      <c r="HH18" s="52">
        <f>(HH10+HH17)*0.220462</f>
        <v>1002.881638</v>
      </c>
      <c r="HI18" s="52">
        <f>(HI10+HI17)*0.220462</f>
        <v>1014.1251999999999</v>
      </c>
      <c r="HL18" s="52">
        <f>(HL10+HL17)*0.220462</f>
        <v>984.58329199999991</v>
      </c>
      <c r="HM18" s="52">
        <f>(HM10+HM17)*0.220462</f>
        <v>960.77339599999993</v>
      </c>
      <c r="HN18" s="52">
        <f>(HN10+HN17)*0.220462</f>
        <v>965.403098</v>
      </c>
      <c r="HO18" s="52">
        <f>(HO10+HO17)*0.220462</f>
        <v>950.19121999999993</v>
      </c>
      <c r="HP18" s="52">
        <f>(HP10+HP17)*0.220462</f>
        <v>970.91464799999994</v>
      </c>
      <c r="HS18" s="52">
        <f>(HS10+HS17)*0.220462</f>
        <v>977.08758399999999</v>
      </c>
      <c r="HT18" s="52">
        <f>(HT10+HT17)*0.220462</f>
        <v>945.78197999999998</v>
      </c>
      <c r="HU18" s="52">
        <f>(HU10+HU17)*0.220462</f>
        <v>909.84667400000001</v>
      </c>
      <c r="HV18" s="52">
        <f>(HV10+HV17)*0.220462</f>
        <v>942.69551200000001</v>
      </c>
      <c r="HW18" s="52">
        <f>(HW10+HW17)*0.220462</f>
        <v>954.379998</v>
      </c>
      <c r="HZ18" s="52">
        <f>(HZ10+HZ17)*0.220462</f>
        <v>947.76613799999996</v>
      </c>
      <c r="IA18" s="52">
        <f>(IA10+IA17)*0.220462</f>
        <v>897.50080199999991</v>
      </c>
      <c r="IB18" s="52">
        <f>(IB10+IB17)*0.220462</f>
        <v>918.22422999999992</v>
      </c>
      <c r="IC18" s="52">
        <f>(IC10+IC17)*0.220462</f>
        <v>962.09616799999992</v>
      </c>
      <c r="ID18" s="52">
        <f>(ID10+ID17)*0.220462</f>
        <v>964.08032600000001</v>
      </c>
      <c r="IG18" s="52">
        <f>(IG10+IG17)*0.220462</f>
        <v>967.82817999999997</v>
      </c>
      <c r="IH18" s="52">
        <f>(IH10+IH17)*0.220462</f>
        <v>960.33247199999994</v>
      </c>
      <c r="II18" s="52">
        <f>(II10+II17)*0.220462</f>
        <v>937.84534799999994</v>
      </c>
      <c r="IJ18" s="52">
        <f>(IJ10+IJ17)*0.220462</f>
        <v>959.45062399999995</v>
      </c>
      <c r="IK18" s="52">
        <f>(IK10+IK17)*0.220462</f>
        <v>960.11200999999994</v>
      </c>
      <c r="IN18" s="52">
        <f>(IN10+IN17)*0.220462</f>
        <v>960.11200999999994</v>
      </c>
      <c r="IO18" s="52">
        <f>(IO10+IO17)*0.220462</f>
        <v>914.91729999999995</v>
      </c>
      <c r="IP18" s="52">
        <f>(IP10+IP17)*0.220462</f>
        <v>900.58726999999999</v>
      </c>
      <c r="IQ18" s="52">
        <f>(IQ10+IQ17)*0.220462</f>
        <v>900.58726999999999</v>
      </c>
      <c r="IR18" s="52">
        <f>(IR10+IR17)*0.220462</f>
        <v>896.17802999999992</v>
      </c>
      <c r="IU18" s="52">
        <f>(IU10+IU17)*0.220462</f>
        <v>896.17802999999992</v>
      </c>
      <c r="IV18" s="52">
        <f>(IV10+IV17)*0.220462</f>
        <v>908.74436400000002</v>
      </c>
      <c r="IW18" s="52">
        <f>(IW10+IW17)*0.220462</f>
        <v>946.44336599999997</v>
      </c>
      <c r="IX18" s="52">
        <f>(IX10+IX17)*0.220462</f>
        <v>946.44336599999997</v>
      </c>
      <c r="IY18" s="52">
        <f>(IY10+IY17)*0.220462</f>
        <v>945.34105599999998</v>
      </c>
      <c r="JB18" s="52">
        <f>(JB10+JB17)*0.220462</f>
        <v>967.38725599999998</v>
      </c>
      <c r="JC18" s="52">
        <f>(JC10+JC17)*0.220462</f>
        <v>931.67241200000001</v>
      </c>
      <c r="JD18" s="52">
        <f>(JD10+JD17)*0.220462</f>
        <v>896.83941599999991</v>
      </c>
      <c r="JE18" s="52">
        <f>(JE10+JE17)*0.220462</f>
        <v>863.10872999999992</v>
      </c>
      <c r="JF18" s="52">
        <f>(JF10+JF17)*0.220462</f>
        <v>922.63346999999999</v>
      </c>
      <c r="JI18" s="52">
        <f>(JI10+JI17)*0.220462</f>
        <v>898.38265000000001</v>
      </c>
      <c r="JJ18" s="52">
        <f>(JJ10+JJ17)*0.220462</f>
        <v>889.78463199999999</v>
      </c>
      <c r="JK18" s="52">
        <f>(JK10+JK17)*0.220462</f>
        <v>906.31928199999993</v>
      </c>
      <c r="JL18" s="52">
        <f>(JL10+JL17)*0.220462</f>
        <v>937.62488599999995</v>
      </c>
      <c r="JM18" s="52">
        <f>(JM10+JM17)*0.220462</f>
        <v>913.59452799999997</v>
      </c>
      <c r="JP18" s="52">
        <f>(JP10+JP17)*0.220462</f>
        <v>966.72586999999999</v>
      </c>
      <c r="JQ18" s="52">
        <f>(JQ10+JQ17)*0.220462</f>
        <v>942.47505000000001</v>
      </c>
      <c r="JR18" s="52">
        <f>(JR10+JR17)*0.220462</f>
        <v>919.98792600000002</v>
      </c>
      <c r="JS18" s="52">
        <f>(JS10+JS17)*0.220462</f>
        <v>911.83083199999999</v>
      </c>
      <c r="JT18" s="52">
        <f>(JT10+JT17)*0.220462</f>
        <v>910.287598</v>
      </c>
      <c r="JW18" s="52">
        <f>(JW10+JW17)*0.220462</f>
        <v>900.14634599999999</v>
      </c>
      <c r="JX18" s="52">
        <f>(JX10+JX17)*0.220462</f>
        <v>870.60443799999996</v>
      </c>
      <c r="JY18" s="52">
        <f>(JY10+JY17)*0.220462</f>
        <v>871.26582399999995</v>
      </c>
      <c r="JZ18" s="52">
        <v>871.26582399999995</v>
      </c>
      <c r="KA18" s="52">
        <f>(KA10+KA17)*0.220462</f>
        <v>911.61036999999999</v>
      </c>
      <c r="KD18" s="52">
        <f>(KD10+KD17)*0.220462</f>
        <v>919.32653999999991</v>
      </c>
      <c r="KE18" s="52">
        <f>(KE10+KE17)*0.220462</f>
        <v>911.61036999999999</v>
      </c>
      <c r="KF18" s="52">
        <f>(KF10+KF17)*0.220462</f>
        <v>900.80773199999999</v>
      </c>
      <c r="KG18" s="52">
        <f>(KG10+KG17)*0.220462</f>
        <v>868.84074199999998</v>
      </c>
      <c r="KH18" s="52">
        <f>(KH10+KH17)*0.220462</f>
        <v>868.39981799999998</v>
      </c>
      <c r="KK18" s="52">
        <f>(KK10+KK17)*0.220462</f>
        <v>869.50212799999997</v>
      </c>
      <c r="KL18" s="52">
        <f>(KL10+KL17)*0.220462</f>
        <v>877.879684</v>
      </c>
      <c r="KM18" s="52">
        <f>(KM10+KM17)*0.220462</f>
        <v>890.66647999999998</v>
      </c>
      <c r="KN18" s="52">
        <f>(KN10+KN17)*0.220462</f>
        <v>876.11598800000002</v>
      </c>
      <c r="KO18" s="52">
        <f>(KO10+KO17)*0.220462</f>
        <v>887.80047400000001</v>
      </c>
      <c r="KR18" s="52">
        <f>(KR10+KR17)*0.220462</f>
        <v>890.44601799999998</v>
      </c>
      <c r="KS18" s="52">
        <f>(KS10+KS17)*0.220462</f>
        <v>902.13050399999997</v>
      </c>
      <c r="KT18" s="52">
        <f>(KT10+KT17)*0.220462</f>
        <v>890.66647999999998</v>
      </c>
      <c r="KU18" s="52">
        <f>(KU10+KU17)*0.220462</f>
        <v>890.66647999999998</v>
      </c>
      <c r="KV18" s="52">
        <f>(KV10+KV17)*0.220462</f>
        <v>900.80773199999999</v>
      </c>
      <c r="KY18" s="52">
        <f>(KY10+KY17)*0.220462</f>
        <v>932.55426</v>
      </c>
      <c r="KZ18" s="52">
        <f>(KZ10+KZ17)*0.220462</f>
        <v>936.74303799999996</v>
      </c>
      <c r="LA18" s="52">
        <f>(LA10+LA17)*0.220462</f>
        <v>968.93048999999996</v>
      </c>
      <c r="LB18" s="52">
        <f>(LB10+LB17)*0.220462</f>
        <v>957.90738999999996</v>
      </c>
      <c r="LC18" s="52">
        <f>(LC10+LC17)*0.220462</f>
        <v>974.44203999999991</v>
      </c>
      <c r="LF18" s="52">
        <f>(LF10+LF17)*0.220462</f>
        <v>1015.0070479999999</v>
      </c>
      <c r="LG18" s="52">
        <f>(LG10+LG17)*0.220462</f>
        <v>1019.63675</v>
      </c>
      <c r="LH18" s="52">
        <f>(LH10+LH17)*0.220462</f>
        <v>1019.63675</v>
      </c>
      <c r="LI18" s="52">
        <f>(LI10+LI17)*0.220462</f>
        <v>1005.9681059999999</v>
      </c>
      <c r="LJ18" s="52">
        <f>(LJ10+LJ17)*0.220462</f>
        <v>1003.3225619999999</v>
      </c>
      <c r="LM18" s="52">
        <f>(LM10+LM17)*0.220462</f>
        <v>1027.573382</v>
      </c>
      <c r="LN18" s="52">
        <f>(LN10+LN17)*0.220462</f>
        <v>1051.383278</v>
      </c>
      <c r="LO18" s="52">
        <f>(LO10+LO17)*0.220462</f>
        <v>1038.3760199999999</v>
      </c>
      <c r="LP18" s="52">
        <f>(LP10+LP17)*0.220462</f>
        <v>1038.3760199999999</v>
      </c>
      <c r="LQ18" s="52">
        <f>(LQ10+LQ17)*0.220462</f>
        <v>992.74038599999994</v>
      </c>
      <c r="LT18" s="52">
        <f>(LT10+LT17)*0.220462</f>
        <v>1001.117942</v>
      </c>
      <c r="LU18" s="52">
        <f>(LU10+LU17)*0.220462</f>
        <v>999.57470799999999</v>
      </c>
      <c r="LV18" s="52">
        <f>(LV10+LV17)*0.220462</f>
        <v>985.02421599999991</v>
      </c>
      <c r="LW18" s="52">
        <f>(LW10+LW17)*0.220462</f>
        <v>965.403098</v>
      </c>
      <c r="LX18" s="52">
        <f>(LX10+LX17)*0.220462</f>
        <v>951.95491599999991</v>
      </c>
      <c r="MA18" s="52">
        <f>(MA10+MA17)*0.220462</f>
        <v>947.76613799999996</v>
      </c>
      <c r="MB18" s="52">
        <f>(MB10+MB17)*0.220462</f>
        <v>897.72126400000002</v>
      </c>
      <c r="MC18" s="52">
        <f>(MC10+MC17)*0.220462</f>
        <v>844.14899800000001</v>
      </c>
      <c r="MD18" s="52">
        <f>(MD10+MD17)*0.220462</f>
        <v>884.27308199999993</v>
      </c>
      <c r="ME18" s="52">
        <f>(ME10+ME17)*0.220462</f>
        <v>863.10872999999992</v>
      </c>
      <c r="MH18" s="52">
        <f>(MH10+MH17)*0.220462</f>
        <v>883.17077199999994</v>
      </c>
      <c r="MI18" s="52">
        <f>(MI10+MI17)*0.220462</f>
        <v>930.12917799999991</v>
      </c>
      <c r="MJ18" s="52">
        <f>(MJ10+MJ17)*0.220462</f>
        <v>899.925884</v>
      </c>
      <c r="MK18" s="52">
        <f>(MK10+MK17)*0.220462</f>
        <v>888.02093600000001</v>
      </c>
      <c r="ML18" s="52">
        <f>(ML10+ML17)*0.220462</f>
        <v>903.67373799999996</v>
      </c>
      <c r="MO18" s="52">
        <f>(MO10+MO17)*0.220462</f>
        <v>940.04996799999992</v>
      </c>
      <c r="MP18" s="52">
        <f>(MP10+MP17)*0.220462</f>
        <v>942.03412600000001</v>
      </c>
      <c r="MQ18" s="52">
        <f>(MQ10+MQ17)*0.220462</f>
        <v>883.17077199999994</v>
      </c>
      <c r="MR18" s="52">
        <f>(MR10+MR17)*0.220462</f>
        <v>882.72984799999995</v>
      </c>
      <c r="MS18" s="52">
        <f>(MS10+MS17)*0.220462</f>
        <v>838.41698599999995</v>
      </c>
      <c r="MV18" s="52">
        <f>(MV10+MV17)*0.220462</f>
        <v>838.41698599999995</v>
      </c>
      <c r="MW18" s="52">
        <f>(MW10+MW17)*0.220462</f>
        <v>857.81764199999998</v>
      </c>
      <c r="MX18" s="52">
        <f>(MX10+MX17)*0.220462</f>
        <v>865.09288800000002</v>
      </c>
      <c r="MY18" s="52">
        <f>(MY10+MY17)*0.220462</f>
        <v>826.51203799999996</v>
      </c>
      <c r="MZ18" s="52">
        <f>(MZ10+MZ17)*0.220462</f>
        <v>826.51203799999996</v>
      </c>
    </row>
    <row r="19" spans="1:378" s="68" customFormat="1" x14ac:dyDescent="0.25">
      <c r="A19" s="88" t="s">
        <v>85</v>
      </c>
      <c r="C19" s="68">
        <f>C18*C20</f>
        <v>6456.5884278126005</v>
      </c>
      <c r="D19" s="68">
        <f t="shared" ref="D19:G19" si="322">D18*D20</f>
        <v>6418.5856953151997</v>
      </c>
      <c r="E19" s="68">
        <f t="shared" si="322"/>
        <v>6496.164509419199</v>
      </c>
      <c r="F19" s="68">
        <f t="shared" si="322"/>
        <v>6364.7139537343992</v>
      </c>
      <c r="G19" s="68">
        <f t="shared" si="322"/>
        <v>6318.8023894951993</v>
      </c>
      <c r="J19" s="68">
        <f>J18*J20</f>
        <v>6318.1808630247997</v>
      </c>
      <c r="K19" s="68">
        <f>K18*K20</f>
        <v>6194.5037092752009</v>
      </c>
      <c r="L19" s="68">
        <f>L18*L20</f>
        <v>6065.3045335805991</v>
      </c>
      <c r="M19" s="68">
        <f t="shared" ref="M19:N19" si="323">M18*M20</f>
        <v>6090.4584100250004</v>
      </c>
      <c r="N19" s="68">
        <f t="shared" si="323"/>
        <v>6000.3451186799994</v>
      </c>
      <c r="Q19" s="68">
        <f>Q18*Q20</f>
        <v>6094.185099673</v>
      </c>
      <c r="R19" s="68">
        <f>R18*R20</f>
        <v>6133.7114009599991</v>
      </c>
      <c r="S19" s="68">
        <f>S18*S20</f>
        <v>6017.6860423064009</v>
      </c>
      <c r="T19" s="68">
        <f t="shared" ref="T19:U19" si="324">T18*T20</f>
        <v>6144.1358363990003</v>
      </c>
      <c r="U19" s="68">
        <f t="shared" si="324"/>
        <v>6017.249770054601</v>
      </c>
      <c r="X19" s="68">
        <f>X18*X20</f>
        <v>5979.4774203471998</v>
      </c>
      <c r="Y19" s="68">
        <f>Y18*Y20</f>
        <v>5866.8369470568005</v>
      </c>
      <c r="Z19" s="68">
        <f>Z18*Z20</f>
        <v>5743.1024731872003</v>
      </c>
      <c r="AA19" s="68">
        <f t="shared" ref="AA19:AB19" si="325">AA18*AA20</f>
        <v>5817.1035417704006</v>
      </c>
      <c r="AB19" s="68">
        <f t="shared" si="325"/>
        <v>5832.6822685383995</v>
      </c>
      <c r="AE19" s="68">
        <f>AE18*AE20</f>
        <v>5877.5564267903992</v>
      </c>
      <c r="AF19" s="68">
        <f>AF18*AF20</f>
        <v>5995.0158907539999</v>
      </c>
      <c r="AG19" s="68">
        <f>AG18*AG20</f>
        <v>5790.8427697163997</v>
      </c>
      <c r="AH19" s="68">
        <f>AH18*AH20</f>
        <v>5878.7275209343989</v>
      </c>
      <c r="AI19" s="68">
        <f t="shared" ref="AI19" si="326">AI18*AI20</f>
        <v>5854.2473322695996</v>
      </c>
      <c r="AL19" s="68">
        <f>AL18*AL20</f>
        <v>6140.319969872</v>
      </c>
      <c r="AM19" s="68">
        <f>AM18*AM20</f>
        <v>6312.3118118455995</v>
      </c>
      <c r="AN19" s="68">
        <f>AN18*AN20</f>
        <v>6375.7481209267999</v>
      </c>
      <c r="AO19" s="68">
        <f>AO18*AO20</f>
        <v>6001.6733581376002</v>
      </c>
      <c r="AP19" s="68">
        <f t="shared" ref="AP19" si="327">AP18*AP20</f>
        <v>6060.6190326483993</v>
      </c>
      <c r="AS19" s="68">
        <f>AS18*AS20</f>
        <v>5900.7819221208001</v>
      </c>
      <c r="AT19" s="68">
        <f>AT18*AT20</f>
        <v>5836.3028718719997</v>
      </c>
      <c r="AU19" s="68">
        <f>AU18*AU20</f>
        <v>6020.8232165663994</v>
      </c>
      <c r="AV19" s="68">
        <f>AV18*AV20</f>
        <v>6114.5005627419996</v>
      </c>
      <c r="AW19" s="68">
        <f t="shared" ref="AW19" si="328">AW18*AW20</f>
        <v>5790.3341197899999</v>
      </c>
      <c r="AZ19" s="68">
        <f>AZ18*AZ20</f>
        <v>5791.4807206058003</v>
      </c>
      <c r="BA19" s="68">
        <f>BA18*BA20</f>
        <v>5791.4807206058003</v>
      </c>
      <c r="BB19" s="68">
        <f>BB18*BB20</f>
        <v>5910.6091700941997</v>
      </c>
      <c r="BC19" s="68">
        <f>BC18*BC20</f>
        <v>5832.0875943396004</v>
      </c>
      <c r="BD19" s="68">
        <f t="shared" ref="BD19" si="329">BD18*BD20</f>
        <v>5892.4613335016002</v>
      </c>
      <c r="BG19" s="68">
        <f>BG18*BG20</f>
        <v>5674.5811639836011</v>
      </c>
      <c r="BH19" s="68">
        <f>BH18*BH20</f>
        <v>5688.6168110749995</v>
      </c>
      <c r="BI19" s="68">
        <f>BI18*BI20</f>
        <v>5801.3829697516003</v>
      </c>
      <c r="BJ19" s="68">
        <f>BJ18*BJ20</f>
        <v>5900.085681078599</v>
      </c>
      <c r="BK19" s="68">
        <f t="shared" ref="BK19" si="330">BK18*BK20</f>
        <v>5759.8500453868</v>
      </c>
      <c r="BN19" s="68">
        <f>BN18*BN20</f>
        <v>5668.7992834792003</v>
      </c>
      <c r="BO19" s="68">
        <f>BO18*BO20</f>
        <v>5544.5687701096003</v>
      </c>
      <c r="BP19" s="68">
        <f>BP18*BP20</f>
        <v>5527.0382491631999</v>
      </c>
      <c r="BQ19" s="68">
        <f>BQ18*BQ20</f>
        <v>5328.6646455899991</v>
      </c>
      <c r="BR19" s="68">
        <f t="shared" ref="BR19" si="331">BR18*BR20</f>
        <v>5266.5194942579992</v>
      </c>
      <c r="BU19" s="68">
        <f>BU18*BU20</f>
        <v>5293.0060193999998</v>
      </c>
      <c r="BV19" s="68">
        <f>BV18*BV20</f>
        <v>5349.1049121972001</v>
      </c>
      <c r="BW19" s="68">
        <f>BW18*BW20</f>
        <v>5412.3432464023999</v>
      </c>
      <c r="BX19" s="68">
        <f>BX18*BX20</f>
        <v>5635.2851132093992</v>
      </c>
      <c r="BY19" s="68">
        <f t="shared" ref="BY19" si="332">BY18*BY20</f>
        <v>5685.7523703551997</v>
      </c>
      <c r="CB19" s="68">
        <f>CB18*CB20</f>
        <v>5724.1709603232011</v>
      </c>
      <c r="CC19" s="68">
        <f>CC18*CC20</f>
        <v>5403.7271946108003</v>
      </c>
      <c r="CD19" s="68">
        <f>CD18*CD20</f>
        <v>5181.0174963359996</v>
      </c>
      <c r="CE19" s="68">
        <f>CE18*CE20</f>
        <v>5008.8832579565997</v>
      </c>
      <c r="CF19" s="68">
        <f t="shared" ref="CF19" si="333">CF18*CF20</f>
        <v>5048.0547917931999</v>
      </c>
      <c r="CI19" s="68">
        <f>CI18*CI20</f>
        <v>5194.6362056929993</v>
      </c>
      <c r="CJ19" s="68">
        <f>CJ18*CJ20</f>
        <v>5114.9179181099998</v>
      </c>
      <c r="CK19" s="68">
        <f>CK18*CK20</f>
        <v>5151.3508068439996</v>
      </c>
      <c r="CL19" s="68">
        <f>CL18*CL20</f>
        <v>5069.8155155493996</v>
      </c>
      <c r="CM19" s="68">
        <f t="shared" ref="CM19" si="334">CM18*CM20</f>
        <v>5150.8388499875991</v>
      </c>
      <c r="CP19" s="68">
        <f>CP18*CP20</f>
        <v>5210.5203384696006</v>
      </c>
      <c r="CQ19" s="68">
        <f>CQ18*CQ20</f>
        <v>5118.5029829692003</v>
      </c>
      <c r="CR19" s="68">
        <f>CR18*CR20</f>
        <v>5028.9094748816005</v>
      </c>
      <c r="CS19" s="68">
        <f>CS18*CS20</f>
        <v>4863.613063847999</v>
      </c>
      <c r="CT19" s="68">
        <f t="shared" ref="CT19" si="335">CT18*CT20</f>
        <v>4863.613063847999</v>
      </c>
      <c r="CW19" s="68">
        <f>CW18*CW20</f>
        <v>4872.5009452855993</v>
      </c>
      <c r="CX19" s="68">
        <f>CX18*CX20</f>
        <v>4794.880397725</v>
      </c>
      <c r="CY19" s="68">
        <f>CY18*CY20</f>
        <v>4637.3134505500002</v>
      </c>
      <c r="CZ19" s="68">
        <f>CZ18*CZ20</f>
        <v>4569.6231949016001</v>
      </c>
      <c r="DA19" s="68">
        <f t="shared" ref="DA19" si="336">DA18*DA20</f>
        <v>4650.9155591183999</v>
      </c>
      <c r="DD19" s="68">
        <f>DD18*DD20</f>
        <v>4746.8604892411995</v>
      </c>
      <c r="DE19" s="68">
        <f>DE18*DE20</f>
        <v>4803.3059042100003</v>
      </c>
      <c r="DF19" s="68">
        <f>DF18*DF20</f>
        <v>4730.5176852736004</v>
      </c>
      <c r="DG19" s="68">
        <f>DG18*DG20</f>
        <v>4689.9150664564004</v>
      </c>
      <c r="DH19" s="68">
        <f t="shared" ref="DH19" si="337">DH18*DH20</f>
        <v>4689.9150664564004</v>
      </c>
      <c r="DK19" s="68">
        <f>DK18*DK20</f>
        <v>4535.0592507263991</v>
      </c>
      <c r="DL19" s="68">
        <f>DL18*DL20</f>
        <v>4441.8333225420001</v>
      </c>
      <c r="DM19" s="68">
        <f>DM18*DM20</f>
        <v>4480.6360895911994</v>
      </c>
      <c r="DN19" s="68">
        <f>DN18*DN20</f>
        <v>4298.3814769631999</v>
      </c>
      <c r="DO19" s="68">
        <f t="shared" ref="DO19" si="338">DO18*DO20</f>
        <v>4454.7910647767994</v>
      </c>
      <c r="DR19" s="68">
        <f>DR18*DR20</f>
        <v>4454.7910647767994</v>
      </c>
      <c r="DS19" s="68">
        <f>DS18*DS20</f>
        <v>4481.7928977975998</v>
      </c>
      <c r="DT19" s="68">
        <f>DT18*DT20</f>
        <v>4636.0488364255998</v>
      </c>
      <c r="DU19" s="68">
        <f>DU18*DU20</f>
        <v>4613.8338286722001</v>
      </c>
      <c r="DV19" s="68">
        <f t="shared" ref="DV19" si="339">DV18*DV20</f>
        <v>4731.645105895399</v>
      </c>
      <c r="DY19" s="68">
        <f>DY18*DY20</f>
        <v>4583.7469606544</v>
      </c>
      <c r="DZ19" s="68">
        <f>DZ18*DZ20</f>
        <v>4544.0853177456002</v>
      </c>
      <c r="EA19" s="68">
        <f>EA18*EA20</f>
        <v>4625.7081104079998</v>
      </c>
      <c r="EB19" s="68">
        <f>EB18*EB20</f>
        <v>4591.4157533705993</v>
      </c>
      <c r="EC19" s="68">
        <f t="shared" ref="EC19" si="340">EC18*EC20</f>
        <v>4492.2904384357998</v>
      </c>
      <c r="EF19" s="68">
        <f>EF18*EF20</f>
        <v>4566.9342639799997</v>
      </c>
      <c r="EG19" s="68">
        <f>EG18*EG20</f>
        <v>4412.7657385350003</v>
      </c>
      <c r="EH19" s="68">
        <f>EH18*EH20</f>
        <v>4410.7812498419999</v>
      </c>
      <c r="EI19" s="68">
        <f>EI18*EI20</f>
        <v>4354.8625185912006</v>
      </c>
      <c r="EJ19" s="68">
        <f t="shared" ref="EJ19" si="341">EJ18*EJ20</f>
        <v>4349.1913320570002</v>
      </c>
      <c r="EM19" s="68">
        <f>EM18*EM20</f>
        <v>4465.0858685597996</v>
      </c>
      <c r="EN19" s="68">
        <f>EN18*EN20</f>
        <v>4353.9458375951999</v>
      </c>
      <c r="EO19" s="68">
        <f>EO18*EO20</f>
        <v>4384.4031920039997</v>
      </c>
      <c r="EP19" s="68">
        <f>EP18*EP20</f>
        <v>4355.1964744287998</v>
      </c>
      <c r="EQ19" s="68">
        <f t="shared" ref="EQ19" si="342">EQ18*EQ20</f>
        <v>4399.1428844924003</v>
      </c>
      <c r="ET19" s="68">
        <f>ET18*ET20</f>
        <v>4385.0968095483995</v>
      </c>
      <c r="EU19" s="68">
        <f>EU18*EU20</f>
        <v>4227.1359629179997</v>
      </c>
      <c r="EV19" s="68">
        <f>EV18*EV20</f>
        <v>4268.8674353599999</v>
      </c>
      <c r="EW19" s="68">
        <f>EW18*EW20</f>
        <v>4313.3046820203999</v>
      </c>
      <c r="EX19" s="68">
        <f t="shared" ref="EX19" si="343">EX18*EX20</f>
        <v>4402.7727472300003</v>
      </c>
      <c r="FA19" s="68">
        <f>FA18*FA20</f>
        <v>4315.5526448496003</v>
      </c>
      <c r="FB19" s="68">
        <f>FB18*FB20</f>
        <v>4283.5157683955995</v>
      </c>
      <c r="FC19" s="68">
        <f>FC18*FC20</f>
        <v>4219.7540574023997</v>
      </c>
      <c r="FD19" s="68">
        <v>4219.7540574023997</v>
      </c>
      <c r="FE19" s="68">
        <f t="shared" ref="FE19" si="344">FE18*FE20</f>
        <v>4593.2380481701994</v>
      </c>
      <c r="FH19" s="68">
        <f>FH18*FH20</f>
        <v>4519.1213913603997</v>
      </c>
      <c r="FI19" s="68">
        <f>FI18*FI20</f>
        <v>4539.5945508979994</v>
      </c>
      <c r="FJ19" s="68">
        <f>FJ18*FJ20</f>
        <v>4536.1580774268004</v>
      </c>
      <c r="FK19" s="68">
        <f>FK18*FK20</f>
        <v>4669.9598382954</v>
      </c>
      <c r="FL19" s="68">
        <f t="shared" ref="FL19" si="345">FL18*FL20</f>
        <v>4810.2797125173993</v>
      </c>
      <c r="FO19" s="68">
        <f>FO18*FO20</f>
        <v>4739.1000945639989</v>
      </c>
      <c r="FP19" s="68">
        <f>FP18*FP20</f>
        <v>4715.6425188861995</v>
      </c>
      <c r="FQ19" s="68">
        <f>FQ18*FQ20</f>
        <v>4438.9515755552002</v>
      </c>
      <c r="FR19" s="68">
        <f>FR18*FR20</f>
        <v>4554.7728966278</v>
      </c>
      <c r="FS19" s="68">
        <f t="shared" ref="FS19" si="346">FS18*FS20</f>
        <v>4682.7324585888</v>
      </c>
      <c r="FV19" s="68">
        <f>FV18*FV20</f>
        <v>4575.0482576589993</v>
      </c>
      <c r="FW19" s="68">
        <f>FW18*FW20</f>
        <v>4651.7371769000001</v>
      </c>
      <c r="FX19" s="68">
        <f>FX18*FX20</f>
        <v>4637.6809607039995</v>
      </c>
      <c r="FY19" s="68">
        <f>FY18*FY20</f>
        <v>4801.4115403825999</v>
      </c>
      <c r="FZ19" s="68">
        <f t="shared" ref="FZ19" si="347">FZ18*FZ20</f>
        <v>4676.6207228399999</v>
      </c>
      <c r="GC19" s="68">
        <f>GC18*GC20</f>
        <v>4804.2615187951997</v>
      </c>
      <c r="GD19" s="68">
        <f>GD18*GD20</f>
        <v>4822.3252932271998</v>
      </c>
      <c r="GE19" s="68">
        <f>GE18*GE20</f>
        <v>4881.0351174903999</v>
      </c>
      <c r="GF19" s="68">
        <f>GF18*GF20</f>
        <v>4637.2711218459999</v>
      </c>
      <c r="GG19" s="68">
        <f t="shared" ref="GG19" si="348">GG18*GG20</f>
        <v>4684.9625639959995</v>
      </c>
      <c r="GJ19" s="68">
        <f>GJ18*GJ20</f>
        <v>4858.2352020048002</v>
      </c>
      <c r="GK19" s="68">
        <f>GK18*GK20</f>
        <v>4805.1134280555998</v>
      </c>
      <c r="GL19" s="68">
        <f>GL18*GL20</f>
        <v>4717.6424178730003</v>
      </c>
      <c r="GM19" s="68">
        <f>GM18*GM20</f>
        <v>4730.5048323389992</v>
      </c>
      <c r="GN19" s="68">
        <f t="shared" ref="GN19" si="349">GN18*GN20</f>
        <v>4640.0660508971996</v>
      </c>
      <c r="GQ19" s="68">
        <f>GQ18*GQ20</f>
        <v>4233.6822292688003</v>
      </c>
      <c r="GR19" s="68">
        <f>GR18*GR20</f>
        <v>4453.2350660269994</v>
      </c>
      <c r="GS19" s="68">
        <f>GS18*GS20</f>
        <v>4608.2496143969993</v>
      </c>
      <c r="GT19" s="68">
        <f>GT18*GT20</f>
        <v>4659.781614818</v>
      </c>
      <c r="GU19" s="68">
        <f t="shared" ref="GU19" si="350">GU18*GU20</f>
        <v>4724.5714283019997</v>
      </c>
      <c r="GX19" s="68">
        <f>GX18*GX20</f>
        <v>4863.6925624452006</v>
      </c>
      <c r="GY19" s="68">
        <f>GY18*GY20</f>
        <v>4927.3710710795995</v>
      </c>
      <c r="GZ19" s="68">
        <f>GZ18*GZ20</f>
        <v>4936.0197292009998</v>
      </c>
      <c r="HA19" s="68">
        <f>HA18*HA20</f>
        <v>4850.0436057018005</v>
      </c>
      <c r="HB19" s="68">
        <f t="shared" ref="HB19" si="351">HB18*HB20</f>
        <v>4750.0742519999994</v>
      </c>
      <c r="HE19" s="68">
        <f>HE18*HE20</f>
        <v>4764.2697119951999</v>
      </c>
      <c r="HF19" s="68">
        <f>HF18*HF20</f>
        <v>4957.0889738941996</v>
      </c>
      <c r="HG19" s="68">
        <f>HG18*HG20</f>
        <v>4961.7724465760002</v>
      </c>
      <c r="HH19" s="68">
        <f>HH18*HH20</f>
        <v>4893.4606644572004</v>
      </c>
      <c r="HI19" s="68">
        <f t="shared" ref="HI19" si="352">HI18*HI20</f>
        <v>4929.2569471199995</v>
      </c>
      <c r="HL19" s="68">
        <f>HL18*HL20</f>
        <v>4825.1473391043992</v>
      </c>
      <c r="HM19" s="68">
        <f>HM18*HM20</f>
        <v>4728.3501910743998</v>
      </c>
      <c r="HN19" s="68">
        <f>HN18*HN20</f>
        <v>4731.6336639176006</v>
      </c>
      <c r="HO19" s="68">
        <f>HO18*HO20</f>
        <v>4609.852703829999</v>
      </c>
      <c r="HP19" s="68">
        <f t="shared" ref="HP19" si="353">HP18*HP20</f>
        <v>4749.2290006919993</v>
      </c>
      <c r="HS19" s="68">
        <f>HS18*HS20</f>
        <v>4866.7755471456003</v>
      </c>
      <c r="HT19" s="68">
        <f>HT18*HT20</f>
        <v>4710.8454641819999</v>
      </c>
      <c r="HU19" s="68">
        <f>HU18*HU20</f>
        <v>4528.1249271631996</v>
      </c>
      <c r="HV19" s="68">
        <f>HV18*HV20</f>
        <v>4695.8491539256001</v>
      </c>
      <c r="HW19" s="68">
        <f t="shared" ref="HW19" si="354">HW18*HW20</f>
        <v>4745.2727880558004</v>
      </c>
      <c r="HZ19" s="68">
        <f>HZ18*HZ20</f>
        <v>4724.0455382472001</v>
      </c>
      <c r="IA19" s="68">
        <f>IA18*IA20</f>
        <v>4436.1669641255994</v>
      </c>
      <c r="IB19" s="68">
        <f>IB18*IB20</f>
        <v>4496.9113440020001</v>
      </c>
      <c r="IC19" s="68">
        <f>IC18*IC20</f>
        <v>4689.737770916</v>
      </c>
      <c r="ID19" s="68">
        <f t="shared" ref="ID19" si="355">ID18*ID20</f>
        <v>4701.7233418694004</v>
      </c>
      <c r="IG19" s="68">
        <f>IG18*IG20</f>
        <v>4680.4170784799999</v>
      </c>
      <c r="IH19" s="68">
        <f>IH18*IH20</f>
        <v>4677.1072383815999</v>
      </c>
      <c r="II19" s="68">
        <f>II18*II20</f>
        <v>4562.61761802</v>
      </c>
      <c r="IJ19" s="68">
        <f>IJ18*IJ20</f>
        <v>4722.0321910783996</v>
      </c>
      <c r="IK19" s="68">
        <f t="shared" ref="IK19" si="356">IK18*IK20</f>
        <v>4734.7923773149996</v>
      </c>
      <c r="IN19" s="68">
        <f>IN18*IN20</f>
        <v>4721.1587867729995</v>
      </c>
      <c r="IO19" s="68">
        <f>IO18*IO20</f>
        <v>4547.3219644600003</v>
      </c>
      <c r="IP19" s="68">
        <f>IP18*IP20</f>
        <v>4481.2321967930002</v>
      </c>
      <c r="IQ19" s="68">
        <f>IQ18*IQ20</f>
        <v>4481.2321967930002</v>
      </c>
      <c r="IR19" s="68">
        <f t="shared" ref="IR19" si="357">IR18*IR20</f>
        <v>4465.8343590959994</v>
      </c>
      <c r="IU19" s="68">
        <f>IU18*IU20</f>
        <v>4423.8036094889994</v>
      </c>
      <c r="IV19" s="68">
        <f>IV18*IV20</f>
        <v>4498.4663506728002</v>
      </c>
      <c r="IW19" s="68">
        <f>IW18*IW20</f>
        <v>4653.4727419487999</v>
      </c>
      <c r="IX19" s="68">
        <f>IX18*IX20</f>
        <v>4613.7221205767992</v>
      </c>
      <c r="IY19" s="68">
        <f t="shared" ref="IY19" si="358">IY18*IY20</f>
        <v>4602.4874652416001</v>
      </c>
      <c r="JB19" s="68">
        <f>JB18*JB20</f>
        <v>4694.9238308191998</v>
      </c>
      <c r="JC19" s="68">
        <f>JC18*JC20</f>
        <v>4517.1205223407997</v>
      </c>
      <c r="JD19" s="68">
        <f>JD18*JD20</f>
        <v>4348.2362245343993</v>
      </c>
      <c r="JE19" s="68">
        <f>JE18*JE20</f>
        <v>4248.7390342979998</v>
      </c>
      <c r="JF19" s="68">
        <f t="shared" ref="JF19" si="359">JF18*JF20</f>
        <v>4532.7137114159996</v>
      </c>
      <c r="JI19" s="68">
        <f>JI18*JI20</f>
        <v>4456.2474587950001</v>
      </c>
      <c r="JJ19" s="68">
        <f>JJ18*JJ20</f>
        <v>4423.4753195248004</v>
      </c>
      <c r="JK19" s="68">
        <f>JK18*JK20</f>
        <v>4557.5171414651995</v>
      </c>
      <c r="JL19" s="68">
        <f>JL18*JL20</f>
        <v>4732.3803246192001</v>
      </c>
      <c r="JM19" s="68">
        <f t="shared" ref="JM19" si="360">JM18*JM20</f>
        <v>4574.6418800543997</v>
      </c>
      <c r="JP19" s="68">
        <f>JP18*JP20</f>
        <v>4898.9800188119998</v>
      </c>
      <c r="JQ19" s="68">
        <f>JQ18*JQ20</f>
        <v>4815.7647629849998</v>
      </c>
      <c r="JR19" s="68">
        <f>JR18*JR20</f>
        <v>4740.0537911298006</v>
      </c>
      <c r="JS19" s="68">
        <f>JS18*JS20</f>
        <v>4715.0772322720004</v>
      </c>
      <c r="JT19" s="68">
        <f t="shared" ref="JT19" si="361">JT18*JT20</f>
        <v>4725.7580650169994</v>
      </c>
      <c r="JW19" s="68">
        <f>JW18*JW20</f>
        <v>4650.4260673397994</v>
      </c>
      <c r="JX19" s="68">
        <f>JX18*JX20</f>
        <v>4427.8071112241996</v>
      </c>
      <c r="JY19" s="68">
        <f>JY18*JY20</f>
        <v>4399.2825251231998</v>
      </c>
      <c r="JZ19" s="68">
        <v>4399.2825251231998</v>
      </c>
      <c r="KA19" s="68">
        <f t="shared" ref="KA19" si="362">KA18*KA20</f>
        <v>4614.7540150139994</v>
      </c>
      <c r="KD19" s="68">
        <f>KD18*KD20</f>
        <v>4653.1712822099989</v>
      </c>
      <c r="KE19" s="68">
        <f>KE18*KE20</f>
        <v>4592.7842050970003</v>
      </c>
      <c r="KF19" s="68">
        <f>KF18*KF20</f>
        <v>4554.9342968579995</v>
      </c>
      <c r="KG19" s="68">
        <f>KG18*KG20</f>
        <v>4390.8604578453997</v>
      </c>
      <c r="KH19" s="68">
        <f t="shared" ref="KH19" si="363">KH18*KH20</f>
        <v>4387.5900804450002</v>
      </c>
      <c r="KK19" s="68">
        <f>KK18*KK20</f>
        <v>4361.5096242607997</v>
      </c>
      <c r="KL19" s="68">
        <f>KL18*KL20</f>
        <v>4394.8412740407994</v>
      </c>
      <c r="KM19" s="68">
        <f>KM18*KM20</f>
        <v>4451.372933744</v>
      </c>
      <c r="KN19" s="68">
        <f>KN18*KN20</f>
        <v>4385.1357431376</v>
      </c>
      <c r="KO19" s="68">
        <f t="shared" ref="KO19" si="364">KO18*KO20</f>
        <v>4392.5704052097999</v>
      </c>
      <c r="KR19" s="68">
        <f>KR18*KR20</f>
        <v>4458.5522567278003</v>
      </c>
      <c r="KS19" s="68">
        <f>KS18*KS20</f>
        <v>4562.2543848287996</v>
      </c>
      <c r="KT19" s="68">
        <f>KT18*KT20</f>
        <v>4470.3441297680001</v>
      </c>
      <c r="KU19" s="68">
        <f>KU18*KU20</f>
        <v>4470.3441297680001</v>
      </c>
      <c r="KV19" s="68">
        <f t="shared" ref="KV19" si="365">KV18*KV20</f>
        <v>4405.5803748924</v>
      </c>
      <c r="KY19" s="68">
        <f>KY18*KY20</f>
        <v>4569.1428522960005</v>
      </c>
      <c r="KZ19" s="68">
        <f>KZ18*KZ20</f>
        <v>4558.8473430345994</v>
      </c>
      <c r="LA19" s="68">
        <f>LA18*LA20</f>
        <v>4733.4192297480004</v>
      </c>
      <c r="LB19" s="68">
        <f>LB18*LB20</f>
        <v>4694.1293739560006</v>
      </c>
      <c r="LC19" s="68">
        <f t="shared" ref="LC19" si="366">LC18*LC20</f>
        <v>4795.8139440639989</v>
      </c>
      <c r="LF19" s="68">
        <f>LF18*LF20</f>
        <v>4998.1992064663991</v>
      </c>
      <c r="LG19" s="68">
        <f>LG18*LG20</f>
        <v>4963.4897353249999</v>
      </c>
      <c r="LH19" s="68">
        <f>LH18*LH20</f>
        <v>4963.4897353249999</v>
      </c>
      <c r="LI19" s="68">
        <f>LI18*LI20</f>
        <v>4886.1882844631991</v>
      </c>
      <c r="LJ19" s="68">
        <f t="shared" ref="LJ19" si="367">LJ18*LJ20</f>
        <v>4900.8293863452</v>
      </c>
      <c r="LM19" s="68">
        <f>LM18*LM20</f>
        <v>5006.3375171039997</v>
      </c>
      <c r="LN19" s="68">
        <f>LN18*LN20</f>
        <v>5131.0658116233999</v>
      </c>
      <c r="LO19" s="68">
        <f>LO18*LO20</f>
        <v>5084.408181929999</v>
      </c>
      <c r="LP19" s="68">
        <f>LP18*LP20</f>
        <v>5080.5661906559999</v>
      </c>
      <c r="LQ19" s="68">
        <f t="shared" ref="LQ19" si="368">LQ18*LQ20</f>
        <v>4856.8830644664004</v>
      </c>
      <c r="LT19" s="68">
        <f>LT18*LT20</f>
        <v>4900.2721025015999</v>
      </c>
      <c r="LU19" s="68">
        <f>LU18*LU20</f>
        <v>4884.3218531712</v>
      </c>
      <c r="LV19" s="68">
        <f>LV18*LV20</f>
        <v>4819.7234888879993</v>
      </c>
      <c r="LW19" s="68">
        <f>LW18*LW20</f>
        <v>4764.4573692495997</v>
      </c>
      <c r="LX19" s="68">
        <f t="shared" ref="LX19" si="369">LX18*LX20</f>
        <v>4682.4758408207999</v>
      </c>
      <c r="MA19" s="68">
        <f>MA18*MA20</f>
        <v>4652.3944182143996</v>
      </c>
      <c r="MB19" s="68">
        <f>MB18*MB20</f>
        <v>4445.4259272016006</v>
      </c>
      <c r="MC19" s="68">
        <f>MC18*MC20</f>
        <v>4138.6937073944</v>
      </c>
      <c r="MD19" s="68">
        <f>MD18*MD20</f>
        <v>4328.1630271571994</v>
      </c>
      <c r="ME19" s="68">
        <f t="shared" ref="ME19" si="370">ME18*ME20</f>
        <v>4242.6109623149996</v>
      </c>
      <c r="MH19" s="68">
        <f>MH18*MH20</f>
        <v>4366.1313455363997</v>
      </c>
      <c r="MI19" s="68">
        <f>MI18*MI20</f>
        <v>4601.6280823194002</v>
      </c>
      <c r="MJ19" s="68">
        <f>MJ18*MJ20</f>
        <v>4461.4725625184001</v>
      </c>
      <c r="MK19" s="68">
        <f>MK18*MK20</f>
        <v>4343.2215958823999</v>
      </c>
      <c r="ML19" s="68">
        <f t="shared" ref="ML19" si="371">ML18*ML20</f>
        <v>4463.6964288509998</v>
      </c>
      <c r="MO19" s="68">
        <f>MO18*MO20</f>
        <v>4643.4708219328004</v>
      </c>
      <c r="MP19" s="68">
        <f>MP18*MP20</f>
        <v>4583.938057116</v>
      </c>
      <c r="MQ19" s="68">
        <f>MQ18*MQ20</f>
        <v>4306.6056355035998</v>
      </c>
      <c r="MR19" s="68">
        <f>MR18*MR20</f>
        <v>4303.4845549696001</v>
      </c>
      <c r="MS19" s="68">
        <f t="shared" ref="MS19" si="372">MS18*MS20</f>
        <v>4076.0480191376</v>
      </c>
      <c r="MV19" s="68">
        <f>MV18*MV20</f>
        <v>4076.0480191376</v>
      </c>
      <c r="MW19" s="68">
        <f>MW18*MW20</f>
        <v>4148.8350255329997</v>
      </c>
      <c r="MX19" s="68">
        <f>MX18*MX20</f>
        <v>4178.6581769064005</v>
      </c>
      <c r="MY19" s="68">
        <f>MY18*MY20</f>
        <v>4001.1447759580001</v>
      </c>
      <c r="MZ19" s="68">
        <f t="shared" ref="MZ19" si="373">MZ18*MZ20</f>
        <v>4001.1447759580001</v>
      </c>
    </row>
    <row r="20" spans="1:378" s="38" customFormat="1" x14ac:dyDescent="0.25">
      <c r="A20" s="27" t="s">
        <v>0</v>
      </c>
      <c r="C20" s="38">
        <v>5.3433000000000002</v>
      </c>
      <c r="D20" s="38">
        <v>5.3756000000000004</v>
      </c>
      <c r="E20" s="38">
        <v>5.4455999999999998</v>
      </c>
      <c r="F20" s="38">
        <v>5.4023000000000003</v>
      </c>
      <c r="G20" s="38">
        <v>5.2851999999999997</v>
      </c>
      <c r="J20" s="38">
        <v>5.2964000000000002</v>
      </c>
      <c r="K20" s="38">
        <v>5.2392000000000003</v>
      </c>
      <c r="L20" s="38">
        <v>5.2016999999999998</v>
      </c>
      <c r="M20" s="38">
        <v>5.1397000000000004</v>
      </c>
      <c r="N20" s="38">
        <v>5.1112000000000002</v>
      </c>
      <c r="Q20" s="38">
        <v>5.1143000000000001</v>
      </c>
      <c r="R20" s="38">
        <v>5.12</v>
      </c>
      <c r="S20" s="38">
        <v>5.0906000000000002</v>
      </c>
      <c r="T20" s="38">
        <v>5.2141000000000002</v>
      </c>
      <c r="U20" s="38">
        <v>5.1919000000000004</v>
      </c>
      <c r="X20" s="38">
        <v>5.1919000000000004</v>
      </c>
      <c r="Y20" s="38">
        <v>5.1692999999999998</v>
      </c>
      <c r="Z20" s="38">
        <v>5.1039000000000003</v>
      </c>
      <c r="AA20" s="38">
        <v>5.0948000000000002</v>
      </c>
      <c r="AB20" s="38">
        <v>5.0761000000000003</v>
      </c>
      <c r="AE20" s="38">
        <v>5.0956000000000001</v>
      </c>
      <c r="AF20" s="38">
        <v>5.0990000000000002</v>
      </c>
      <c r="AG20" s="38">
        <v>5.0717999999999996</v>
      </c>
      <c r="AH20" s="38">
        <v>4.9897999999999998</v>
      </c>
      <c r="AI20" s="38">
        <v>5.1026999999999996</v>
      </c>
      <c r="AL20" s="38">
        <v>5.1760000000000002</v>
      </c>
      <c r="AM20" s="38">
        <v>5.1692</v>
      </c>
      <c r="AN20" s="38">
        <v>5.2032999999999996</v>
      </c>
      <c r="AO20" s="38">
        <v>5.2312000000000003</v>
      </c>
      <c r="AP20" s="38">
        <v>5.2523</v>
      </c>
      <c r="AS20" s="38">
        <v>5.1830999999999996</v>
      </c>
      <c r="AT20" s="38">
        <v>5.1504000000000003</v>
      </c>
      <c r="AU20" s="38">
        <v>5.2278000000000002</v>
      </c>
      <c r="AV20" s="38">
        <v>5.2428999999999997</v>
      </c>
      <c r="AW20" s="38">
        <v>5.2008999999999999</v>
      </c>
      <c r="AZ20" s="38">
        <v>5.2008999999999999</v>
      </c>
      <c r="BA20" s="38">
        <v>5.2008999999999999</v>
      </c>
      <c r="BB20" s="38">
        <v>5.1726999999999999</v>
      </c>
      <c r="BC20" s="38">
        <v>5.1326999999999998</v>
      </c>
      <c r="BD20" s="38">
        <v>5.1787999999999998</v>
      </c>
      <c r="BG20" s="38">
        <v>5.1957000000000004</v>
      </c>
      <c r="BH20" s="38">
        <v>5.2074999999999996</v>
      </c>
      <c r="BI20" s="38">
        <v>5.2066999999999997</v>
      </c>
      <c r="BJ20" s="38">
        <v>5.2077</v>
      </c>
      <c r="BK20" s="38">
        <v>5.2034000000000002</v>
      </c>
      <c r="BN20" s="38">
        <v>5.1966999999999999</v>
      </c>
      <c r="BO20" s="38">
        <v>5.1898</v>
      </c>
      <c r="BP20" s="38">
        <v>5.1383999999999999</v>
      </c>
      <c r="BQ20" s="38">
        <v>5.1349999999999998</v>
      </c>
      <c r="BR20" s="38">
        <v>5.1818999999999997</v>
      </c>
      <c r="BU20" s="38">
        <v>5.2374999999999998</v>
      </c>
      <c r="BV20" s="38">
        <v>5.2359</v>
      </c>
      <c r="BW20" s="38">
        <v>5.2977999999999996</v>
      </c>
      <c r="BX20" s="38">
        <v>5.2888999999999999</v>
      </c>
      <c r="BY20" s="38">
        <v>5.2675999999999998</v>
      </c>
      <c r="CB20" s="38">
        <v>5.2464000000000004</v>
      </c>
      <c r="CC20" s="38">
        <v>5.2441000000000004</v>
      </c>
      <c r="CD20" s="38">
        <v>5.2645</v>
      </c>
      <c r="CE20" s="38">
        <v>5.2629000000000001</v>
      </c>
      <c r="CF20" s="38">
        <v>5.2918000000000003</v>
      </c>
      <c r="CI20" s="38">
        <v>5.2302999999999997</v>
      </c>
      <c r="CJ20" s="38">
        <v>5.173</v>
      </c>
      <c r="CK20" s="38">
        <v>5.149</v>
      </c>
      <c r="CL20" s="38">
        <v>5.1250999999999998</v>
      </c>
      <c r="CM20" s="38">
        <v>5.0801999999999996</v>
      </c>
      <c r="CP20" s="38">
        <v>5.0631000000000004</v>
      </c>
      <c r="CQ20" s="38">
        <v>5.0758999999999999</v>
      </c>
      <c r="CR20" s="38">
        <v>5.0444000000000004</v>
      </c>
      <c r="CS20" s="38">
        <v>5.0679999999999996</v>
      </c>
      <c r="CT20" s="38">
        <v>5.0679999999999996</v>
      </c>
      <c r="CW20" s="38">
        <v>5.0831</v>
      </c>
      <c r="CX20" s="38">
        <v>5.0125000000000002</v>
      </c>
      <c r="CY20" s="38">
        <v>4.9493</v>
      </c>
      <c r="CZ20" s="38">
        <v>4.9093999999999998</v>
      </c>
      <c r="DA20" s="38">
        <v>4.9451999999999998</v>
      </c>
      <c r="DD20" s="38">
        <v>4.9417999999999997</v>
      </c>
      <c r="DE20" s="38">
        <v>4.9675000000000002</v>
      </c>
      <c r="DF20" s="38">
        <v>5.0464000000000002</v>
      </c>
      <c r="DG20" s="38">
        <v>5.0494000000000003</v>
      </c>
      <c r="DH20" s="38">
        <v>5.0494000000000003</v>
      </c>
      <c r="DK20" s="38">
        <v>5.0591999999999997</v>
      </c>
      <c r="DL20" s="38">
        <v>5.0609999999999999</v>
      </c>
      <c r="DM20" s="38">
        <v>5.0582000000000003</v>
      </c>
      <c r="DN20" s="38">
        <v>5.0147000000000004</v>
      </c>
      <c r="DO20" s="38">
        <v>5.0004</v>
      </c>
      <c r="DR20" s="38">
        <v>5.0004</v>
      </c>
      <c r="DS20" s="38">
        <v>5.0331999999999999</v>
      </c>
      <c r="DT20" s="38">
        <v>5.0224000000000002</v>
      </c>
      <c r="DU20" s="38">
        <v>5.0103</v>
      </c>
      <c r="DV20" s="38">
        <v>4.9692999999999996</v>
      </c>
      <c r="DY20" s="38">
        <v>4.9692999999999996</v>
      </c>
      <c r="DZ20" s="38">
        <v>5.0004</v>
      </c>
      <c r="EA20" s="38">
        <v>4.9543999999999997</v>
      </c>
      <c r="EB20" s="38">
        <v>4.9692999999999996</v>
      </c>
      <c r="EC20" s="38">
        <v>4.9230999999999998</v>
      </c>
      <c r="EF20" s="38">
        <v>4.91</v>
      </c>
      <c r="EG20" s="38">
        <v>4.9119000000000002</v>
      </c>
      <c r="EH20" s="38">
        <v>4.9509999999999996</v>
      </c>
      <c r="EI20" s="38">
        <v>4.9644000000000004</v>
      </c>
      <c r="EJ20" s="38">
        <v>4.9855</v>
      </c>
      <c r="EM20" s="38">
        <v>4.9676999999999998</v>
      </c>
      <c r="EN20" s="38">
        <v>4.9671000000000003</v>
      </c>
      <c r="EO20" s="38">
        <v>4.9470999999999998</v>
      </c>
      <c r="EP20" s="38">
        <v>4.9987000000000004</v>
      </c>
      <c r="EQ20" s="38">
        <v>5.0110999999999999</v>
      </c>
      <c r="ET20" s="38">
        <v>4.9950999999999999</v>
      </c>
      <c r="EU20" s="38">
        <v>5.0590999999999999</v>
      </c>
      <c r="EV20" s="38">
        <v>5.0956000000000001</v>
      </c>
      <c r="EW20" s="38">
        <v>5.0347</v>
      </c>
      <c r="EX20" s="38">
        <v>4.9554999999999998</v>
      </c>
      <c r="FA20" s="38">
        <v>4.9233000000000002</v>
      </c>
      <c r="FB20" s="38">
        <v>4.9288999999999996</v>
      </c>
      <c r="FC20" s="38">
        <v>4.9116</v>
      </c>
      <c r="FD20" s="38">
        <v>4.9116</v>
      </c>
      <c r="FE20" s="38">
        <v>4.8918999999999997</v>
      </c>
      <c r="FH20" s="38">
        <v>4.8829000000000002</v>
      </c>
      <c r="FI20" s="38">
        <v>4.8529999999999998</v>
      </c>
      <c r="FJ20" s="38">
        <v>4.8459000000000003</v>
      </c>
      <c r="FK20" s="38">
        <v>4.8219000000000003</v>
      </c>
      <c r="FL20" s="38">
        <v>4.8282999999999996</v>
      </c>
      <c r="FO20" s="38">
        <v>4.7779999999999996</v>
      </c>
      <c r="FP20" s="38">
        <v>4.7927</v>
      </c>
      <c r="FQ20" s="38">
        <v>4.7792000000000003</v>
      </c>
      <c r="FR20" s="38">
        <v>4.7747000000000002</v>
      </c>
      <c r="FS20" s="38">
        <v>4.7796000000000003</v>
      </c>
      <c r="FV20" s="38">
        <v>4.7694999999999999</v>
      </c>
      <c r="FW20" s="38">
        <v>4.79</v>
      </c>
      <c r="FX20" s="38">
        <v>4.8559999999999999</v>
      </c>
      <c r="FY20" s="38">
        <v>4.8581000000000003</v>
      </c>
      <c r="FZ20" s="38">
        <v>4.82</v>
      </c>
      <c r="GC20" s="38">
        <v>4.7873000000000001</v>
      </c>
      <c r="GD20" s="38">
        <v>4.8052999999999999</v>
      </c>
      <c r="GE20" s="38">
        <v>4.8574000000000002</v>
      </c>
      <c r="GF20" s="38">
        <v>4.8974000000000002</v>
      </c>
      <c r="GG20" s="38">
        <v>4.8795999999999999</v>
      </c>
      <c r="GJ20" s="38">
        <v>4.8731999999999998</v>
      </c>
      <c r="GK20" s="38">
        <v>4.8945999999999996</v>
      </c>
      <c r="GL20" s="38">
        <v>4.8055000000000003</v>
      </c>
      <c r="GM20" s="38">
        <v>4.8034999999999997</v>
      </c>
      <c r="GN20" s="38">
        <v>4.7953999999999999</v>
      </c>
      <c r="GQ20" s="38">
        <v>4.8299000000000003</v>
      </c>
      <c r="GR20" s="38">
        <v>4.8037000000000001</v>
      </c>
      <c r="GS20" s="38">
        <v>4.7996999999999996</v>
      </c>
      <c r="GT20" s="38">
        <v>4.7885</v>
      </c>
      <c r="GU20" s="38">
        <v>4.7728999999999999</v>
      </c>
      <c r="GX20" s="38">
        <v>4.7454000000000001</v>
      </c>
      <c r="GY20" s="38">
        <v>4.7492999999999999</v>
      </c>
      <c r="GZ20" s="38">
        <v>4.7365000000000004</v>
      </c>
      <c r="HA20" s="38">
        <v>4.7199</v>
      </c>
      <c r="HB20" s="38">
        <v>4.7249999999999996</v>
      </c>
      <c r="HE20" s="38">
        <v>4.7412000000000001</v>
      </c>
      <c r="HF20" s="38">
        <v>4.7748999999999997</v>
      </c>
      <c r="HG20" s="38">
        <v>4.8079999999999998</v>
      </c>
      <c r="HH20" s="38">
        <v>4.8794000000000004</v>
      </c>
      <c r="HI20" s="38">
        <v>4.8605999999999998</v>
      </c>
      <c r="HL20" s="38">
        <v>4.9006999999999996</v>
      </c>
      <c r="HM20" s="38">
        <v>4.9214000000000002</v>
      </c>
      <c r="HN20" s="38">
        <v>4.9012000000000002</v>
      </c>
      <c r="HO20" s="38">
        <v>4.8514999999999997</v>
      </c>
      <c r="HP20" s="38">
        <v>4.8914999999999997</v>
      </c>
      <c r="HS20" s="38">
        <v>4.9809000000000001</v>
      </c>
      <c r="HT20" s="38">
        <v>4.9809000000000001</v>
      </c>
      <c r="HU20" s="38">
        <v>4.9767999999999999</v>
      </c>
      <c r="HV20" s="38">
        <v>4.9813000000000001</v>
      </c>
      <c r="HW20" s="38">
        <v>4.9721000000000002</v>
      </c>
      <c r="HZ20" s="38">
        <v>4.9843999999999999</v>
      </c>
      <c r="IA20" s="38">
        <v>4.9428000000000001</v>
      </c>
      <c r="IB20" s="38">
        <v>4.8974000000000002</v>
      </c>
      <c r="IC20" s="38">
        <v>4.8745000000000003</v>
      </c>
      <c r="ID20" s="38">
        <v>4.8769</v>
      </c>
      <c r="IG20" s="38">
        <v>4.8360000000000003</v>
      </c>
      <c r="IH20" s="38">
        <v>4.8703000000000003</v>
      </c>
      <c r="II20" s="38">
        <v>4.8650000000000002</v>
      </c>
      <c r="IJ20" s="38">
        <v>4.9215999999999998</v>
      </c>
      <c r="IK20" s="38">
        <v>4.9314999999999998</v>
      </c>
      <c r="IN20" s="38">
        <v>4.9173</v>
      </c>
      <c r="IO20" s="38">
        <v>4.9702000000000002</v>
      </c>
      <c r="IP20" s="38">
        <v>4.9759000000000002</v>
      </c>
      <c r="IQ20" s="38">
        <v>4.9759000000000002</v>
      </c>
      <c r="IR20" s="38">
        <v>4.9832000000000001</v>
      </c>
      <c r="IU20" s="38">
        <v>4.9363000000000001</v>
      </c>
      <c r="IV20" s="38">
        <v>4.9501999999999997</v>
      </c>
      <c r="IW20" s="38">
        <v>4.9168000000000003</v>
      </c>
      <c r="IX20" s="38">
        <v>4.8747999999999996</v>
      </c>
      <c r="IY20" s="38">
        <v>4.8685999999999998</v>
      </c>
      <c r="JB20" s="38">
        <v>4.8532000000000002</v>
      </c>
      <c r="JC20" s="38">
        <v>4.8483999999999998</v>
      </c>
      <c r="JD20" s="38">
        <v>4.8483999999999998</v>
      </c>
      <c r="JE20" s="38">
        <v>4.9226000000000001</v>
      </c>
      <c r="JF20" s="38">
        <v>4.9127999999999998</v>
      </c>
      <c r="JI20" s="38">
        <v>4.9603000000000002</v>
      </c>
      <c r="JJ20" s="38">
        <v>4.9714</v>
      </c>
      <c r="JK20" s="38">
        <v>5.0286</v>
      </c>
      <c r="JL20" s="38">
        <v>5.0472000000000001</v>
      </c>
      <c r="JM20" s="38">
        <v>5.0072999999999999</v>
      </c>
      <c r="JP20" s="38">
        <v>5.0675999999999997</v>
      </c>
      <c r="JQ20" s="38">
        <v>5.1097000000000001</v>
      </c>
      <c r="JR20" s="38">
        <v>5.1523000000000003</v>
      </c>
      <c r="JS20" s="38">
        <v>5.1710000000000003</v>
      </c>
      <c r="JT20" s="38">
        <v>5.1914999999999996</v>
      </c>
      <c r="JW20" s="38">
        <v>5.1662999999999997</v>
      </c>
      <c r="JX20" s="38">
        <v>5.0858999999999996</v>
      </c>
      <c r="JY20" s="38">
        <v>5.0492999999999997</v>
      </c>
      <c r="JZ20" s="38">
        <v>5.0492999999999997</v>
      </c>
      <c r="KA20" s="38">
        <v>5.0621999999999998</v>
      </c>
      <c r="KD20" s="38">
        <v>5.0614999999999997</v>
      </c>
      <c r="KE20" s="38">
        <v>5.0381</v>
      </c>
      <c r="KF20" s="38">
        <v>5.0564999999999998</v>
      </c>
      <c r="KG20" s="38">
        <v>5.0537000000000001</v>
      </c>
      <c r="KH20" s="38">
        <v>5.0525000000000002</v>
      </c>
      <c r="KK20" s="38">
        <v>5.0160999999999998</v>
      </c>
      <c r="KL20" s="38">
        <v>5.0061999999999998</v>
      </c>
      <c r="KM20" s="38">
        <v>4.9977999999999998</v>
      </c>
      <c r="KN20" s="38">
        <v>5.0052000000000003</v>
      </c>
      <c r="KO20" s="38">
        <v>4.9477000000000002</v>
      </c>
      <c r="KR20" s="38">
        <v>5.0071000000000003</v>
      </c>
      <c r="KS20" s="38">
        <v>5.0571999999999999</v>
      </c>
      <c r="KT20" s="38">
        <v>5.0190999999999999</v>
      </c>
      <c r="KU20" s="38">
        <v>5.0190999999999999</v>
      </c>
      <c r="KV20" s="38">
        <v>4.8906999999999998</v>
      </c>
      <c r="KY20" s="38">
        <v>4.8996000000000004</v>
      </c>
      <c r="KZ20" s="38">
        <v>4.8666999999999998</v>
      </c>
      <c r="LA20" s="38">
        <v>4.8852000000000002</v>
      </c>
      <c r="LB20" s="38">
        <v>4.9004000000000003</v>
      </c>
      <c r="LC20" s="38">
        <v>4.9215999999999998</v>
      </c>
      <c r="LF20" s="38">
        <v>4.9242999999999997</v>
      </c>
      <c r="LG20" s="38">
        <v>4.8678999999999997</v>
      </c>
      <c r="LH20" s="38">
        <v>4.8678999999999997</v>
      </c>
      <c r="LI20" s="38">
        <v>4.8571999999999997</v>
      </c>
      <c r="LJ20" s="38">
        <v>4.8845999999999998</v>
      </c>
      <c r="LM20" s="38">
        <v>4.8719999999999999</v>
      </c>
      <c r="LN20" s="38">
        <v>4.8803000000000001</v>
      </c>
      <c r="LO20" s="38">
        <v>4.8964999999999996</v>
      </c>
      <c r="LP20" s="38">
        <v>4.8928000000000003</v>
      </c>
      <c r="LQ20" s="38">
        <v>4.8924000000000003</v>
      </c>
      <c r="LT20" s="38">
        <v>4.8948</v>
      </c>
      <c r="LU20" s="38">
        <v>4.8864000000000001</v>
      </c>
      <c r="LV20" s="38">
        <v>4.8929999999999998</v>
      </c>
      <c r="LW20" s="38">
        <v>4.9352</v>
      </c>
      <c r="LX20" s="38">
        <v>4.9188000000000001</v>
      </c>
      <c r="MA20" s="38">
        <v>4.9088000000000003</v>
      </c>
      <c r="MB20" s="38">
        <v>4.9519000000000002</v>
      </c>
      <c r="MC20" s="38">
        <v>4.9028</v>
      </c>
      <c r="MD20" s="38">
        <v>4.8945999999999996</v>
      </c>
      <c r="ME20" s="38">
        <v>4.9154999999999998</v>
      </c>
      <c r="MH20" s="38">
        <v>4.9436999999999998</v>
      </c>
      <c r="MI20" s="38">
        <v>4.9473000000000003</v>
      </c>
      <c r="MJ20" s="38">
        <v>4.9576000000000002</v>
      </c>
      <c r="MK20" s="38">
        <v>4.8909000000000002</v>
      </c>
      <c r="ML20" s="38">
        <v>4.9394999999999998</v>
      </c>
      <c r="MO20" s="38">
        <v>4.9396000000000004</v>
      </c>
      <c r="MP20" s="38">
        <v>4.8659999999999997</v>
      </c>
      <c r="MQ20" s="38">
        <v>4.8762999999999996</v>
      </c>
      <c r="MR20" s="38">
        <v>4.8752000000000004</v>
      </c>
      <c r="MS20" s="38">
        <v>4.8616000000000001</v>
      </c>
      <c r="MV20" s="38">
        <v>4.8616000000000001</v>
      </c>
      <c r="MW20" s="38">
        <v>4.8365</v>
      </c>
      <c r="MX20" s="38">
        <v>4.8303000000000003</v>
      </c>
      <c r="MY20" s="38">
        <v>4.8410000000000002</v>
      </c>
      <c r="MZ20" s="38">
        <v>4.8410000000000002</v>
      </c>
    </row>
    <row r="21" spans="1:378" s="39" customFormat="1" x14ac:dyDescent="0.25">
      <c r="A21" s="16"/>
    </row>
    <row r="22" spans="1:378" s="47" customFormat="1" x14ac:dyDescent="0.25">
      <c r="A22" s="42" t="s">
        <v>86</v>
      </c>
      <c r="C22" s="47">
        <v>185</v>
      </c>
      <c r="D22" s="47">
        <v>185</v>
      </c>
      <c r="E22" s="47">
        <v>185</v>
      </c>
      <c r="F22" s="47">
        <v>184</v>
      </c>
      <c r="G22" s="47">
        <v>184</v>
      </c>
      <c r="J22" s="47">
        <v>183</v>
      </c>
      <c r="K22" s="47">
        <v>182</v>
      </c>
      <c r="L22" s="47">
        <v>183</v>
      </c>
      <c r="M22" s="47">
        <v>183</v>
      </c>
      <c r="N22" s="47">
        <v>181</v>
      </c>
      <c r="Q22" s="47">
        <v>180</v>
      </c>
      <c r="R22" s="47">
        <v>179</v>
      </c>
      <c r="S22" s="47">
        <v>178</v>
      </c>
      <c r="T22" s="47">
        <v>179</v>
      </c>
      <c r="U22" s="47">
        <v>179</v>
      </c>
      <c r="X22" s="47">
        <v>177</v>
      </c>
      <c r="Y22" s="47">
        <v>176</v>
      </c>
      <c r="Z22" s="47">
        <v>171</v>
      </c>
      <c r="AA22" s="47">
        <v>171</v>
      </c>
      <c r="AB22" s="47">
        <v>171</v>
      </c>
      <c r="AE22" s="47">
        <v>172</v>
      </c>
      <c r="AF22" s="47">
        <v>172</v>
      </c>
      <c r="AG22" s="47">
        <v>171</v>
      </c>
      <c r="AH22" s="47">
        <v>171</v>
      </c>
      <c r="AI22" s="47">
        <v>171</v>
      </c>
      <c r="AL22" s="47">
        <v>171</v>
      </c>
      <c r="AM22" s="47">
        <v>171</v>
      </c>
      <c r="AN22" s="47">
        <v>171</v>
      </c>
      <c r="AO22" s="47">
        <v>171</v>
      </c>
      <c r="AP22" s="47">
        <v>172</v>
      </c>
      <c r="AS22" s="47">
        <v>180</v>
      </c>
      <c r="AT22" s="47">
        <v>171</v>
      </c>
      <c r="AU22" s="47">
        <v>171</v>
      </c>
      <c r="AV22" s="47">
        <v>171</v>
      </c>
      <c r="AW22" s="47">
        <v>171</v>
      </c>
      <c r="AZ22" s="47">
        <v>171</v>
      </c>
      <c r="BA22" s="47">
        <v>171</v>
      </c>
      <c r="BB22" s="47">
        <v>171</v>
      </c>
      <c r="BC22" s="47">
        <v>170</v>
      </c>
      <c r="BD22" s="47">
        <v>171</v>
      </c>
      <c r="BG22" s="47">
        <v>171</v>
      </c>
      <c r="BH22" s="47">
        <v>167</v>
      </c>
      <c r="BI22" s="47">
        <v>168</v>
      </c>
      <c r="BJ22" s="47">
        <v>169</v>
      </c>
      <c r="BK22" s="47">
        <v>169</v>
      </c>
      <c r="BN22" s="47">
        <v>169</v>
      </c>
      <c r="BO22" s="47">
        <v>168</v>
      </c>
      <c r="BP22" s="47">
        <v>167</v>
      </c>
      <c r="BQ22" s="47">
        <v>167</v>
      </c>
      <c r="BR22" s="47">
        <v>165</v>
      </c>
      <c r="BU22" s="47">
        <v>163</v>
      </c>
      <c r="BV22" s="47">
        <v>164</v>
      </c>
      <c r="BW22" s="47">
        <v>168</v>
      </c>
      <c r="BX22" s="47">
        <v>165</v>
      </c>
      <c r="BY22" s="47">
        <v>165</v>
      </c>
      <c r="CB22" s="47">
        <v>163</v>
      </c>
      <c r="CC22" s="47">
        <v>158</v>
      </c>
      <c r="CD22" s="47">
        <v>157.5</v>
      </c>
      <c r="CE22" s="47">
        <v>151</v>
      </c>
      <c r="CF22" s="47">
        <v>150</v>
      </c>
      <c r="CI22" s="47">
        <v>150</v>
      </c>
      <c r="CJ22" s="47">
        <v>150</v>
      </c>
      <c r="CK22" s="47">
        <v>150</v>
      </c>
      <c r="CL22" s="47">
        <v>150</v>
      </c>
      <c r="CM22" s="47">
        <v>150</v>
      </c>
      <c r="CP22" s="47">
        <v>150</v>
      </c>
      <c r="CQ22" s="47">
        <v>150</v>
      </c>
      <c r="CR22" s="47">
        <v>149</v>
      </c>
      <c r="CS22" s="47">
        <v>145</v>
      </c>
      <c r="CT22" s="47">
        <v>145</v>
      </c>
      <c r="CW22" s="47">
        <v>149</v>
      </c>
      <c r="CX22" s="47">
        <v>147</v>
      </c>
      <c r="CY22" s="47">
        <v>147</v>
      </c>
      <c r="CZ22" s="47">
        <v>146</v>
      </c>
      <c r="DA22" s="47">
        <v>144</v>
      </c>
      <c r="DD22" s="47">
        <v>144</v>
      </c>
      <c r="DE22" s="47">
        <v>143</v>
      </c>
      <c r="DF22" s="47">
        <v>143</v>
      </c>
      <c r="DG22" s="47">
        <v>140.5</v>
      </c>
      <c r="DH22" s="47">
        <v>140.5</v>
      </c>
      <c r="DK22" s="47">
        <v>135</v>
      </c>
      <c r="DL22" s="47">
        <v>134</v>
      </c>
      <c r="DM22" s="47">
        <v>134</v>
      </c>
      <c r="DN22" s="47">
        <v>132</v>
      </c>
      <c r="DO22" s="47">
        <v>133</v>
      </c>
      <c r="DR22" s="47">
        <v>133</v>
      </c>
      <c r="DS22" s="47">
        <v>134</v>
      </c>
      <c r="DT22" s="47">
        <v>133</v>
      </c>
      <c r="DU22" s="47">
        <v>133</v>
      </c>
      <c r="DV22" s="47">
        <v>135</v>
      </c>
      <c r="DY22" s="47">
        <v>137</v>
      </c>
      <c r="DZ22" s="47">
        <v>135</v>
      </c>
      <c r="EA22" s="47">
        <v>135</v>
      </c>
      <c r="EB22" s="47">
        <v>134</v>
      </c>
      <c r="EC22" s="47">
        <v>134</v>
      </c>
      <c r="EF22" s="47">
        <v>134</v>
      </c>
      <c r="EG22" s="47">
        <v>131</v>
      </c>
      <c r="EH22" s="47">
        <v>130</v>
      </c>
      <c r="EI22" s="47">
        <v>130</v>
      </c>
      <c r="EJ22" s="47">
        <v>128</v>
      </c>
      <c r="EM22" s="47">
        <v>131</v>
      </c>
      <c r="EN22" s="47">
        <v>130</v>
      </c>
      <c r="EO22" s="47">
        <v>130</v>
      </c>
      <c r="EP22" s="47">
        <v>133</v>
      </c>
      <c r="EQ22" s="47">
        <v>133</v>
      </c>
      <c r="ET22" s="47">
        <v>134</v>
      </c>
      <c r="EU22" s="47">
        <v>133</v>
      </c>
      <c r="EV22" s="47">
        <v>134</v>
      </c>
      <c r="EW22" s="47">
        <v>134</v>
      </c>
      <c r="EX22" s="47">
        <v>134</v>
      </c>
      <c r="FA22" s="47">
        <v>134</v>
      </c>
      <c r="FB22" s="47">
        <v>134</v>
      </c>
      <c r="FC22" s="47">
        <v>133</v>
      </c>
      <c r="FD22" s="47">
        <v>133</v>
      </c>
      <c r="FE22" s="47">
        <v>133</v>
      </c>
      <c r="FH22" s="47">
        <v>133</v>
      </c>
      <c r="FI22" s="47">
        <v>134</v>
      </c>
      <c r="FJ22" s="47">
        <v>130</v>
      </c>
      <c r="FK22" s="47">
        <v>131</v>
      </c>
      <c r="FL22" s="47">
        <v>135</v>
      </c>
      <c r="FO22" s="47">
        <v>134</v>
      </c>
      <c r="FP22" s="47">
        <v>135</v>
      </c>
      <c r="FQ22" s="47">
        <v>137</v>
      </c>
      <c r="FR22" s="47">
        <v>135</v>
      </c>
      <c r="FS22" s="47">
        <v>135</v>
      </c>
      <c r="FV22" s="47">
        <v>138</v>
      </c>
      <c r="FW22" s="47">
        <v>137</v>
      </c>
      <c r="FX22" s="47">
        <v>136</v>
      </c>
      <c r="FY22" s="47">
        <v>136</v>
      </c>
      <c r="FZ22" s="47">
        <v>139</v>
      </c>
      <c r="GC22" s="47">
        <v>139</v>
      </c>
      <c r="GD22" s="47">
        <v>139</v>
      </c>
      <c r="GE22" s="47">
        <v>142</v>
      </c>
      <c r="GF22" s="47">
        <v>143</v>
      </c>
      <c r="GG22" s="47">
        <v>142</v>
      </c>
      <c r="GJ22" s="47">
        <v>143</v>
      </c>
      <c r="GK22" s="47">
        <v>146</v>
      </c>
      <c r="GL22" s="47">
        <v>143</v>
      </c>
      <c r="GM22" s="47">
        <v>145</v>
      </c>
      <c r="GN22" s="47">
        <v>146</v>
      </c>
      <c r="GQ22" s="47">
        <v>147</v>
      </c>
      <c r="GR22" s="47">
        <v>150</v>
      </c>
      <c r="GS22" s="47">
        <v>150</v>
      </c>
      <c r="GT22" s="47">
        <v>150</v>
      </c>
      <c r="GU22" s="47">
        <v>150</v>
      </c>
      <c r="GX22" s="47">
        <v>150</v>
      </c>
      <c r="GY22" s="47">
        <v>152</v>
      </c>
      <c r="GZ22" s="47">
        <v>152</v>
      </c>
      <c r="HA22" s="47">
        <v>152</v>
      </c>
      <c r="HB22" s="47">
        <v>148</v>
      </c>
      <c r="HE22" s="47">
        <v>146</v>
      </c>
      <c r="HF22" s="47">
        <v>146</v>
      </c>
      <c r="HG22" s="47">
        <v>145</v>
      </c>
      <c r="HH22" s="47">
        <v>148</v>
      </c>
      <c r="HI22" s="47">
        <v>150</v>
      </c>
      <c r="HL22" s="47">
        <v>149</v>
      </c>
      <c r="HM22" s="47">
        <v>148</v>
      </c>
      <c r="HN22" s="47">
        <v>149</v>
      </c>
      <c r="HO22" s="47">
        <v>148</v>
      </c>
      <c r="HP22" s="47">
        <v>147</v>
      </c>
      <c r="HS22" s="47">
        <v>149</v>
      </c>
      <c r="HT22" s="47">
        <v>148</v>
      </c>
      <c r="HU22" s="47">
        <v>149</v>
      </c>
      <c r="HV22" s="47">
        <v>150</v>
      </c>
      <c r="HW22" s="47">
        <v>152</v>
      </c>
      <c r="HZ22" s="47">
        <v>153</v>
      </c>
      <c r="IA22" s="47">
        <v>151</v>
      </c>
      <c r="IB22" s="47">
        <v>151</v>
      </c>
      <c r="IC22" s="47">
        <v>150</v>
      </c>
      <c r="ID22" s="47">
        <v>152</v>
      </c>
      <c r="IG22" s="47">
        <v>153</v>
      </c>
      <c r="IH22" s="47">
        <v>153</v>
      </c>
      <c r="II22" s="47">
        <v>152</v>
      </c>
      <c r="IJ22" s="47">
        <v>153</v>
      </c>
      <c r="IK22" s="47">
        <v>153.5</v>
      </c>
      <c r="IN22" s="47">
        <v>153</v>
      </c>
      <c r="IO22" s="47">
        <v>153</v>
      </c>
      <c r="IP22" s="47">
        <v>154</v>
      </c>
      <c r="IQ22" s="47">
        <v>154</v>
      </c>
      <c r="IR22" s="47">
        <v>152</v>
      </c>
      <c r="IU22" s="47">
        <v>152</v>
      </c>
      <c r="IV22" s="47">
        <v>150</v>
      </c>
      <c r="IW22" s="47">
        <v>149</v>
      </c>
      <c r="IX22" s="47">
        <v>150</v>
      </c>
      <c r="IY22" s="47">
        <v>149</v>
      </c>
      <c r="JB22" s="47">
        <v>147</v>
      </c>
      <c r="JC22" s="47">
        <v>144</v>
      </c>
      <c r="JD22" s="47">
        <v>144</v>
      </c>
      <c r="JE22" s="47">
        <v>144</v>
      </c>
      <c r="JF22" s="47">
        <v>144</v>
      </c>
      <c r="JI22" s="47">
        <v>144</v>
      </c>
      <c r="JJ22" s="47">
        <v>145</v>
      </c>
      <c r="JK22" s="47">
        <v>146</v>
      </c>
      <c r="JL22" s="47">
        <v>145</v>
      </c>
      <c r="JM22" s="47">
        <v>144</v>
      </c>
      <c r="JP22" s="47">
        <v>144</v>
      </c>
      <c r="JQ22" s="47">
        <v>145</v>
      </c>
      <c r="JR22" s="47">
        <v>145</v>
      </c>
      <c r="JS22" s="47">
        <v>145</v>
      </c>
      <c r="JT22" s="47">
        <v>143</v>
      </c>
      <c r="JW22" s="47">
        <v>143</v>
      </c>
      <c r="JX22" s="47">
        <v>143</v>
      </c>
      <c r="JY22" s="47">
        <v>142</v>
      </c>
      <c r="JZ22" s="47">
        <v>142</v>
      </c>
      <c r="KA22" s="47">
        <v>142</v>
      </c>
      <c r="KD22" s="47">
        <v>142</v>
      </c>
      <c r="KE22" s="47">
        <v>142</v>
      </c>
      <c r="KF22" s="47">
        <v>145</v>
      </c>
      <c r="KG22" s="47">
        <v>145</v>
      </c>
      <c r="KH22" s="47">
        <v>144</v>
      </c>
      <c r="KK22" s="47">
        <v>143</v>
      </c>
      <c r="KL22" s="47">
        <v>143</v>
      </c>
      <c r="KM22" s="47">
        <v>143</v>
      </c>
      <c r="KN22" s="47">
        <v>144</v>
      </c>
      <c r="KO22" s="47">
        <v>144</v>
      </c>
      <c r="KR22" s="47">
        <v>142</v>
      </c>
      <c r="KS22" s="47">
        <v>145</v>
      </c>
      <c r="KT22" s="47">
        <v>144</v>
      </c>
      <c r="KU22" s="47">
        <v>144</v>
      </c>
      <c r="KV22" s="47">
        <v>143</v>
      </c>
      <c r="KY22" s="47">
        <v>145</v>
      </c>
      <c r="KZ22" s="47">
        <v>144</v>
      </c>
      <c r="LA22" s="47">
        <v>144</v>
      </c>
      <c r="LB22" s="47">
        <v>145</v>
      </c>
      <c r="LC22" s="47">
        <v>145</v>
      </c>
      <c r="LF22" s="47">
        <v>151</v>
      </c>
      <c r="LG22" s="47">
        <v>150</v>
      </c>
      <c r="LH22" s="47">
        <v>150</v>
      </c>
      <c r="LI22" s="47">
        <v>147</v>
      </c>
      <c r="LJ22" s="47">
        <v>147</v>
      </c>
      <c r="LM22" s="47">
        <v>150</v>
      </c>
      <c r="LN22" s="47">
        <v>152</v>
      </c>
      <c r="LO22" s="47">
        <v>150</v>
      </c>
      <c r="LP22" s="47">
        <v>150</v>
      </c>
      <c r="LQ22" s="47">
        <v>148</v>
      </c>
      <c r="LT22" s="47">
        <v>147</v>
      </c>
      <c r="LU22" s="47">
        <v>149</v>
      </c>
      <c r="LV22" s="47">
        <v>149</v>
      </c>
      <c r="LW22" s="47">
        <v>152</v>
      </c>
      <c r="LX22" s="47">
        <v>150</v>
      </c>
      <c r="MA22" s="47">
        <v>149</v>
      </c>
      <c r="MB22" s="47">
        <v>147</v>
      </c>
      <c r="MC22" s="47">
        <v>147</v>
      </c>
      <c r="MD22" s="47">
        <v>149</v>
      </c>
      <c r="ME22" s="47">
        <v>147</v>
      </c>
      <c r="MH22" s="47">
        <v>149</v>
      </c>
      <c r="MI22" s="47">
        <v>149</v>
      </c>
      <c r="MJ22" s="47">
        <v>147</v>
      </c>
      <c r="MK22" s="47">
        <v>145</v>
      </c>
      <c r="ML22" s="47">
        <v>146</v>
      </c>
      <c r="MO22" s="47">
        <v>147</v>
      </c>
      <c r="MP22" s="47">
        <v>145</v>
      </c>
      <c r="MQ22" s="47">
        <v>145</v>
      </c>
      <c r="MR22" s="47">
        <v>143</v>
      </c>
      <c r="MS22" s="47">
        <v>143</v>
      </c>
      <c r="MV22" s="47">
        <v>143</v>
      </c>
      <c r="MW22" s="47">
        <v>144</v>
      </c>
      <c r="MX22" s="47">
        <v>142</v>
      </c>
      <c r="MY22" s="47">
        <v>139</v>
      </c>
      <c r="MZ22" s="47">
        <v>139</v>
      </c>
    </row>
    <row r="23" spans="1:378" s="40" customFormat="1" x14ac:dyDescent="0.25">
      <c r="A23" s="31" t="s">
        <v>87</v>
      </c>
      <c r="C23" s="40">
        <v>172</v>
      </c>
      <c r="D23" s="40">
        <v>175</v>
      </c>
      <c r="E23" s="40">
        <v>173</v>
      </c>
      <c r="F23" s="40">
        <v>169</v>
      </c>
      <c r="G23" s="40">
        <v>170</v>
      </c>
      <c r="J23" s="40">
        <v>166.5</v>
      </c>
      <c r="K23" s="40">
        <v>165</v>
      </c>
      <c r="L23" s="40">
        <v>163</v>
      </c>
      <c r="M23" s="40">
        <v>160.5</v>
      </c>
      <c r="N23" s="40">
        <v>160.5</v>
      </c>
      <c r="Q23" s="40">
        <v>160.5</v>
      </c>
      <c r="R23" s="40">
        <v>160.5</v>
      </c>
      <c r="S23" s="40">
        <v>160.5</v>
      </c>
      <c r="T23" s="40">
        <v>160.5</v>
      </c>
      <c r="U23" s="40">
        <v>158</v>
      </c>
      <c r="X23" s="40">
        <v>157</v>
      </c>
      <c r="Y23" s="40">
        <v>155</v>
      </c>
      <c r="Z23" s="40">
        <v>155</v>
      </c>
      <c r="AA23" s="40">
        <v>155</v>
      </c>
      <c r="AB23" s="40">
        <v>154</v>
      </c>
      <c r="AE23" s="40">
        <v>157</v>
      </c>
      <c r="AF23" s="40">
        <v>157</v>
      </c>
      <c r="AG23" s="40">
        <v>153</v>
      </c>
      <c r="AH23" s="40">
        <v>153</v>
      </c>
      <c r="AI23" s="40">
        <v>155</v>
      </c>
      <c r="AL23" s="40">
        <v>153</v>
      </c>
      <c r="AM23" s="40">
        <v>153</v>
      </c>
      <c r="AN23" s="40">
        <v>153</v>
      </c>
      <c r="AO23" s="40">
        <v>155</v>
      </c>
      <c r="AP23" s="40">
        <v>156</v>
      </c>
      <c r="AS23" s="40">
        <v>153.5</v>
      </c>
      <c r="AT23" s="40">
        <v>155.5</v>
      </c>
      <c r="AU23" s="40">
        <v>154</v>
      </c>
      <c r="AV23" s="40">
        <v>154</v>
      </c>
      <c r="AW23" s="40">
        <v>155</v>
      </c>
      <c r="AZ23" s="40">
        <v>155</v>
      </c>
      <c r="BA23" s="40">
        <v>155</v>
      </c>
      <c r="BB23" s="40">
        <v>154.5</v>
      </c>
      <c r="BC23" s="40">
        <v>154</v>
      </c>
      <c r="BD23" s="40">
        <v>154</v>
      </c>
      <c r="BG23" s="40">
        <v>153.5</v>
      </c>
      <c r="BH23" s="40">
        <v>150.5</v>
      </c>
      <c r="BI23" s="40">
        <v>150.5</v>
      </c>
      <c r="BJ23" s="40">
        <v>150.5</v>
      </c>
      <c r="BK23" s="40">
        <v>150.5</v>
      </c>
      <c r="BN23" s="40">
        <v>154</v>
      </c>
      <c r="BO23" s="40">
        <v>150</v>
      </c>
      <c r="BP23" s="40">
        <v>148</v>
      </c>
      <c r="BQ23" s="40">
        <v>148</v>
      </c>
      <c r="BR23" s="40">
        <v>150</v>
      </c>
      <c r="BU23" s="40">
        <v>150</v>
      </c>
      <c r="BV23" s="40">
        <v>150</v>
      </c>
      <c r="BW23" s="40">
        <v>150</v>
      </c>
      <c r="BX23" s="40">
        <v>149</v>
      </c>
      <c r="BY23" s="40">
        <v>147</v>
      </c>
      <c r="CB23" s="40">
        <v>145</v>
      </c>
      <c r="CC23" s="40">
        <v>143</v>
      </c>
      <c r="CD23" s="40">
        <v>142</v>
      </c>
      <c r="CE23" s="40">
        <v>139</v>
      </c>
      <c r="CF23" s="40">
        <v>136.5</v>
      </c>
      <c r="CI23" s="40">
        <v>136</v>
      </c>
      <c r="CJ23" s="40">
        <v>135.5</v>
      </c>
      <c r="CK23" s="40">
        <v>135.5</v>
      </c>
      <c r="CL23" s="40">
        <v>135</v>
      </c>
      <c r="CM23" s="40">
        <v>137</v>
      </c>
      <c r="CP23" s="40">
        <v>138</v>
      </c>
      <c r="CQ23" s="40">
        <v>137.5</v>
      </c>
      <c r="CR23" s="40">
        <v>136</v>
      </c>
      <c r="CS23" s="40">
        <v>134</v>
      </c>
      <c r="CT23" s="40">
        <v>134</v>
      </c>
      <c r="CW23" s="40">
        <v>132</v>
      </c>
      <c r="CX23" s="40">
        <v>131</v>
      </c>
      <c r="CY23" s="40">
        <v>127</v>
      </c>
      <c r="CZ23" s="40">
        <v>125</v>
      </c>
      <c r="DA23" s="40">
        <v>126.5</v>
      </c>
      <c r="DD23" s="40">
        <v>126.5</v>
      </c>
      <c r="DE23" s="40">
        <v>127</v>
      </c>
      <c r="DF23" s="40">
        <v>125</v>
      </c>
      <c r="DG23" s="40">
        <v>124.5</v>
      </c>
      <c r="DH23" s="40">
        <v>124.5</v>
      </c>
      <c r="DK23" s="40">
        <v>121</v>
      </c>
      <c r="DL23" s="40">
        <v>119</v>
      </c>
      <c r="DM23" s="40">
        <v>119.5</v>
      </c>
      <c r="DN23" s="40">
        <v>118.5</v>
      </c>
      <c r="DO23" s="40">
        <v>119</v>
      </c>
      <c r="DR23" s="40">
        <v>119</v>
      </c>
      <c r="DS23" s="40">
        <v>119</v>
      </c>
      <c r="DT23" s="40">
        <v>118.5</v>
      </c>
      <c r="DU23" s="40">
        <v>119</v>
      </c>
      <c r="DV23" s="40">
        <v>119</v>
      </c>
      <c r="DY23" s="40">
        <v>120</v>
      </c>
      <c r="DZ23" s="40">
        <v>120</v>
      </c>
      <c r="EA23" s="40">
        <v>118.5</v>
      </c>
      <c r="EB23" s="40">
        <v>118.5</v>
      </c>
      <c r="EC23" s="40">
        <v>117</v>
      </c>
      <c r="EF23" s="40">
        <v>117</v>
      </c>
      <c r="EG23" s="40">
        <v>115</v>
      </c>
      <c r="EH23" s="40">
        <v>115</v>
      </c>
      <c r="EI23" s="40">
        <v>120</v>
      </c>
      <c r="EJ23" s="40">
        <v>118</v>
      </c>
      <c r="EM23" s="40">
        <v>119</v>
      </c>
      <c r="EN23" s="40">
        <v>118.5</v>
      </c>
      <c r="EO23" s="40">
        <v>118.5</v>
      </c>
      <c r="EP23" s="40">
        <v>120</v>
      </c>
      <c r="EQ23" s="40">
        <v>120</v>
      </c>
      <c r="ET23" s="40">
        <v>120</v>
      </c>
      <c r="EU23" s="40">
        <v>116</v>
      </c>
      <c r="EV23" s="40">
        <v>116</v>
      </c>
      <c r="EW23" s="40">
        <v>118</v>
      </c>
      <c r="EX23" s="40">
        <v>119</v>
      </c>
      <c r="FA23" s="40">
        <v>118</v>
      </c>
      <c r="FB23" s="40">
        <v>119</v>
      </c>
      <c r="FC23" s="40">
        <v>117.5</v>
      </c>
      <c r="FD23" s="40">
        <v>117.5</v>
      </c>
      <c r="FE23" s="40">
        <v>118</v>
      </c>
      <c r="FH23" s="40">
        <v>117</v>
      </c>
      <c r="FI23" s="40">
        <v>116.5</v>
      </c>
      <c r="FJ23" s="40">
        <v>116.5</v>
      </c>
      <c r="FK23" s="40">
        <v>118.5</v>
      </c>
      <c r="FL23" s="40">
        <v>120.5</v>
      </c>
      <c r="FO23" s="40">
        <v>119.5</v>
      </c>
      <c r="FP23" s="40">
        <v>121.5</v>
      </c>
      <c r="FQ23" s="40">
        <v>121.5</v>
      </c>
      <c r="FR23" s="40">
        <v>119</v>
      </c>
      <c r="FS23" s="40">
        <v>118.5</v>
      </c>
      <c r="FV23" s="40">
        <v>120</v>
      </c>
      <c r="FW23" s="40">
        <v>120</v>
      </c>
      <c r="FX23" s="40">
        <v>120</v>
      </c>
      <c r="FY23" s="40">
        <v>120</v>
      </c>
      <c r="FZ23" s="40">
        <v>123.5</v>
      </c>
      <c r="GC23" s="40">
        <v>123.5</v>
      </c>
      <c r="GD23" s="40">
        <v>123.5</v>
      </c>
      <c r="GE23" s="40">
        <v>123.5</v>
      </c>
      <c r="GF23" s="40">
        <v>123.5</v>
      </c>
      <c r="GG23" s="40">
        <v>122.5</v>
      </c>
      <c r="GJ23" s="40">
        <v>123.5</v>
      </c>
      <c r="GK23" s="40">
        <v>126</v>
      </c>
      <c r="GL23" s="40">
        <v>124</v>
      </c>
      <c r="GM23" s="40">
        <v>126.5</v>
      </c>
      <c r="GN23" s="40">
        <v>128</v>
      </c>
      <c r="GQ23" s="40">
        <v>127</v>
      </c>
      <c r="GR23" s="40">
        <v>130</v>
      </c>
      <c r="GS23" s="40">
        <v>130</v>
      </c>
      <c r="GT23" s="40">
        <v>127</v>
      </c>
      <c r="GU23" s="40">
        <v>127</v>
      </c>
      <c r="GX23" s="40">
        <v>130</v>
      </c>
      <c r="GY23" s="40">
        <v>131.5</v>
      </c>
      <c r="GZ23" s="40">
        <v>132</v>
      </c>
      <c r="HA23" s="40">
        <v>132</v>
      </c>
      <c r="HB23" s="40">
        <v>131</v>
      </c>
      <c r="HE23" s="40">
        <v>129</v>
      </c>
      <c r="HF23" s="40">
        <v>127.5</v>
      </c>
      <c r="HG23" s="40">
        <v>127</v>
      </c>
      <c r="HH23" s="40">
        <v>130</v>
      </c>
      <c r="HI23" s="40">
        <v>132</v>
      </c>
      <c r="HL23" s="40">
        <v>129</v>
      </c>
      <c r="HM23" s="40">
        <v>128</v>
      </c>
      <c r="HN23" s="40">
        <v>126</v>
      </c>
      <c r="HO23" s="40">
        <v>128</v>
      </c>
      <c r="HP23" s="40">
        <v>128</v>
      </c>
      <c r="HS23" s="40">
        <v>130</v>
      </c>
      <c r="HT23" s="40">
        <v>130</v>
      </c>
      <c r="HU23" s="40">
        <v>134.5</v>
      </c>
      <c r="HV23" s="40">
        <v>134.5</v>
      </c>
      <c r="HW23" s="40">
        <v>134</v>
      </c>
      <c r="HZ23" s="40">
        <v>133.5</v>
      </c>
      <c r="IA23" s="40">
        <v>131.5</v>
      </c>
      <c r="IB23" s="40">
        <v>130</v>
      </c>
      <c r="IC23" s="40">
        <v>130</v>
      </c>
      <c r="ID23" s="40">
        <v>130</v>
      </c>
      <c r="IG23" s="40">
        <v>133</v>
      </c>
      <c r="IH23" s="40">
        <v>132</v>
      </c>
      <c r="II23" s="40">
        <v>132</v>
      </c>
      <c r="IJ23" s="40">
        <v>131</v>
      </c>
      <c r="IK23" s="40">
        <v>133.5</v>
      </c>
      <c r="IN23" s="40">
        <v>133.5</v>
      </c>
      <c r="IO23" s="40">
        <v>131</v>
      </c>
      <c r="IP23" s="40">
        <v>134.5</v>
      </c>
      <c r="IQ23" s="40">
        <v>134.5</v>
      </c>
      <c r="IR23" s="40">
        <v>134.5</v>
      </c>
      <c r="IU23" s="40">
        <v>131</v>
      </c>
      <c r="IV23" s="40">
        <v>130</v>
      </c>
      <c r="IW23" s="40">
        <v>128</v>
      </c>
      <c r="IX23" s="40">
        <v>128</v>
      </c>
      <c r="IY23" s="40">
        <v>127</v>
      </c>
      <c r="JB23" s="40">
        <v>127</v>
      </c>
      <c r="JC23" s="40">
        <v>127</v>
      </c>
      <c r="JD23" s="40">
        <v>126</v>
      </c>
      <c r="JE23" s="40">
        <v>127</v>
      </c>
      <c r="JF23" s="40">
        <v>127</v>
      </c>
      <c r="JI23" s="40">
        <v>125</v>
      </c>
      <c r="JJ23" s="40">
        <v>126.5</v>
      </c>
      <c r="JK23" s="40">
        <v>128</v>
      </c>
      <c r="JL23" s="40">
        <v>126</v>
      </c>
      <c r="JM23" s="40">
        <v>126</v>
      </c>
      <c r="JP23" s="40">
        <v>126</v>
      </c>
      <c r="JQ23" s="40">
        <v>127</v>
      </c>
      <c r="JR23" s="40">
        <v>127</v>
      </c>
      <c r="JS23" s="40">
        <v>128</v>
      </c>
      <c r="JT23" s="40">
        <v>128</v>
      </c>
      <c r="JW23" s="40">
        <v>126</v>
      </c>
      <c r="JX23" s="40">
        <v>125</v>
      </c>
      <c r="JY23" s="40">
        <v>124</v>
      </c>
      <c r="JZ23" s="40">
        <v>124</v>
      </c>
      <c r="KA23" s="40">
        <v>128</v>
      </c>
      <c r="KD23" s="40">
        <v>126.5</v>
      </c>
      <c r="KE23" s="40">
        <v>128</v>
      </c>
      <c r="KF23" s="40">
        <v>128.5</v>
      </c>
      <c r="KG23" s="40">
        <v>128</v>
      </c>
      <c r="KH23" s="40">
        <v>128</v>
      </c>
      <c r="KK23" s="40">
        <v>126</v>
      </c>
      <c r="KL23" s="40">
        <v>125</v>
      </c>
      <c r="KM23" s="40">
        <v>126</v>
      </c>
      <c r="KN23" s="40">
        <v>125</v>
      </c>
      <c r="KO23" s="40">
        <v>125</v>
      </c>
      <c r="KR23" s="40">
        <v>125</v>
      </c>
      <c r="KS23" s="40">
        <v>127</v>
      </c>
      <c r="KT23" s="40">
        <v>125</v>
      </c>
      <c r="KU23" s="40">
        <v>125</v>
      </c>
      <c r="KV23" s="40">
        <v>125</v>
      </c>
      <c r="KY23" s="40">
        <v>127</v>
      </c>
      <c r="KZ23" s="40">
        <v>126</v>
      </c>
      <c r="LA23" s="40">
        <v>126</v>
      </c>
      <c r="LB23" s="40">
        <v>126.5</v>
      </c>
      <c r="LC23" s="40">
        <v>126.5</v>
      </c>
      <c r="LF23" s="40">
        <v>130</v>
      </c>
      <c r="LG23" s="40">
        <v>127.5</v>
      </c>
      <c r="LH23" s="40">
        <v>127.5</v>
      </c>
      <c r="LI23" s="40">
        <v>126.5</v>
      </c>
      <c r="LJ23" s="40">
        <v>126.5</v>
      </c>
      <c r="LM23" s="40">
        <v>125</v>
      </c>
      <c r="LN23" s="40">
        <v>128</v>
      </c>
      <c r="LO23" s="40">
        <v>127.5</v>
      </c>
      <c r="LP23" s="40">
        <v>127.5</v>
      </c>
      <c r="LQ23" s="40">
        <v>126.5</v>
      </c>
      <c r="LT23" s="40">
        <v>126.5</v>
      </c>
      <c r="LU23" s="40">
        <v>126.5</v>
      </c>
      <c r="LV23" s="40">
        <v>127</v>
      </c>
      <c r="LW23" s="40">
        <v>127</v>
      </c>
      <c r="LX23" s="40">
        <v>127</v>
      </c>
      <c r="MA23" s="40">
        <v>127</v>
      </c>
      <c r="MB23" s="40">
        <v>129</v>
      </c>
      <c r="MC23" s="40">
        <v>127</v>
      </c>
      <c r="MD23" s="40">
        <v>127</v>
      </c>
      <c r="ME23" s="40">
        <v>127</v>
      </c>
      <c r="MH23" s="40">
        <v>132</v>
      </c>
      <c r="MI23" s="40">
        <v>130</v>
      </c>
      <c r="MJ23" s="40">
        <v>126.5</v>
      </c>
      <c r="MK23" s="40">
        <v>126.5</v>
      </c>
      <c r="ML23" s="40">
        <v>126.5</v>
      </c>
      <c r="MO23" s="40">
        <v>126.5</v>
      </c>
      <c r="MP23" s="40">
        <v>124</v>
      </c>
      <c r="MQ23" s="40">
        <v>125</v>
      </c>
      <c r="MR23" s="40">
        <v>125</v>
      </c>
      <c r="MS23" s="40">
        <v>125</v>
      </c>
      <c r="MV23" s="40">
        <v>125</v>
      </c>
      <c r="MW23" s="40">
        <v>126</v>
      </c>
      <c r="MX23" s="40">
        <v>126</v>
      </c>
      <c r="MY23" s="40">
        <v>126</v>
      </c>
      <c r="MZ23" s="40">
        <v>126</v>
      </c>
    </row>
    <row r="24" spans="1:378" s="37" customFormat="1" x14ac:dyDescent="0.25">
      <c r="A24" s="21" t="s">
        <v>88</v>
      </c>
      <c r="C24" s="37">
        <v>180.5</v>
      </c>
      <c r="D24" s="37">
        <v>183.5</v>
      </c>
      <c r="E24" s="37">
        <v>181.5</v>
      </c>
      <c r="F24" s="37">
        <v>175.5</v>
      </c>
      <c r="G24" s="37">
        <v>175.5</v>
      </c>
      <c r="J24" s="37">
        <v>175.5</v>
      </c>
      <c r="K24" s="37">
        <v>173.5</v>
      </c>
      <c r="L24" s="37">
        <v>173</v>
      </c>
      <c r="M24" s="37">
        <v>173.5</v>
      </c>
      <c r="N24" s="37">
        <v>175.5</v>
      </c>
      <c r="Q24" s="37">
        <v>173.5</v>
      </c>
      <c r="R24" s="37">
        <v>175.5</v>
      </c>
      <c r="S24" s="37">
        <v>172.5</v>
      </c>
      <c r="T24" s="37">
        <v>173.5</v>
      </c>
      <c r="U24" s="37">
        <v>172.5</v>
      </c>
      <c r="X24" s="37">
        <v>169.5</v>
      </c>
      <c r="Y24" s="37">
        <v>169.5</v>
      </c>
      <c r="Z24" s="37">
        <v>166.5</v>
      </c>
      <c r="AA24" s="37">
        <v>168</v>
      </c>
      <c r="AB24" s="37">
        <v>168.5</v>
      </c>
      <c r="AE24" s="37">
        <v>168.5</v>
      </c>
      <c r="AF24" s="37">
        <v>168</v>
      </c>
      <c r="AG24" s="37">
        <v>167.5</v>
      </c>
      <c r="AH24" s="37">
        <v>167.5</v>
      </c>
      <c r="AI24" s="37">
        <v>171.5</v>
      </c>
      <c r="AL24" s="37">
        <v>169.5</v>
      </c>
      <c r="AM24" s="37">
        <v>169.5</v>
      </c>
      <c r="AN24" s="37">
        <v>170.5</v>
      </c>
      <c r="AO24" s="37">
        <v>171.5</v>
      </c>
      <c r="AP24" s="37">
        <v>173.5</v>
      </c>
      <c r="AS24" s="37">
        <v>170.5</v>
      </c>
      <c r="AT24" s="37">
        <v>169</v>
      </c>
      <c r="AU24" s="37">
        <v>168.5</v>
      </c>
      <c r="AV24" s="37">
        <v>170.5</v>
      </c>
      <c r="AW24" s="37">
        <v>168.5</v>
      </c>
      <c r="AZ24" s="37">
        <v>168.5</v>
      </c>
      <c r="BA24" s="37">
        <v>168.5</v>
      </c>
      <c r="BB24" s="37">
        <v>168.5</v>
      </c>
      <c r="BC24" s="37">
        <v>167.5</v>
      </c>
      <c r="BD24" s="37">
        <v>168.5</v>
      </c>
      <c r="BG24" s="37">
        <v>166.5</v>
      </c>
      <c r="BH24" s="37">
        <v>165.5</v>
      </c>
      <c r="BI24" s="37">
        <v>165.5</v>
      </c>
      <c r="BJ24" s="37">
        <v>165.5</v>
      </c>
      <c r="BK24" s="37">
        <v>166.5</v>
      </c>
      <c r="BN24" s="37">
        <v>165.5</v>
      </c>
      <c r="BO24" s="37">
        <v>164.5</v>
      </c>
      <c r="BP24" s="37">
        <v>163.5</v>
      </c>
      <c r="BQ24" s="37">
        <v>163.5</v>
      </c>
      <c r="BR24" s="37">
        <v>163.5</v>
      </c>
      <c r="BU24" s="37">
        <v>163.5</v>
      </c>
      <c r="BV24" s="37">
        <v>164.5</v>
      </c>
      <c r="BW24" s="37">
        <v>163.5</v>
      </c>
      <c r="BX24" s="37">
        <v>161.5</v>
      </c>
      <c r="BY24" s="37">
        <v>159.5</v>
      </c>
      <c r="CB24" s="37">
        <v>158.5</v>
      </c>
      <c r="CC24" s="37">
        <v>153.5</v>
      </c>
      <c r="CD24" s="37">
        <v>151.5</v>
      </c>
      <c r="CE24" s="37">
        <v>148.5</v>
      </c>
      <c r="CF24" s="37">
        <v>148.5</v>
      </c>
      <c r="CI24" s="37">
        <v>148.5</v>
      </c>
      <c r="CJ24" s="37">
        <v>149.5</v>
      </c>
      <c r="CK24" s="37">
        <v>150.5</v>
      </c>
      <c r="CL24" s="37">
        <v>150.5</v>
      </c>
      <c r="CM24" s="37">
        <v>151.5</v>
      </c>
      <c r="CP24" s="37">
        <v>152.5</v>
      </c>
      <c r="CQ24" s="37">
        <v>152.5</v>
      </c>
      <c r="CR24" s="37">
        <v>150.5</v>
      </c>
      <c r="CS24" s="37">
        <v>145.5</v>
      </c>
      <c r="CT24" s="37">
        <v>145.5</v>
      </c>
      <c r="CW24" s="37">
        <v>145.5</v>
      </c>
      <c r="CX24" s="37">
        <v>143.5</v>
      </c>
      <c r="CY24" s="37">
        <v>143.5</v>
      </c>
      <c r="CZ24" s="37">
        <v>141.5</v>
      </c>
      <c r="DA24" s="37">
        <v>138.5</v>
      </c>
      <c r="DD24" s="37">
        <v>140.5</v>
      </c>
      <c r="DE24" s="37">
        <v>140.5</v>
      </c>
      <c r="DF24" s="37">
        <v>140.5</v>
      </c>
      <c r="DG24" s="37">
        <v>137.5</v>
      </c>
      <c r="DH24" s="37">
        <v>137.5</v>
      </c>
      <c r="DK24" s="37">
        <v>134.5</v>
      </c>
      <c r="DL24" s="37">
        <v>133.5</v>
      </c>
      <c r="DM24" s="37">
        <v>133.5</v>
      </c>
      <c r="DN24" s="37">
        <v>131.5</v>
      </c>
      <c r="DO24" s="37">
        <v>133</v>
      </c>
      <c r="DR24" s="37">
        <v>133</v>
      </c>
      <c r="DS24" s="37">
        <v>134.5</v>
      </c>
      <c r="DT24" s="37">
        <v>134.5</v>
      </c>
      <c r="DU24" s="37">
        <v>135.5</v>
      </c>
      <c r="DV24" s="37">
        <v>136.5</v>
      </c>
      <c r="DY24" s="37">
        <v>138.5</v>
      </c>
      <c r="DZ24" s="37">
        <v>136.5</v>
      </c>
      <c r="EA24" s="37">
        <v>135.5</v>
      </c>
      <c r="EB24" s="37">
        <v>135.5</v>
      </c>
      <c r="EC24" s="37">
        <v>134.5</v>
      </c>
      <c r="EF24" s="37">
        <v>136.5</v>
      </c>
      <c r="EG24" s="37">
        <v>133</v>
      </c>
      <c r="EH24" s="37">
        <v>131.5</v>
      </c>
      <c r="EI24" s="37">
        <v>132.5</v>
      </c>
      <c r="EJ24" s="37">
        <v>130.5</v>
      </c>
      <c r="EM24" s="37">
        <v>133.5</v>
      </c>
      <c r="EN24" s="37">
        <v>130.5</v>
      </c>
      <c r="EO24" s="37">
        <v>130.5</v>
      </c>
      <c r="EP24" s="37">
        <v>132.5</v>
      </c>
      <c r="EQ24" s="37">
        <v>132.5</v>
      </c>
      <c r="ET24" s="37">
        <v>131</v>
      </c>
      <c r="EU24" s="37">
        <v>130.5</v>
      </c>
      <c r="EV24" s="37">
        <v>131</v>
      </c>
      <c r="EW24" s="37">
        <v>131.5</v>
      </c>
      <c r="EX24" s="37">
        <v>130.5</v>
      </c>
      <c r="FA24" s="37">
        <v>130.5</v>
      </c>
      <c r="FB24" s="37">
        <v>130.5</v>
      </c>
      <c r="FC24" s="37">
        <v>130.5</v>
      </c>
      <c r="FD24" s="37">
        <v>130.5</v>
      </c>
      <c r="FE24" s="37">
        <v>130.5</v>
      </c>
      <c r="FH24" s="37">
        <v>127.5</v>
      </c>
      <c r="FI24" s="37">
        <v>129</v>
      </c>
      <c r="FJ24" s="37">
        <v>127.5</v>
      </c>
      <c r="FK24" s="37">
        <v>128.5</v>
      </c>
      <c r="FL24" s="37">
        <v>131.5</v>
      </c>
      <c r="FO24" s="37">
        <v>130.5</v>
      </c>
      <c r="FP24" s="37">
        <v>132.5</v>
      </c>
      <c r="FQ24" s="37">
        <v>136.5</v>
      </c>
      <c r="FR24" s="37">
        <v>134.5</v>
      </c>
      <c r="FS24" s="37">
        <v>131.5</v>
      </c>
      <c r="FV24" s="37">
        <v>134.5</v>
      </c>
      <c r="FW24" s="37">
        <v>134.5</v>
      </c>
      <c r="FX24" s="37">
        <v>131.5</v>
      </c>
      <c r="FY24" s="37">
        <v>132.5</v>
      </c>
      <c r="FZ24" s="37">
        <v>135.5</v>
      </c>
      <c r="GC24" s="37">
        <v>135.5</v>
      </c>
      <c r="GD24" s="37">
        <v>135.5</v>
      </c>
      <c r="GE24" s="37">
        <v>138.5</v>
      </c>
      <c r="GF24" s="37">
        <v>139.5</v>
      </c>
      <c r="GG24" s="37">
        <v>138.5</v>
      </c>
      <c r="GJ24" s="37">
        <v>140.5</v>
      </c>
      <c r="GK24" s="37">
        <v>143.5</v>
      </c>
      <c r="GL24" s="37">
        <v>139.5</v>
      </c>
      <c r="GM24" s="37">
        <v>143.5</v>
      </c>
      <c r="GN24" s="37">
        <v>142.5</v>
      </c>
      <c r="GQ24" s="37">
        <v>145.5</v>
      </c>
      <c r="GR24" s="37">
        <v>147.5</v>
      </c>
      <c r="GS24" s="37">
        <v>147.5</v>
      </c>
      <c r="GT24" s="37">
        <v>148</v>
      </c>
      <c r="GU24" s="37">
        <v>146.5</v>
      </c>
      <c r="GX24" s="64">
        <v>146.5</v>
      </c>
      <c r="GY24" s="64">
        <v>146</v>
      </c>
      <c r="GZ24" s="37">
        <v>149</v>
      </c>
      <c r="HA24" s="37">
        <v>148</v>
      </c>
      <c r="HB24" s="37">
        <v>145</v>
      </c>
      <c r="HE24" s="37">
        <v>140</v>
      </c>
      <c r="HF24" s="37">
        <v>140</v>
      </c>
      <c r="HG24" s="37">
        <v>140</v>
      </c>
      <c r="HH24" s="37">
        <v>143</v>
      </c>
      <c r="HI24" s="37">
        <v>144</v>
      </c>
      <c r="HL24" s="37">
        <v>141</v>
      </c>
      <c r="HM24" s="37">
        <v>141</v>
      </c>
      <c r="HN24" s="37">
        <v>143</v>
      </c>
      <c r="HO24" s="37">
        <v>141</v>
      </c>
      <c r="HP24" s="37">
        <v>141</v>
      </c>
      <c r="HS24" s="37">
        <v>143</v>
      </c>
      <c r="HT24" s="37">
        <v>143</v>
      </c>
      <c r="HU24" s="37">
        <v>145.5</v>
      </c>
      <c r="HV24" s="37">
        <v>143</v>
      </c>
      <c r="HW24" s="37">
        <v>146</v>
      </c>
      <c r="HZ24" s="37">
        <v>145</v>
      </c>
      <c r="IA24" s="37">
        <v>142</v>
      </c>
      <c r="IB24" s="37">
        <v>143</v>
      </c>
      <c r="IC24" s="37">
        <v>145</v>
      </c>
      <c r="ID24" s="37">
        <v>147</v>
      </c>
      <c r="IG24" s="37">
        <v>148</v>
      </c>
      <c r="IH24" s="37">
        <v>148</v>
      </c>
      <c r="II24" s="37">
        <v>146</v>
      </c>
      <c r="IJ24" s="37">
        <v>147</v>
      </c>
      <c r="IK24" s="37">
        <v>145</v>
      </c>
      <c r="IN24" s="64">
        <v>145</v>
      </c>
      <c r="IO24" s="37">
        <v>145</v>
      </c>
      <c r="IP24" s="37">
        <v>146</v>
      </c>
      <c r="IQ24" s="37">
        <v>146</v>
      </c>
      <c r="IR24" s="37">
        <v>144</v>
      </c>
      <c r="IU24" s="37">
        <v>145</v>
      </c>
      <c r="IV24" s="37">
        <v>144</v>
      </c>
      <c r="IW24" s="37">
        <v>143</v>
      </c>
      <c r="IX24" s="37">
        <v>143</v>
      </c>
      <c r="IY24" s="37">
        <v>140</v>
      </c>
      <c r="JB24" s="37">
        <v>137</v>
      </c>
      <c r="JC24" s="37">
        <v>138</v>
      </c>
      <c r="JD24" s="37">
        <v>139</v>
      </c>
      <c r="JE24" s="37">
        <v>139</v>
      </c>
      <c r="JF24" s="37">
        <v>139</v>
      </c>
      <c r="JI24" s="37">
        <v>139</v>
      </c>
      <c r="JJ24" s="37">
        <v>141</v>
      </c>
      <c r="JK24" s="37">
        <v>141</v>
      </c>
      <c r="JL24" s="37">
        <v>140</v>
      </c>
      <c r="JM24" s="37">
        <v>137</v>
      </c>
      <c r="JP24" s="37">
        <v>139</v>
      </c>
      <c r="JQ24" s="37">
        <v>140</v>
      </c>
      <c r="JR24" s="37">
        <v>140</v>
      </c>
      <c r="JS24" s="37">
        <v>141</v>
      </c>
      <c r="JT24" s="37">
        <v>138</v>
      </c>
      <c r="JW24" s="37">
        <v>137</v>
      </c>
      <c r="JX24" s="37">
        <v>142</v>
      </c>
      <c r="JY24" s="37">
        <v>135</v>
      </c>
      <c r="JZ24" s="37">
        <v>135</v>
      </c>
      <c r="KA24" s="37">
        <v>138</v>
      </c>
      <c r="KD24" s="37">
        <v>139</v>
      </c>
      <c r="KE24" s="37">
        <v>140</v>
      </c>
      <c r="KF24" s="37">
        <v>141</v>
      </c>
      <c r="KG24" s="37">
        <v>140</v>
      </c>
      <c r="KH24" s="37">
        <v>138</v>
      </c>
      <c r="KK24" s="37">
        <v>137</v>
      </c>
      <c r="KL24" s="37">
        <v>137</v>
      </c>
      <c r="KM24" s="37">
        <v>137</v>
      </c>
      <c r="KN24" s="37">
        <v>136</v>
      </c>
      <c r="KO24" s="37">
        <v>138.5</v>
      </c>
      <c r="KR24" s="37">
        <v>138</v>
      </c>
      <c r="KS24" s="37">
        <v>138.5</v>
      </c>
      <c r="KT24" s="64">
        <v>138</v>
      </c>
      <c r="KU24" s="64">
        <v>138</v>
      </c>
      <c r="KV24" s="64">
        <v>138</v>
      </c>
      <c r="KY24" s="37">
        <v>140</v>
      </c>
      <c r="KZ24" s="37">
        <v>140</v>
      </c>
      <c r="LA24" s="37">
        <v>140</v>
      </c>
      <c r="LB24" s="37">
        <v>140</v>
      </c>
      <c r="LC24" s="37">
        <v>139.5</v>
      </c>
      <c r="LF24" s="37">
        <v>143</v>
      </c>
      <c r="LG24" s="37">
        <v>141</v>
      </c>
      <c r="LH24" s="37">
        <v>141</v>
      </c>
      <c r="LI24" s="37">
        <v>140</v>
      </c>
      <c r="LJ24" s="37">
        <v>139</v>
      </c>
      <c r="LM24" s="37">
        <v>141</v>
      </c>
      <c r="LN24" s="37">
        <v>143</v>
      </c>
      <c r="LO24" s="37">
        <v>140</v>
      </c>
      <c r="LP24" s="37">
        <v>140</v>
      </c>
      <c r="LQ24" s="37">
        <v>137</v>
      </c>
      <c r="LT24" s="37">
        <v>138</v>
      </c>
      <c r="LU24" s="37">
        <v>140</v>
      </c>
      <c r="LV24" s="37">
        <v>141.5</v>
      </c>
      <c r="LW24" s="37">
        <v>142</v>
      </c>
      <c r="LX24" s="37">
        <v>140</v>
      </c>
      <c r="MA24" s="37">
        <v>139</v>
      </c>
      <c r="MB24" s="37">
        <v>140</v>
      </c>
      <c r="MC24" s="37">
        <v>140</v>
      </c>
      <c r="MD24" s="37">
        <v>142</v>
      </c>
      <c r="ME24" s="37">
        <v>142</v>
      </c>
      <c r="MH24" s="37">
        <v>145</v>
      </c>
      <c r="MI24" s="37">
        <v>145</v>
      </c>
      <c r="MJ24" s="37">
        <v>141.5</v>
      </c>
      <c r="MK24" s="37">
        <v>142</v>
      </c>
      <c r="ML24" s="37">
        <v>144</v>
      </c>
      <c r="MO24" s="37">
        <v>144</v>
      </c>
      <c r="MP24" s="37">
        <v>141</v>
      </c>
      <c r="MQ24" s="37">
        <v>142</v>
      </c>
      <c r="MR24" s="37">
        <v>140</v>
      </c>
      <c r="MS24" s="37">
        <v>140</v>
      </c>
      <c r="MV24" s="37">
        <v>140</v>
      </c>
      <c r="MW24" s="37">
        <v>141</v>
      </c>
      <c r="MX24" s="37">
        <v>138</v>
      </c>
      <c r="MY24" s="37">
        <v>137</v>
      </c>
      <c r="MZ24" s="37">
        <v>137</v>
      </c>
    </row>
    <row r="25" spans="1:378" s="40" customFormat="1" x14ac:dyDescent="0.25">
      <c r="A25" s="31" t="s">
        <v>89</v>
      </c>
      <c r="C25" s="40">
        <v>170</v>
      </c>
      <c r="D25" s="40">
        <v>162</v>
      </c>
      <c r="E25" s="40">
        <v>166</v>
      </c>
      <c r="F25" s="40">
        <v>175</v>
      </c>
      <c r="G25" s="40">
        <v>163</v>
      </c>
      <c r="J25" s="40">
        <v>163</v>
      </c>
      <c r="K25" s="40">
        <v>170</v>
      </c>
      <c r="L25" s="40">
        <v>170</v>
      </c>
      <c r="M25" s="40">
        <v>164</v>
      </c>
      <c r="N25" s="40">
        <v>161</v>
      </c>
      <c r="Q25" s="40">
        <v>161</v>
      </c>
      <c r="R25" s="40">
        <v>163</v>
      </c>
      <c r="S25" s="40">
        <v>163</v>
      </c>
      <c r="T25" s="40">
        <v>163</v>
      </c>
      <c r="U25" s="40">
        <v>163</v>
      </c>
      <c r="X25" s="40">
        <v>162</v>
      </c>
      <c r="Y25" s="40">
        <v>161</v>
      </c>
      <c r="Z25" s="40">
        <v>158</v>
      </c>
      <c r="AA25" s="40">
        <v>159</v>
      </c>
      <c r="AB25" s="40">
        <v>160</v>
      </c>
      <c r="AE25" s="40">
        <v>160</v>
      </c>
      <c r="AF25" s="40">
        <v>159.5</v>
      </c>
      <c r="AG25" s="40">
        <v>154</v>
      </c>
      <c r="AH25" s="40">
        <v>153</v>
      </c>
      <c r="AI25" s="40">
        <v>155</v>
      </c>
      <c r="AL25" s="40">
        <v>157</v>
      </c>
      <c r="AM25" s="40">
        <v>158</v>
      </c>
      <c r="AN25" s="40">
        <v>158</v>
      </c>
      <c r="AO25" s="40">
        <v>158</v>
      </c>
      <c r="AP25" s="40">
        <v>160</v>
      </c>
      <c r="AS25" s="40">
        <v>159.5</v>
      </c>
      <c r="AT25" s="40">
        <v>159.5</v>
      </c>
      <c r="AU25" s="40">
        <v>159.5</v>
      </c>
      <c r="AV25" s="40">
        <v>159.5</v>
      </c>
      <c r="AW25" s="40">
        <v>159</v>
      </c>
      <c r="AZ25" s="40">
        <v>159</v>
      </c>
      <c r="BA25" s="40">
        <v>159</v>
      </c>
      <c r="BB25" s="40">
        <v>154</v>
      </c>
      <c r="BC25" s="40">
        <v>153</v>
      </c>
      <c r="BD25" s="40">
        <v>154</v>
      </c>
      <c r="BG25" s="40">
        <v>154</v>
      </c>
      <c r="BH25" s="40">
        <v>151</v>
      </c>
      <c r="BI25" s="40">
        <v>154</v>
      </c>
      <c r="BJ25" s="40">
        <v>154</v>
      </c>
      <c r="BK25" s="40">
        <v>155</v>
      </c>
      <c r="BN25" s="40">
        <v>157</v>
      </c>
      <c r="BO25" s="40">
        <v>156</v>
      </c>
      <c r="BP25" s="40">
        <v>156</v>
      </c>
      <c r="BQ25" s="40">
        <v>151</v>
      </c>
      <c r="BR25" s="40">
        <v>151</v>
      </c>
      <c r="BU25" s="40">
        <v>153</v>
      </c>
      <c r="BV25" s="40">
        <v>153</v>
      </c>
      <c r="BW25" s="40">
        <v>154</v>
      </c>
      <c r="BX25" s="40">
        <v>150</v>
      </c>
      <c r="BY25" s="40">
        <v>149</v>
      </c>
      <c r="CB25" s="40">
        <v>148</v>
      </c>
      <c r="CC25" s="40">
        <v>144</v>
      </c>
      <c r="CD25" s="40">
        <v>138</v>
      </c>
      <c r="CE25" s="40">
        <v>135</v>
      </c>
      <c r="CF25" s="40">
        <v>135</v>
      </c>
      <c r="CI25" s="40">
        <v>136</v>
      </c>
      <c r="CJ25" s="40">
        <v>136</v>
      </c>
      <c r="CK25" s="40">
        <v>136</v>
      </c>
      <c r="CL25" s="40">
        <v>136</v>
      </c>
      <c r="CM25" s="40">
        <v>138</v>
      </c>
      <c r="CP25" s="40">
        <v>139.5</v>
      </c>
      <c r="CQ25" s="40">
        <v>139.5</v>
      </c>
      <c r="CR25" s="40">
        <v>136.5</v>
      </c>
      <c r="CS25" s="40">
        <v>135</v>
      </c>
      <c r="CT25" s="40">
        <v>135</v>
      </c>
      <c r="CW25" s="40">
        <v>132</v>
      </c>
      <c r="CX25" s="40">
        <v>130</v>
      </c>
      <c r="CY25" s="40">
        <v>128</v>
      </c>
      <c r="CZ25" s="40">
        <v>127</v>
      </c>
      <c r="DA25" s="40">
        <v>127</v>
      </c>
      <c r="DD25" s="40">
        <v>128.5</v>
      </c>
      <c r="DE25" s="40">
        <v>125</v>
      </c>
      <c r="DF25" s="40">
        <v>124.5</v>
      </c>
      <c r="DG25" s="40">
        <v>123</v>
      </c>
      <c r="DH25" s="40">
        <v>123</v>
      </c>
      <c r="DK25" s="40">
        <v>118</v>
      </c>
      <c r="DL25" s="40">
        <v>117</v>
      </c>
      <c r="DM25" s="40">
        <v>117</v>
      </c>
      <c r="DN25" s="40">
        <v>116</v>
      </c>
      <c r="DO25" s="40">
        <v>118</v>
      </c>
      <c r="DR25" s="40">
        <v>118</v>
      </c>
      <c r="DS25" s="40">
        <v>116</v>
      </c>
      <c r="DT25" s="40">
        <v>116</v>
      </c>
      <c r="DU25" s="40">
        <v>117</v>
      </c>
      <c r="DV25" s="40">
        <v>119</v>
      </c>
      <c r="DY25" s="40">
        <v>120.5</v>
      </c>
      <c r="DZ25" s="40">
        <v>121.5</v>
      </c>
      <c r="EA25" s="40">
        <v>120</v>
      </c>
      <c r="EB25" s="40">
        <v>121.5</v>
      </c>
      <c r="EC25" s="40">
        <v>118.5</v>
      </c>
      <c r="EF25" s="40">
        <v>119.5</v>
      </c>
      <c r="EG25" s="40">
        <v>117</v>
      </c>
      <c r="EH25" s="40">
        <v>115</v>
      </c>
      <c r="EI25" s="40">
        <v>119</v>
      </c>
      <c r="EJ25" s="40">
        <v>116</v>
      </c>
      <c r="EM25" s="40">
        <v>119</v>
      </c>
      <c r="EN25" s="40">
        <v>115</v>
      </c>
      <c r="EO25" s="40">
        <v>113</v>
      </c>
      <c r="EP25" s="40">
        <v>115</v>
      </c>
      <c r="EQ25" s="40">
        <v>115</v>
      </c>
      <c r="ET25" s="40">
        <v>115</v>
      </c>
      <c r="EU25" s="40">
        <v>114</v>
      </c>
      <c r="EV25" s="40">
        <v>116</v>
      </c>
      <c r="EW25" s="40">
        <v>117</v>
      </c>
      <c r="EX25" s="40">
        <v>116</v>
      </c>
      <c r="FA25" s="40">
        <v>116</v>
      </c>
      <c r="FB25" s="40">
        <v>114</v>
      </c>
      <c r="FC25" s="40">
        <v>115</v>
      </c>
      <c r="FD25" s="40">
        <v>115</v>
      </c>
      <c r="FE25" s="40">
        <v>115</v>
      </c>
      <c r="FH25" s="40">
        <v>116.5</v>
      </c>
      <c r="FI25" s="40">
        <v>115</v>
      </c>
      <c r="FJ25" s="40">
        <v>113</v>
      </c>
      <c r="FK25" s="40">
        <v>115</v>
      </c>
      <c r="FL25" s="40">
        <v>117</v>
      </c>
      <c r="FO25" s="40">
        <v>116</v>
      </c>
      <c r="FP25" s="40">
        <v>116</v>
      </c>
      <c r="FQ25" s="40">
        <v>118</v>
      </c>
      <c r="FR25" s="40">
        <v>114</v>
      </c>
      <c r="FS25" s="40">
        <v>113</v>
      </c>
      <c r="FV25" s="40">
        <v>114</v>
      </c>
      <c r="FW25" s="40">
        <v>113</v>
      </c>
      <c r="FX25" s="40">
        <v>113</v>
      </c>
      <c r="FY25" s="40">
        <v>113</v>
      </c>
      <c r="FZ25" s="40">
        <v>115</v>
      </c>
      <c r="GC25" s="40">
        <v>117</v>
      </c>
      <c r="GD25" s="40">
        <v>117</v>
      </c>
      <c r="GE25" s="40">
        <v>119</v>
      </c>
      <c r="GF25" s="40">
        <v>119</v>
      </c>
      <c r="GG25" s="40">
        <v>117</v>
      </c>
      <c r="GJ25" s="40">
        <v>119</v>
      </c>
      <c r="GK25" s="40">
        <v>122</v>
      </c>
      <c r="GL25" s="40">
        <v>120</v>
      </c>
      <c r="GM25" s="40">
        <v>118</v>
      </c>
      <c r="GN25" s="40">
        <v>120</v>
      </c>
      <c r="GQ25" s="40">
        <v>121</v>
      </c>
      <c r="GR25" s="40">
        <v>123</v>
      </c>
      <c r="GS25" s="40">
        <v>125</v>
      </c>
      <c r="GT25" s="63">
        <v>125.5</v>
      </c>
      <c r="GU25" s="40">
        <v>125.5</v>
      </c>
      <c r="GX25" s="63">
        <v>128</v>
      </c>
      <c r="GY25" s="63">
        <v>128</v>
      </c>
      <c r="GZ25" s="40">
        <v>130</v>
      </c>
      <c r="HA25" s="40">
        <v>128</v>
      </c>
      <c r="HB25" s="40">
        <v>124</v>
      </c>
      <c r="HE25" s="40">
        <v>123</v>
      </c>
      <c r="HF25" s="40">
        <v>123</v>
      </c>
      <c r="HG25" s="40">
        <v>122</v>
      </c>
      <c r="HH25" s="40">
        <v>124</v>
      </c>
      <c r="HI25" s="40">
        <v>127</v>
      </c>
      <c r="HL25" s="40">
        <v>125</v>
      </c>
      <c r="HM25" s="40">
        <v>125</v>
      </c>
      <c r="HN25" s="40">
        <v>126</v>
      </c>
      <c r="HO25" s="40">
        <v>126</v>
      </c>
      <c r="HP25" s="40">
        <v>126</v>
      </c>
      <c r="HS25" s="40">
        <v>128</v>
      </c>
      <c r="HT25" s="40">
        <v>125</v>
      </c>
      <c r="HU25" s="40">
        <v>128</v>
      </c>
      <c r="HV25" s="40">
        <v>126</v>
      </c>
      <c r="HW25" s="40">
        <v>128</v>
      </c>
      <c r="HZ25" s="40">
        <v>127</v>
      </c>
      <c r="IA25" s="40">
        <v>127</v>
      </c>
      <c r="IB25" s="40">
        <v>126</v>
      </c>
      <c r="IC25" s="40">
        <v>127</v>
      </c>
      <c r="ID25" s="63">
        <v>128</v>
      </c>
      <c r="IG25" s="40">
        <v>130</v>
      </c>
      <c r="IH25" s="40">
        <v>128</v>
      </c>
      <c r="II25" s="40">
        <v>130</v>
      </c>
      <c r="IJ25" s="40">
        <v>130</v>
      </c>
      <c r="IK25" s="40">
        <v>130</v>
      </c>
      <c r="IN25" s="63">
        <v>130</v>
      </c>
      <c r="IO25" s="40">
        <v>130</v>
      </c>
      <c r="IP25" s="40">
        <v>132</v>
      </c>
      <c r="IQ25" s="40">
        <v>132</v>
      </c>
      <c r="IR25" s="40">
        <v>131</v>
      </c>
      <c r="IU25" s="40">
        <v>131</v>
      </c>
      <c r="IV25" s="40">
        <v>130</v>
      </c>
      <c r="IW25" s="40">
        <v>126</v>
      </c>
      <c r="IX25" s="40">
        <v>127</v>
      </c>
      <c r="IY25" s="40">
        <v>127</v>
      </c>
      <c r="JB25" s="40">
        <v>125</v>
      </c>
      <c r="JC25" s="40">
        <v>125</v>
      </c>
      <c r="JD25" s="40">
        <v>126</v>
      </c>
      <c r="JE25" s="40">
        <v>124</v>
      </c>
      <c r="JF25" s="40">
        <v>124</v>
      </c>
      <c r="JI25" s="40">
        <v>125</v>
      </c>
      <c r="JJ25" s="40">
        <v>125</v>
      </c>
      <c r="JK25" s="40">
        <v>126</v>
      </c>
      <c r="JL25" s="40">
        <v>125</v>
      </c>
      <c r="JM25" s="40">
        <v>124</v>
      </c>
      <c r="JP25" s="40">
        <v>126</v>
      </c>
      <c r="JQ25" s="40">
        <v>128</v>
      </c>
      <c r="JR25" s="40">
        <v>126</v>
      </c>
      <c r="JS25" s="40">
        <v>127</v>
      </c>
      <c r="JT25" s="40">
        <v>124</v>
      </c>
      <c r="JW25" s="40">
        <v>125</v>
      </c>
      <c r="JX25" s="40">
        <v>125</v>
      </c>
      <c r="JY25" s="40">
        <v>124</v>
      </c>
      <c r="JZ25" s="40">
        <v>124</v>
      </c>
      <c r="KA25" s="40">
        <v>125</v>
      </c>
      <c r="KD25" s="40">
        <v>126</v>
      </c>
      <c r="KE25" s="40">
        <v>126</v>
      </c>
      <c r="KF25" s="40">
        <v>126</v>
      </c>
      <c r="KG25" s="40">
        <v>126</v>
      </c>
      <c r="KH25" s="40">
        <v>125</v>
      </c>
      <c r="KK25" s="40">
        <v>122</v>
      </c>
      <c r="KL25" s="40">
        <v>122.5</v>
      </c>
      <c r="KM25" s="40">
        <v>122</v>
      </c>
      <c r="KN25" s="40">
        <v>123</v>
      </c>
      <c r="KO25" s="40">
        <v>124</v>
      </c>
      <c r="KR25" s="40">
        <v>125</v>
      </c>
      <c r="KS25" s="40">
        <v>126</v>
      </c>
      <c r="KT25" s="63">
        <v>126</v>
      </c>
      <c r="KU25" s="63">
        <v>126</v>
      </c>
      <c r="KV25" s="63">
        <v>126</v>
      </c>
      <c r="KY25" s="40">
        <v>128</v>
      </c>
      <c r="KZ25" s="40">
        <v>127.5</v>
      </c>
      <c r="LA25" s="40">
        <v>127.5</v>
      </c>
      <c r="LB25" s="40">
        <v>128</v>
      </c>
      <c r="LC25" s="40">
        <v>127.5</v>
      </c>
      <c r="LF25" s="40">
        <v>129</v>
      </c>
      <c r="LG25" s="40">
        <v>126</v>
      </c>
      <c r="LH25" s="40">
        <v>126</v>
      </c>
      <c r="LI25" s="40">
        <v>126</v>
      </c>
      <c r="LJ25" s="40">
        <v>126</v>
      </c>
      <c r="LM25" s="40">
        <v>127</v>
      </c>
      <c r="LN25" s="40">
        <v>129</v>
      </c>
      <c r="LO25" s="40">
        <v>127</v>
      </c>
      <c r="LP25" s="40">
        <v>127</v>
      </c>
      <c r="LQ25" s="40">
        <v>126</v>
      </c>
      <c r="LT25" s="40">
        <v>126</v>
      </c>
      <c r="LU25" s="40">
        <v>128</v>
      </c>
      <c r="LV25" s="40">
        <v>130</v>
      </c>
      <c r="LW25" s="40">
        <v>131</v>
      </c>
      <c r="LX25" s="40">
        <v>130</v>
      </c>
      <c r="MA25" s="40">
        <v>130</v>
      </c>
      <c r="MB25" s="40">
        <v>131</v>
      </c>
      <c r="MC25" s="40">
        <v>130</v>
      </c>
      <c r="MD25" s="40">
        <v>131</v>
      </c>
      <c r="ME25" s="40">
        <v>131</v>
      </c>
      <c r="MH25" s="40">
        <v>132</v>
      </c>
      <c r="MI25" s="40">
        <v>130</v>
      </c>
      <c r="MJ25" s="40">
        <v>130</v>
      </c>
      <c r="MK25" s="40">
        <v>130</v>
      </c>
      <c r="ML25" s="40">
        <v>131</v>
      </c>
      <c r="MO25" s="40">
        <v>131</v>
      </c>
      <c r="MP25" s="40">
        <v>130</v>
      </c>
      <c r="MQ25" s="40">
        <v>131</v>
      </c>
      <c r="MR25" s="40">
        <v>130</v>
      </c>
      <c r="MS25" s="40">
        <v>130</v>
      </c>
      <c r="MV25" s="40">
        <v>130</v>
      </c>
      <c r="MW25" s="40">
        <v>130</v>
      </c>
      <c r="MX25" s="40">
        <v>130</v>
      </c>
      <c r="MY25" s="40">
        <v>130</v>
      </c>
      <c r="MZ25" s="40">
        <v>130</v>
      </c>
    </row>
    <row r="26" spans="1:378" s="37" customFormat="1" x14ac:dyDescent="0.25">
      <c r="A26" s="26" t="s">
        <v>154</v>
      </c>
      <c r="C26" s="37">
        <v>166</v>
      </c>
      <c r="D26" s="37">
        <v>168.5</v>
      </c>
      <c r="E26" s="37">
        <v>167</v>
      </c>
      <c r="F26" s="37">
        <v>163</v>
      </c>
      <c r="G26" s="37">
        <v>160</v>
      </c>
      <c r="J26" s="37">
        <v>162</v>
      </c>
      <c r="K26" s="37">
        <v>160</v>
      </c>
      <c r="L26" s="37">
        <v>160</v>
      </c>
      <c r="M26" s="37">
        <v>160</v>
      </c>
      <c r="N26" s="37">
        <v>160</v>
      </c>
      <c r="Q26" s="37">
        <v>160</v>
      </c>
      <c r="R26" s="37">
        <v>159</v>
      </c>
      <c r="S26" s="37">
        <v>158</v>
      </c>
      <c r="T26" s="37">
        <v>158</v>
      </c>
      <c r="U26" s="37">
        <v>160</v>
      </c>
      <c r="X26" s="37">
        <v>156</v>
      </c>
      <c r="Y26" s="37">
        <v>158</v>
      </c>
      <c r="Z26" s="37">
        <v>157</v>
      </c>
      <c r="AA26" s="37">
        <v>155</v>
      </c>
      <c r="AB26" s="37">
        <v>157</v>
      </c>
      <c r="AE26" s="37">
        <v>157</v>
      </c>
      <c r="AF26" s="37">
        <v>157</v>
      </c>
      <c r="AG26" s="37">
        <v>155</v>
      </c>
      <c r="AH26" s="37">
        <v>153</v>
      </c>
      <c r="AI26" s="37">
        <v>155</v>
      </c>
      <c r="AL26" s="37">
        <v>156</v>
      </c>
      <c r="AM26" s="37">
        <v>154</v>
      </c>
      <c r="AN26" s="37">
        <v>156</v>
      </c>
      <c r="AO26" s="37">
        <v>156</v>
      </c>
      <c r="AP26" s="37">
        <v>156</v>
      </c>
      <c r="AS26" s="37">
        <v>157</v>
      </c>
      <c r="AT26" s="37">
        <v>153</v>
      </c>
      <c r="AU26" s="37">
        <v>153</v>
      </c>
      <c r="AV26" s="37">
        <v>153</v>
      </c>
      <c r="AW26" s="37">
        <v>152</v>
      </c>
      <c r="AZ26" s="37">
        <v>152</v>
      </c>
      <c r="BA26" s="37">
        <v>152</v>
      </c>
      <c r="BB26" s="37">
        <v>152</v>
      </c>
      <c r="BC26" s="37">
        <v>151</v>
      </c>
      <c r="BD26" s="37">
        <v>152</v>
      </c>
      <c r="BG26" s="37">
        <v>151</v>
      </c>
      <c r="BH26" s="37">
        <v>149</v>
      </c>
      <c r="BI26" s="37">
        <v>149</v>
      </c>
      <c r="BJ26" s="37">
        <v>150</v>
      </c>
      <c r="BK26" s="37">
        <v>150.5</v>
      </c>
      <c r="BN26" s="37">
        <v>150.5</v>
      </c>
      <c r="BO26" s="37">
        <v>148.5</v>
      </c>
      <c r="BP26" s="37">
        <v>148</v>
      </c>
      <c r="BQ26" s="37">
        <v>146</v>
      </c>
      <c r="BR26" s="37">
        <v>146</v>
      </c>
      <c r="BU26" s="37">
        <v>147</v>
      </c>
      <c r="BV26" s="37">
        <v>147</v>
      </c>
      <c r="BW26" s="37">
        <v>148</v>
      </c>
      <c r="BX26" s="37">
        <v>147</v>
      </c>
      <c r="BY26" s="68">
        <v>147</v>
      </c>
      <c r="CB26" s="37">
        <v>144</v>
      </c>
      <c r="CC26" s="37">
        <v>143</v>
      </c>
      <c r="CD26" s="37">
        <v>143</v>
      </c>
      <c r="CE26" s="37">
        <v>138</v>
      </c>
      <c r="CF26" s="37">
        <v>136</v>
      </c>
      <c r="CI26" s="37">
        <v>135</v>
      </c>
      <c r="CJ26" s="37">
        <v>135</v>
      </c>
      <c r="CK26" s="37">
        <v>135</v>
      </c>
      <c r="CL26" s="37">
        <v>135</v>
      </c>
      <c r="CM26" s="37">
        <v>136</v>
      </c>
      <c r="CP26" s="37">
        <v>138</v>
      </c>
      <c r="CQ26" s="37">
        <v>136</v>
      </c>
      <c r="CR26" s="37">
        <v>134</v>
      </c>
      <c r="CS26" s="37">
        <v>133</v>
      </c>
      <c r="CT26" s="37">
        <v>133</v>
      </c>
      <c r="CW26" s="37">
        <v>133</v>
      </c>
      <c r="CX26" s="37">
        <v>131</v>
      </c>
      <c r="CY26" s="37">
        <v>128</v>
      </c>
      <c r="CZ26" s="37">
        <v>127</v>
      </c>
      <c r="DA26" s="37">
        <v>124</v>
      </c>
      <c r="DD26" s="37">
        <v>123.5</v>
      </c>
      <c r="DE26" s="37">
        <v>125</v>
      </c>
      <c r="DF26" s="37">
        <v>126</v>
      </c>
      <c r="DG26" s="37">
        <v>125</v>
      </c>
      <c r="DH26" s="37">
        <v>125</v>
      </c>
      <c r="DK26" s="37">
        <v>121</v>
      </c>
      <c r="DL26" s="37">
        <v>119</v>
      </c>
      <c r="DM26" s="37">
        <v>118</v>
      </c>
      <c r="DN26" s="37">
        <v>118</v>
      </c>
      <c r="DO26" s="37">
        <v>120</v>
      </c>
      <c r="DR26" s="37">
        <v>120</v>
      </c>
      <c r="DS26" s="37">
        <v>122</v>
      </c>
      <c r="DT26" s="37">
        <v>118</v>
      </c>
      <c r="DU26" s="37">
        <v>122</v>
      </c>
      <c r="DV26" s="37">
        <v>123.5</v>
      </c>
      <c r="DY26" s="37">
        <v>124</v>
      </c>
      <c r="DZ26" s="37">
        <v>122.5</v>
      </c>
      <c r="EA26" s="37">
        <v>121.5</v>
      </c>
      <c r="EB26" s="37">
        <v>121.5</v>
      </c>
      <c r="EC26" s="37">
        <v>120</v>
      </c>
      <c r="EF26" s="37">
        <v>121</v>
      </c>
      <c r="EG26" s="37">
        <v>120</v>
      </c>
      <c r="EH26" s="37">
        <v>118</v>
      </c>
      <c r="EI26" s="37">
        <v>119</v>
      </c>
      <c r="EJ26" s="37">
        <v>118</v>
      </c>
      <c r="EM26" s="37">
        <v>120</v>
      </c>
      <c r="EN26" s="37">
        <v>117</v>
      </c>
      <c r="EO26" s="37">
        <v>115.5</v>
      </c>
      <c r="EP26" s="37">
        <v>118</v>
      </c>
      <c r="EQ26" s="37">
        <v>118</v>
      </c>
      <c r="ET26" s="37">
        <v>116</v>
      </c>
      <c r="EU26" s="37">
        <v>116</v>
      </c>
      <c r="EV26" s="37">
        <v>114</v>
      </c>
      <c r="EW26" s="37">
        <v>115</v>
      </c>
      <c r="EX26" s="37">
        <v>114</v>
      </c>
      <c r="FA26" s="37">
        <v>112</v>
      </c>
      <c r="FB26" s="37">
        <v>113.5</v>
      </c>
      <c r="FC26" s="37">
        <v>113.5</v>
      </c>
      <c r="FD26" s="37">
        <v>113.5</v>
      </c>
      <c r="FE26" s="37">
        <v>114</v>
      </c>
      <c r="FH26" s="37">
        <v>114</v>
      </c>
      <c r="FI26" s="37">
        <v>113</v>
      </c>
      <c r="FJ26" s="37">
        <v>111.5</v>
      </c>
      <c r="FK26" s="37">
        <v>113</v>
      </c>
      <c r="FL26" s="37">
        <v>115</v>
      </c>
      <c r="FO26" s="37">
        <v>114</v>
      </c>
      <c r="FP26" s="37">
        <v>115</v>
      </c>
      <c r="FQ26" s="37">
        <v>115</v>
      </c>
      <c r="FR26" s="37">
        <v>116</v>
      </c>
      <c r="FS26" s="37">
        <v>116</v>
      </c>
      <c r="FV26" s="37">
        <v>116.5</v>
      </c>
      <c r="FW26" s="37">
        <v>114.5</v>
      </c>
      <c r="FX26" s="37">
        <v>111.5</v>
      </c>
      <c r="FY26" s="37">
        <v>113</v>
      </c>
      <c r="FZ26" s="37">
        <v>116</v>
      </c>
      <c r="GC26" s="37">
        <v>116</v>
      </c>
      <c r="GD26" s="37">
        <v>116</v>
      </c>
      <c r="GE26" s="37">
        <v>119</v>
      </c>
      <c r="GF26" s="37">
        <v>120</v>
      </c>
      <c r="GG26" s="37">
        <v>118</v>
      </c>
      <c r="GJ26" s="37">
        <v>120</v>
      </c>
      <c r="GK26" s="37">
        <v>122</v>
      </c>
      <c r="GL26" s="37">
        <v>119</v>
      </c>
      <c r="GM26" s="37">
        <v>121</v>
      </c>
      <c r="GN26" s="37">
        <v>120</v>
      </c>
      <c r="GQ26" s="37">
        <v>122</v>
      </c>
      <c r="GR26" s="64">
        <v>122.5</v>
      </c>
      <c r="GS26" s="37">
        <v>124</v>
      </c>
      <c r="GT26" s="64">
        <v>124.5</v>
      </c>
      <c r="GU26" s="37">
        <v>124</v>
      </c>
      <c r="GX26" s="64">
        <v>126</v>
      </c>
      <c r="GY26" s="64">
        <v>127</v>
      </c>
      <c r="GZ26" s="37">
        <v>131</v>
      </c>
      <c r="HA26" s="37">
        <v>129</v>
      </c>
      <c r="HB26" s="37">
        <v>127</v>
      </c>
      <c r="HE26" s="37">
        <v>123.5</v>
      </c>
      <c r="HF26" s="37">
        <v>122</v>
      </c>
      <c r="HG26" s="37">
        <v>122</v>
      </c>
      <c r="HH26" s="37">
        <v>125</v>
      </c>
      <c r="HI26" s="37">
        <v>125</v>
      </c>
      <c r="HL26" s="37">
        <v>123.5</v>
      </c>
      <c r="HM26" s="37">
        <v>126</v>
      </c>
      <c r="HN26" s="37">
        <v>125</v>
      </c>
      <c r="HO26" s="64">
        <v>125</v>
      </c>
      <c r="HP26" s="37">
        <v>123</v>
      </c>
      <c r="HS26" s="37">
        <v>126</v>
      </c>
      <c r="HT26" s="37">
        <v>125</v>
      </c>
      <c r="HU26" s="37">
        <v>128</v>
      </c>
      <c r="HV26" s="37">
        <v>128</v>
      </c>
      <c r="HW26" s="37">
        <v>129</v>
      </c>
      <c r="HZ26" s="37">
        <v>129</v>
      </c>
      <c r="IA26" s="37">
        <v>126</v>
      </c>
      <c r="IB26" s="37">
        <v>125.5</v>
      </c>
      <c r="IC26" s="37">
        <v>127</v>
      </c>
      <c r="ID26" s="64">
        <v>128</v>
      </c>
      <c r="IG26" s="37">
        <v>129</v>
      </c>
      <c r="IH26" s="37">
        <v>127</v>
      </c>
      <c r="II26" s="37">
        <v>127</v>
      </c>
      <c r="IJ26" s="37">
        <v>129</v>
      </c>
      <c r="IK26" s="37">
        <v>129</v>
      </c>
      <c r="IN26" s="64">
        <v>129</v>
      </c>
      <c r="IO26" s="37">
        <v>129</v>
      </c>
      <c r="IP26" s="37">
        <v>130</v>
      </c>
      <c r="IQ26" s="37">
        <v>130</v>
      </c>
      <c r="IR26" s="37">
        <v>130</v>
      </c>
      <c r="IU26" s="37">
        <v>128.5</v>
      </c>
      <c r="IV26" s="37">
        <v>127.5</v>
      </c>
      <c r="IW26" s="37">
        <v>125</v>
      </c>
      <c r="IX26" s="37">
        <v>126</v>
      </c>
      <c r="IY26" s="37">
        <v>126</v>
      </c>
      <c r="JB26" s="37">
        <v>123</v>
      </c>
      <c r="JC26" s="37">
        <v>122</v>
      </c>
      <c r="JD26" s="37">
        <v>123</v>
      </c>
      <c r="JE26" s="37">
        <v>122</v>
      </c>
      <c r="JF26" s="37">
        <v>123</v>
      </c>
      <c r="JI26" s="37">
        <v>123</v>
      </c>
      <c r="JJ26" s="37">
        <v>124.5</v>
      </c>
      <c r="JK26" s="37">
        <v>127</v>
      </c>
      <c r="JL26" s="37">
        <v>126.5</v>
      </c>
      <c r="JM26" s="37">
        <v>123</v>
      </c>
      <c r="JP26" s="37">
        <v>125</v>
      </c>
      <c r="JQ26" s="37">
        <v>125</v>
      </c>
      <c r="JR26" s="37">
        <v>125</v>
      </c>
      <c r="JS26" s="37">
        <v>126</v>
      </c>
      <c r="JT26" s="37">
        <v>123</v>
      </c>
      <c r="JW26" s="37">
        <v>123</v>
      </c>
      <c r="JX26" s="37">
        <v>122.5</v>
      </c>
      <c r="JY26" s="37">
        <v>120</v>
      </c>
      <c r="JZ26" s="37">
        <v>120</v>
      </c>
      <c r="KA26" s="37">
        <v>121</v>
      </c>
      <c r="KD26" s="37">
        <v>121</v>
      </c>
      <c r="KE26" s="37">
        <v>123</v>
      </c>
      <c r="KF26" s="37">
        <v>126</v>
      </c>
      <c r="KG26" s="37">
        <v>126</v>
      </c>
      <c r="KH26" s="37">
        <v>124</v>
      </c>
      <c r="KK26" s="37">
        <v>123</v>
      </c>
      <c r="KL26" s="37">
        <v>124</v>
      </c>
      <c r="KM26" s="37">
        <v>122</v>
      </c>
      <c r="KN26" s="37">
        <v>124</v>
      </c>
      <c r="KO26" s="37">
        <v>127</v>
      </c>
      <c r="KR26" s="37">
        <v>125</v>
      </c>
      <c r="KS26" s="37">
        <v>127.5</v>
      </c>
      <c r="KT26" s="64">
        <v>127</v>
      </c>
      <c r="KU26" s="64">
        <v>127</v>
      </c>
      <c r="KV26" s="64">
        <v>127</v>
      </c>
      <c r="KY26" s="37">
        <v>128.5</v>
      </c>
      <c r="KZ26" s="37">
        <v>128</v>
      </c>
      <c r="LA26" s="37">
        <v>128</v>
      </c>
      <c r="LB26" s="37">
        <v>127</v>
      </c>
      <c r="LC26" s="37">
        <v>128</v>
      </c>
      <c r="LF26" s="37">
        <v>130</v>
      </c>
      <c r="LG26" s="37">
        <v>128.5</v>
      </c>
      <c r="LH26" s="37">
        <v>128.5</v>
      </c>
      <c r="LI26" s="37">
        <v>128.5</v>
      </c>
      <c r="LJ26" s="37">
        <v>127.5</v>
      </c>
      <c r="LM26" s="37">
        <v>128</v>
      </c>
      <c r="LN26" s="37">
        <v>131</v>
      </c>
      <c r="LO26" s="37">
        <v>130</v>
      </c>
      <c r="LP26" s="37">
        <v>130</v>
      </c>
      <c r="LQ26" s="37">
        <v>129</v>
      </c>
      <c r="LT26" s="37">
        <v>128.5</v>
      </c>
      <c r="LU26" s="37">
        <v>129</v>
      </c>
      <c r="LV26" s="37">
        <v>129</v>
      </c>
      <c r="LW26" s="37">
        <v>131</v>
      </c>
      <c r="LX26" s="37">
        <v>130</v>
      </c>
      <c r="MA26" s="37">
        <v>130</v>
      </c>
      <c r="MB26" s="37">
        <v>130</v>
      </c>
      <c r="MC26" s="37">
        <v>130</v>
      </c>
      <c r="MD26" s="37">
        <v>130</v>
      </c>
      <c r="ME26" s="37">
        <v>129</v>
      </c>
      <c r="MH26" s="37">
        <v>132</v>
      </c>
      <c r="MI26" s="37">
        <v>131</v>
      </c>
      <c r="MJ26" s="37">
        <v>130</v>
      </c>
      <c r="MK26" s="37">
        <v>130</v>
      </c>
      <c r="ML26" s="37">
        <v>130</v>
      </c>
      <c r="MO26" s="37">
        <v>132</v>
      </c>
      <c r="MP26" s="37">
        <v>129</v>
      </c>
      <c r="MQ26" s="37">
        <v>128</v>
      </c>
      <c r="MR26" s="37">
        <v>127</v>
      </c>
      <c r="MS26" s="37">
        <v>127</v>
      </c>
      <c r="MV26" s="37">
        <v>127</v>
      </c>
      <c r="MW26" s="37">
        <v>129</v>
      </c>
      <c r="MX26" s="37">
        <v>128</v>
      </c>
      <c r="MY26" s="37">
        <v>127</v>
      </c>
      <c r="MZ26" s="37">
        <v>127</v>
      </c>
    </row>
    <row r="27" spans="1:378" s="48" customFormat="1" x14ac:dyDescent="0.25">
      <c r="A27" s="29" t="s">
        <v>90</v>
      </c>
      <c r="B27" s="40"/>
      <c r="C27" s="63">
        <v>2790</v>
      </c>
      <c r="D27" s="63">
        <v>2790</v>
      </c>
      <c r="E27" s="63">
        <v>2800</v>
      </c>
      <c r="F27" s="63">
        <v>2780</v>
      </c>
      <c r="G27" s="63">
        <v>2780</v>
      </c>
      <c r="J27" s="48">
        <v>2780</v>
      </c>
      <c r="K27" s="63">
        <v>2780</v>
      </c>
      <c r="L27" s="63">
        <v>2800</v>
      </c>
      <c r="M27" s="63">
        <v>2830</v>
      </c>
      <c r="N27" s="63">
        <v>2840</v>
      </c>
      <c r="Q27" s="63">
        <v>2840</v>
      </c>
      <c r="R27" s="63">
        <v>2840</v>
      </c>
      <c r="S27" s="63">
        <v>2840</v>
      </c>
      <c r="T27" s="63">
        <v>2830</v>
      </c>
      <c r="U27" s="63">
        <v>2800</v>
      </c>
      <c r="X27" s="63">
        <v>2800</v>
      </c>
      <c r="Y27" s="63">
        <v>2800</v>
      </c>
      <c r="Z27" s="63">
        <v>2750</v>
      </c>
      <c r="AA27" s="63">
        <v>2750</v>
      </c>
      <c r="AB27" s="63">
        <v>2800</v>
      </c>
      <c r="AC27" s="65"/>
      <c r="AD27" s="65"/>
      <c r="AE27" s="63">
        <v>2820</v>
      </c>
      <c r="AF27" s="63">
        <v>2820</v>
      </c>
      <c r="AG27" s="63">
        <v>2800</v>
      </c>
      <c r="AH27" s="63">
        <v>2800</v>
      </c>
      <c r="AI27" s="63">
        <v>2800</v>
      </c>
      <c r="AJ27" s="65"/>
      <c r="AL27" s="63">
        <v>2800</v>
      </c>
      <c r="AM27" s="63">
        <v>2800</v>
      </c>
      <c r="AN27" s="63">
        <v>2800</v>
      </c>
      <c r="AO27" s="63">
        <v>2830</v>
      </c>
      <c r="AP27" s="63">
        <v>2890</v>
      </c>
      <c r="AS27" s="63">
        <v>2870</v>
      </c>
      <c r="AT27" s="63">
        <v>2870</v>
      </c>
      <c r="AU27" s="63">
        <v>2870</v>
      </c>
      <c r="AV27" s="63">
        <v>2870</v>
      </c>
      <c r="AW27" s="63">
        <v>2890</v>
      </c>
      <c r="AX27" s="63"/>
      <c r="AY27" s="63"/>
      <c r="AZ27" s="63">
        <v>2890</v>
      </c>
      <c r="BA27" s="63">
        <v>2890</v>
      </c>
      <c r="BB27" s="63">
        <v>2890</v>
      </c>
      <c r="BC27" s="63">
        <v>2890</v>
      </c>
      <c r="BD27" s="63">
        <v>2770</v>
      </c>
      <c r="BE27" s="63"/>
      <c r="BF27" s="63"/>
      <c r="BG27" s="63">
        <v>2770</v>
      </c>
      <c r="BH27" s="63">
        <v>2770</v>
      </c>
      <c r="BI27" s="63">
        <v>2750</v>
      </c>
      <c r="BJ27" s="63">
        <v>2750</v>
      </c>
      <c r="BK27" s="63">
        <f>'[1]preço mercado'!$B$26</f>
        <v>2260</v>
      </c>
      <c r="BN27" s="63">
        <v>2770</v>
      </c>
      <c r="BO27" s="63">
        <v>2770</v>
      </c>
      <c r="BP27" s="63">
        <v>2770</v>
      </c>
      <c r="BQ27" s="63">
        <v>2770</v>
      </c>
      <c r="BR27" s="63">
        <v>2770</v>
      </c>
      <c r="BU27" s="63">
        <v>2750</v>
      </c>
      <c r="BV27" s="63">
        <v>2760</v>
      </c>
      <c r="BW27" s="63">
        <v>2750</v>
      </c>
      <c r="BX27" s="63">
        <f>'[1]preço mercado'!$B$26</f>
        <v>2260</v>
      </c>
      <c r="BY27" s="63">
        <f>'[1]preço mercado'!$B$26</f>
        <v>2260</v>
      </c>
      <c r="CB27" s="63">
        <v>2670</v>
      </c>
      <c r="CC27" s="63">
        <v>2670</v>
      </c>
      <c r="CD27" s="63">
        <v>2620</v>
      </c>
      <c r="CE27" s="63">
        <v>2500</v>
      </c>
      <c r="CF27" s="63">
        <v>2500</v>
      </c>
      <c r="CG27" s="63"/>
      <c r="CH27" s="63"/>
      <c r="CI27" s="63">
        <v>2500</v>
      </c>
      <c r="CJ27" s="63">
        <v>2500</v>
      </c>
      <c r="CK27" s="63">
        <v>2500</v>
      </c>
      <c r="CL27" s="63">
        <v>2500</v>
      </c>
      <c r="CM27" s="63">
        <v>2500</v>
      </c>
      <c r="CP27" s="63">
        <v>2500</v>
      </c>
      <c r="CQ27" s="63">
        <v>2480</v>
      </c>
      <c r="CR27" s="63">
        <v>2450</v>
      </c>
      <c r="CS27" s="63">
        <v>2450</v>
      </c>
      <c r="CT27" s="63">
        <v>2450</v>
      </c>
      <c r="CW27" s="63">
        <v>2450</v>
      </c>
      <c r="CX27" s="63">
        <v>2420</v>
      </c>
      <c r="CY27" s="63">
        <v>2400</v>
      </c>
      <c r="CZ27" s="63">
        <v>2400</v>
      </c>
      <c r="DA27" s="63">
        <v>2400</v>
      </c>
      <c r="DD27" s="63">
        <v>2400</v>
      </c>
      <c r="DE27" s="63">
        <v>2400</v>
      </c>
      <c r="DF27" s="63">
        <v>2400</v>
      </c>
      <c r="DG27" s="63">
        <v>2400</v>
      </c>
      <c r="DH27" s="63">
        <v>2400</v>
      </c>
      <c r="DK27" s="63">
        <v>2350</v>
      </c>
      <c r="DL27" s="63">
        <v>2300</v>
      </c>
      <c r="DM27" s="63">
        <v>2280</v>
      </c>
      <c r="DN27" s="63">
        <v>2280</v>
      </c>
      <c r="DO27" s="63">
        <v>2280</v>
      </c>
      <c r="DP27" s="63"/>
      <c r="DQ27" s="63"/>
      <c r="DR27" s="63">
        <v>2280</v>
      </c>
      <c r="DS27" s="63">
        <v>2280</v>
      </c>
      <c r="DT27" s="63">
        <v>2260</v>
      </c>
      <c r="DU27" s="63">
        <v>2260</v>
      </c>
      <c r="DV27" s="63">
        <v>2220</v>
      </c>
      <c r="DY27" s="63">
        <v>2220</v>
      </c>
      <c r="DZ27" s="63">
        <v>2230</v>
      </c>
      <c r="EA27" s="63">
        <v>2230</v>
      </c>
      <c r="EB27" s="63">
        <v>2230</v>
      </c>
      <c r="EC27" s="63">
        <v>2270</v>
      </c>
      <c r="EF27" s="63">
        <v>2270</v>
      </c>
      <c r="EG27" s="63">
        <v>2270</v>
      </c>
      <c r="EH27" s="63">
        <v>2250</v>
      </c>
      <c r="EI27" s="63">
        <v>2240</v>
      </c>
      <c r="EJ27" s="63">
        <v>2220</v>
      </c>
      <c r="EM27" s="63">
        <v>2300</v>
      </c>
      <c r="EN27" s="63">
        <v>2280</v>
      </c>
      <c r="EO27" s="63">
        <v>2250</v>
      </c>
      <c r="EP27" s="63">
        <v>2250</v>
      </c>
      <c r="EQ27" s="63">
        <v>2270</v>
      </c>
      <c r="ET27" s="63">
        <v>2270</v>
      </c>
      <c r="EU27" s="63">
        <v>2260</v>
      </c>
      <c r="EV27" s="63">
        <v>2240</v>
      </c>
      <c r="EW27" s="63">
        <v>2230</v>
      </c>
      <c r="EX27" s="63">
        <v>2220</v>
      </c>
      <c r="FA27" s="63">
        <v>2220</v>
      </c>
      <c r="FB27" s="63">
        <v>2210</v>
      </c>
      <c r="FC27" s="63">
        <v>2120</v>
      </c>
      <c r="FD27" s="63">
        <v>2120</v>
      </c>
      <c r="FE27" s="63">
        <v>2120</v>
      </c>
      <c r="FH27" s="63">
        <v>2100</v>
      </c>
      <c r="FI27" s="63">
        <v>2100</v>
      </c>
      <c r="FJ27" s="63">
        <v>2140</v>
      </c>
      <c r="FK27" s="63">
        <v>2140</v>
      </c>
      <c r="FL27" s="63">
        <v>2130</v>
      </c>
      <c r="FM27" s="63"/>
      <c r="FN27" s="63"/>
      <c r="FO27" s="63">
        <v>2130</v>
      </c>
      <c r="FP27" s="63">
        <v>2130</v>
      </c>
      <c r="FQ27" s="63">
        <v>2180</v>
      </c>
      <c r="FR27" s="63">
        <v>2160</v>
      </c>
      <c r="FS27" s="63">
        <v>2130</v>
      </c>
      <c r="FT27" s="63"/>
      <c r="FU27" s="63"/>
      <c r="FV27" s="63">
        <v>2130</v>
      </c>
      <c r="FW27" s="63">
        <v>2120</v>
      </c>
      <c r="FX27" s="63">
        <v>2090</v>
      </c>
      <c r="FY27" s="63">
        <v>2090</v>
      </c>
      <c r="FZ27" s="63">
        <v>2200</v>
      </c>
      <c r="GC27" s="63">
        <v>2200</v>
      </c>
      <c r="GD27" s="63">
        <v>2170</v>
      </c>
      <c r="GE27" s="63">
        <v>2170</v>
      </c>
      <c r="GF27" s="63">
        <v>2170</v>
      </c>
      <c r="GG27" s="63">
        <v>2170</v>
      </c>
      <c r="GJ27" s="63">
        <v>2230</v>
      </c>
      <c r="GK27" s="63">
        <v>2230</v>
      </c>
      <c r="GL27" s="63">
        <v>2230</v>
      </c>
      <c r="GM27" s="63">
        <v>2200</v>
      </c>
      <c r="GN27" s="63">
        <v>2200</v>
      </c>
      <c r="GQ27" s="63">
        <v>2230</v>
      </c>
      <c r="GR27" s="63">
        <v>2230</v>
      </c>
      <c r="GS27" s="40">
        <v>2230</v>
      </c>
      <c r="GT27" s="63">
        <v>2200</v>
      </c>
      <c r="GU27" s="40">
        <v>2200</v>
      </c>
      <c r="GX27" s="63">
        <v>2230</v>
      </c>
      <c r="GY27" s="63">
        <v>2230</v>
      </c>
      <c r="GZ27" s="63">
        <v>2230</v>
      </c>
      <c r="HA27" s="63">
        <v>2200</v>
      </c>
      <c r="HB27" s="63">
        <v>2200</v>
      </c>
      <c r="HE27" s="63">
        <v>2230</v>
      </c>
      <c r="HF27" s="40">
        <v>2230</v>
      </c>
      <c r="HG27" s="40">
        <v>2230</v>
      </c>
      <c r="HH27" s="63">
        <v>2200</v>
      </c>
      <c r="HI27" s="63">
        <v>2200</v>
      </c>
      <c r="HL27" s="40">
        <v>2230</v>
      </c>
      <c r="HM27" s="63">
        <v>2230</v>
      </c>
      <c r="HN27" s="40">
        <v>2230</v>
      </c>
      <c r="HO27" s="63">
        <v>2200</v>
      </c>
      <c r="HP27" s="63">
        <v>2200</v>
      </c>
      <c r="HS27" s="40">
        <v>2230</v>
      </c>
      <c r="HT27" s="40">
        <v>2230</v>
      </c>
      <c r="HU27" s="40">
        <v>2230</v>
      </c>
      <c r="HV27" s="40">
        <v>2200</v>
      </c>
      <c r="HW27" s="40">
        <v>2200</v>
      </c>
      <c r="HZ27" s="40">
        <v>2230</v>
      </c>
      <c r="IA27" s="40">
        <v>2230</v>
      </c>
      <c r="IB27" s="40">
        <v>2230</v>
      </c>
      <c r="IC27" s="40">
        <v>2200</v>
      </c>
      <c r="ID27" s="63">
        <v>2200</v>
      </c>
      <c r="IG27" s="40">
        <v>2330</v>
      </c>
      <c r="IH27" s="40">
        <v>2330</v>
      </c>
      <c r="II27" s="40">
        <v>2330</v>
      </c>
      <c r="IJ27" s="40">
        <v>2330</v>
      </c>
      <c r="IK27" s="40">
        <v>2330</v>
      </c>
      <c r="IL27" s="40"/>
      <c r="IM27" s="40"/>
      <c r="IN27" s="63">
        <v>2330</v>
      </c>
      <c r="IO27" s="40">
        <v>2330</v>
      </c>
      <c r="IP27" s="40">
        <v>2350</v>
      </c>
      <c r="IQ27" s="40">
        <v>2350</v>
      </c>
      <c r="IR27" s="40">
        <v>2350</v>
      </c>
      <c r="IS27" s="40"/>
      <c r="IU27" s="40">
        <v>2350</v>
      </c>
      <c r="IV27" s="40">
        <v>2350</v>
      </c>
      <c r="IW27" s="40">
        <v>2320</v>
      </c>
      <c r="IX27" s="40">
        <v>2310</v>
      </c>
      <c r="IY27" s="63">
        <v>2280</v>
      </c>
      <c r="IZ27" s="63"/>
      <c r="JA27" s="63"/>
      <c r="JB27" s="63">
        <v>2260</v>
      </c>
      <c r="JC27" s="63">
        <v>2260</v>
      </c>
      <c r="JD27" s="63">
        <v>2260</v>
      </c>
      <c r="JE27" s="40">
        <v>2240</v>
      </c>
      <c r="JF27" s="40">
        <v>2240</v>
      </c>
      <c r="JI27" s="63">
        <v>2250</v>
      </c>
      <c r="JJ27" s="63">
        <v>2250</v>
      </c>
      <c r="JK27" s="63">
        <v>2250</v>
      </c>
      <c r="JL27" s="63">
        <v>2230</v>
      </c>
      <c r="JM27" s="63">
        <v>2230</v>
      </c>
      <c r="JN27" s="63"/>
      <c r="JO27" s="63"/>
      <c r="JP27" s="63">
        <v>2230</v>
      </c>
      <c r="JQ27" s="63">
        <v>2230</v>
      </c>
      <c r="JR27" s="63">
        <v>2230</v>
      </c>
      <c r="JS27" s="63">
        <v>2200</v>
      </c>
      <c r="JT27" s="63">
        <v>2190</v>
      </c>
      <c r="JW27" s="63">
        <v>2180</v>
      </c>
      <c r="JX27" s="63">
        <v>2180</v>
      </c>
      <c r="JY27" s="63">
        <v>2180</v>
      </c>
      <c r="JZ27" s="63">
        <v>2180</v>
      </c>
      <c r="KA27" s="63">
        <v>2180</v>
      </c>
      <c r="KB27" s="65"/>
      <c r="KC27" s="65"/>
      <c r="KD27" s="63">
        <v>2200</v>
      </c>
      <c r="KE27" s="63">
        <v>2320</v>
      </c>
      <c r="KF27" s="63">
        <v>2320</v>
      </c>
      <c r="KG27" s="63">
        <v>2330</v>
      </c>
      <c r="KH27" s="63">
        <v>2330</v>
      </c>
      <c r="KK27" s="63">
        <v>2320</v>
      </c>
      <c r="KL27" s="63">
        <v>2320</v>
      </c>
      <c r="KM27" s="63">
        <v>2340</v>
      </c>
      <c r="KN27" s="63">
        <v>2340</v>
      </c>
      <c r="KO27" s="63">
        <v>2350</v>
      </c>
      <c r="KR27" s="63">
        <v>2350</v>
      </c>
      <c r="KS27" s="63">
        <v>2350</v>
      </c>
      <c r="KT27" s="63">
        <v>2360</v>
      </c>
      <c r="KU27" s="63">
        <v>2360</v>
      </c>
      <c r="KV27" s="63">
        <v>2360</v>
      </c>
      <c r="KY27" s="63">
        <v>2370</v>
      </c>
      <c r="KZ27" s="63">
        <v>2450</v>
      </c>
      <c r="LA27" s="63">
        <v>2450</v>
      </c>
      <c r="LB27" s="63">
        <v>2450</v>
      </c>
      <c r="LC27" s="63">
        <v>2460</v>
      </c>
      <c r="LD27" s="63"/>
      <c r="LE27" s="63"/>
      <c r="LF27" s="63">
        <v>2460</v>
      </c>
      <c r="LG27" s="48">
        <v>2490</v>
      </c>
      <c r="LH27" s="48">
        <v>2490</v>
      </c>
      <c r="LI27" s="63">
        <v>2450</v>
      </c>
      <c r="LJ27" s="63">
        <v>2450</v>
      </c>
      <c r="LM27" s="63">
        <v>2450</v>
      </c>
      <c r="LN27" s="63">
        <v>2450</v>
      </c>
      <c r="LO27" s="63">
        <v>2450</v>
      </c>
      <c r="LP27" s="63">
        <v>2450</v>
      </c>
      <c r="LQ27" s="63">
        <v>2450</v>
      </c>
      <c r="LT27" s="63">
        <v>2450</v>
      </c>
      <c r="LU27" s="63">
        <v>2450</v>
      </c>
      <c r="LV27" s="63">
        <v>2450</v>
      </c>
      <c r="LW27" s="63">
        <v>2450</v>
      </c>
      <c r="LX27" s="63">
        <v>2450</v>
      </c>
      <c r="MA27" s="63">
        <v>2450</v>
      </c>
      <c r="MB27" s="63">
        <v>2450</v>
      </c>
      <c r="MC27" s="63">
        <v>2440</v>
      </c>
      <c r="MD27" s="63">
        <v>2440</v>
      </c>
      <c r="ME27" s="63">
        <v>2440</v>
      </c>
      <c r="MH27" s="63">
        <v>2440</v>
      </c>
      <c r="MI27" s="63">
        <v>2420</v>
      </c>
      <c r="MJ27" s="63">
        <v>2420</v>
      </c>
      <c r="MK27" s="63">
        <v>2400</v>
      </c>
      <c r="ML27" s="63">
        <v>2400</v>
      </c>
      <c r="MO27" s="63">
        <v>2400</v>
      </c>
      <c r="MP27" s="63">
        <v>2340</v>
      </c>
      <c r="MQ27" s="63">
        <v>2340</v>
      </c>
      <c r="MR27" s="63">
        <v>2340</v>
      </c>
      <c r="MS27" s="63">
        <v>2340</v>
      </c>
      <c r="MT27" s="63"/>
      <c r="MU27" s="63"/>
      <c r="MV27" s="63">
        <v>2340</v>
      </c>
      <c r="MW27" s="63">
        <v>2340</v>
      </c>
      <c r="MX27" s="63">
        <v>2290</v>
      </c>
      <c r="MY27" s="63">
        <v>2290</v>
      </c>
      <c r="MZ27" s="63">
        <v>2290</v>
      </c>
      <c r="NC27" s="65">
        <f>'[1]preço mercado'!$B$26</f>
        <v>2260</v>
      </c>
      <c r="ND27" s="65">
        <f>'[1]preço mercado'!$B$26</f>
        <v>2260</v>
      </c>
      <c r="NE27" s="65">
        <f>'[1]preço mercado'!$B$26</f>
        <v>2260</v>
      </c>
      <c r="NF27" s="65">
        <f>'[1]preço mercado'!$B$26</f>
        <v>2260</v>
      </c>
      <c r="NG27" s="65">
        <f>'[1]preço mercado'!$B$26</f>
        <v>2260</v>
      </c>
      <c r="NJ27" s="65"/>
      <c r="NK27" s="65"/>
      <c r="NL27" s="65"/>
      <c r="NM27" s="65"/>
      <c r="NN27" s="65"/>
    </row>
    <row r="28" spans="1:378" s="49" customFormat="1" x14ac:dyDescent="0.25">
      <c r="A28" s="21" t="s">
        <v>101</v>
      </c>
      <c r="B28" s="37"/>
      <c r="C28" s="64">
        <v>6200</v>
      </c>
      <c r="D28" s="64">
        <v>6200</v>
      </c>
      <c r="E28" s="64">
        <v>6150</v>
      </c>
      <c r="F28" s="64">
        <v>6100</v>
      </c>
      <c r="G28" s="64">
        <v>6100</v>
      </c>
      <c r="J28" s="49">
        <v>6000</v>
      </c>
      <c r="K28" s="64">
        <v>6000</v>
      </c>
      <c r="L28" s="64">
        <v>6000</v>
      </c>
      <c r="M28" s="64">
        <v>5900</v>
      </c>
      <c r="N28" s="64">
        <v>5900</v>
      </c>
      <c r="Q28" s="64">
        <v>5900</v>
      </c>
      <c r="R28" s="64">
        <v>5800</v>
      </c>
      <c r="S28" s="64">
        <v>6000</v>
      </c>
      <c r="T28" s="64">
        <v>6000</v>
      </c>
      <c r="U28" s="64">
        <v>6000</v>
      </c>
      <c r="X28" s="64">
        <v>6000</v>
      </c>
      <c r="Y28" s="64">
        <v>6000</v>
      </c>
      <c r="Z28" s="64">
        <v>5600</v>
      </c>
      <c r="AA28" s="64">
        <v>5600</v>
      </c>
      <c r="AB28" s="64">
        <v>5600</v>
      </c>
      <c r="AC28" s="66"/>
      <c r="AD28" s="66"/>
      <c r="AE28" s="64">
        <v>5600</v>
      </c>
      <c r="AF28" s="64">
        <v>5600</v>
      </c>
      <c r="AG28" s="64">
        <v>5500</v>
      </c>
      <c r="AH28" s="64">
        <v>5500</v>
      </c>
      <c r="AI28" s="64">
        <v>5400</v>
      </c>
      <c r="AJ28" s="66"/>
      <c r="AL28" s="64">
        <v>5500</v>
      </c>
      <c r="AM28" s="64">
        <v>5600</v>
      </c>
      <c r="AN28" s="64">
        <v>5600</v>
      </c>
      <c r="AO28" s="64">
        <v>5600</v>
      </c>
      <c r="AP28" s="64">
        <v>5850</v>
      </c>
      <c r="AS28" s="64">
        <v>5850</v>
      </c>
      <c r="AT28" s="64">
        <v>5750</v>
      </c>
      <c r="AU28" s="64">
        <v>5750</v>
      </c>
      <c r="AV28" s="64">
        <v>5700</v>
      </c>
      <c r="AW28" s="64">
        <v>5700</v>
      </c>
      <c r="AX28" s="64"/>
      <c r="AY28" s="64"/>
      <c r="AZ28" s="64">
        <v>5700</v>
      </c>
      <c r="BA28" s="64">
        <v>5700</v>
      </c>
      <c r="BB28" s="64">
        <v>5700</v>
      </c>
      <c r="BC28" s="64">
        <v>5700</v>
      </c>
      <c r="BD28" s="64">
        <v>5500</v>
      </c>
      <c r="BE28" s="64"/>
      <c r="BF28" s="64"/>
      <c r="BG28" s="64">
        <v>5500</v>
      </c>
      <c r="BH28" s="64">
        <v>5500</v>
      </c>
      <c r="BI28" s="64">
        <v>5500</v>
      </c>
      <c r="BJ28" s="64">
        <v>5500</v>
      </c>
      <c r="BK28" s="64">
        <f>'[1]preço mercado'!$B$28</f>
        <v>4450</v>
      </c>
      <c r="BN28" s="64">
        <v>5400</v>
      </c>
      <c r="BO28" s="64">
        <v>5400</v>
      </c>
      <c r="BP28" s="64">
        <v>5300</v>
      </c>
      <c r="BQ28" s="64">
        <v>5300</v>
      </c>
      <c r="BR28" s="64">
        <v>5300</v>
      </c>
      <c r="BU28" s="64">
        <v>5300</v>
      </c>
      <c r="BV28" s="64">
        <v>5300</v>
      </c>
      <c r="BW28" s="64">
        <v>5300</v>
      </c>
      <c r="BX28" s="64">
        <f>'[1]preço mercado'!$B$28</f>
        <v>4450</v>
      </c>
      <c r="BY28" s="64">
        <f>'[1]preço mercado'!$B$28</f>
        <v>4450</v>
      </c>
      <c r="CB28" s="64">
        <v>5300</v>
      </c>
      <c r="CC28" s="64">
        <v>5300</v>
      </c>
      <c r="CD28" s="64">
        <v>5200</v>
      </c>
      <c r="CE28" s="64">
        <v>4800</v>
      </c>
      <c r="CF28" s="64">
        <v>4900</v>
      </c>
      <c r="CG28" s="64"/>
      <c r="CH28" s="64"/>
      <c r="CI28" s="64">
        <v>4900</v>
      </c>
      <c r="CJ28" s="64">
        <v>4900</v>
      </c>
      <c r="CK28" s="64">
        <v>4900</v>
      </c>
      <c r="CL28" s="64">
        <v>4900</v>
      </c>
      <c r="CM28" s="64">
        <v>5000</v>
      </c>
      <c r="CP28" s="64">
        <v>5000</v>
      </c>
      <c r="CQ28" s="64">
        <v>5000</v>
      </c>
      <c r="CR28" s="64">
        <v>4900</v>
      </c>
      <c r="CS28" s="64">
        <v>4900</v>
      </c>
      <c r="CT28" s="64">
        <v>4900</v>
      </c>
      <c r="CW28" s="64">
        <v>4900</v>
      </c>
      <c r="CX28" s="64">
        <v>4700</v>
      </c>
      <c r="CY28" s="64">
        <v>4500</v>
      </c>
      <c r="CZ28" s="64">
        <v>4500</v>
      </c>
      <c r="DA28" s="64">
        <v>4500</v>
      </c>
      <c r="DD28" s="64">
        <v>4400</v>
      </c>
      <c r="DE28" s="64">
        <v>4450</v>
      </c>
      <c r="DF28" s="64">
        <v>4450</v>
      </c>
      <c r="DG28" s="64">
        <v>4450</v>
      </c>
      <c r="DH28" s="64">
        <v>4450</v>
      </c>
      <c r="DK28" s="64">
        <v>4450</v>
      </c>
      <c r="DL28" s="64">
        <v>4400</v>
      </c>
      <c r="DM28" s="64">
        <v>4400</v>
      </c>
      <c r="DN28" s="64">
        <v>4200</v>
      </c>
      <c r="DO28" s="64">
        <v>4200</v>
      </c>
      <c r="DP28" s="64"/>
      <c r="DQ28" s="64"/>
      <c r="DR28" s="64">
        <v>4200</v>
      </c>
      <c r="DS28" s="64">
        <v>4200</v>
      </c>
      <c r="DT28" s="64">
        <v>4100</v>
      </c>
      <c r="DU28" s="64">
        <v>4100</v>
      </c>
      <c r="DV28" s="64">
        <v>4500</v>
      </c>
      <c r="DY28" s="64">
        <v>4500</v>
      </c>
      <c r="DZ28" s="64">
        <v>4450</v>
      </c>
      <c r="EA28" s="64">
        <v>4450</v>
      </c>
      <c r="EB28" s="64">
        <v>4450</v>
      </c>
      <c r="EC28" s="64">
        <v>4400</v>
      </c>
      <c r="ED28" s="69"/>
      <c r="EF28" s="64">
        <v>4400</v>
      </c>
      <c r="EG28" s="64">
        <v>4350</v>
      </c>
      <c r="EH28" s="64">
        <v>4200</v>
      </c>
      <c r="EI28" s="64">
        <v>4100</v>
      </c>
      <c r="EJ28" s="64">
        <v>4200</v>
      </c>
      <c r="EM28" s="64">
        <v>4300</v>
      </c>
      <c r="EN28" s="64">
        <v>4300</v>
      </c>
      <c r="EO28" s="64">
        <v>4400</v>
      </c>
      <c r="EP28" s="64">
        <v>4500</v>
      </c>
      <c r="EQ28" s="64">
        <v>4550</v>
      </c>
      <c r="ET28" s="64">
        <v>4550</v>
      </c>
      <c r="EU28" s="64">
        <v>4350</v>
      </c>
      <c r="EV28" s="64">
        <v>4350</v>
      </c>
      <c r="EW28" s="64">
        <v>4400</v>
      </c>
      <c r="EX28" s="64">
        <v>4400</v>
      </c>
      <c r="FA28" s="64">
        <v>4350</v>
      </c>
      <c r="FB28" s="64">
        <v>4400</v>
      </c>
      <c r="FC28" s="64">
        <v>4250</v>
      </c>
      <c r="FD28" s="64">
        <v>4250</v>
      </c>
      <c r="FE28" s="64">
        <v>4300</v>
      </c>
      <c r="FH28" s="64">
        <v>4400</v>
      </c>
      <c r="FI28" s="64">
        <v>4400</v>
      </c>
      <c r="FJ28" s="64">
        <v>4550</v>
      </c>
      <c r="FK28" s="64">
        <v>4550</v>
      </c>
      <c r="FL28" s="64">
        <v>4500</v>
      </c>
      <c r="FM28" s="64"/>
      <c r="FN28" s="64"/>
      <c r="FO28" s="64">
        <v>4500</v>
      </c>
      <c r="FP28" s="64">
        <v>4500</v>
      </c>
      <c r="FQ28" s="64">
        <v>4500</v>
      </c>
      <c r="FR28" s="64">
        <v>4300</v>
      </c>
      <c r="FS28" s="64">
        <v>4500</v>
      </c>
      <c r="FT28" s="64"/>
      <c r="FU28" s="64"/>
      <c r="FV28" s="64">
        <v>4500</v>
      </c>
      <c r="FW28" s="64">
        <v>4550</v>
      </c>
      <c r="FX28" s="64">
        <v>4600</v>
      </c>
      <c r="FY28" s="64">
        <v>4650</v>
      </c>
      <c r="FZ28" s="64">
        <v>4700</v>
      </c>
      <c r="GC28" s="64">
        <v>4750</v>
      </c>
      <c r="GD28" s="64">
        <v>4800</v>
      </c>
      <c r="GE28" s="64">
        <v>4800</v>
      </c>
      <c r="GF28" s="64">
        <v>4800</v>
      </c>
      <c r="GG28" s="64">
        <v>4800</v>
      </c>
      <c r="GJ28" s="64">
        <v>4800</v>
      </c>
      <c r="GK28" s="64">
        <v>4800</v>
      </c>
      <c r="GL28" s="64">
        <v>4800</v>
      </c>
      <c r="GM28" s="64">
        <v>4600</v>
      </c>
      <c r="GN28" s="64">
        <v>4600</v>
      </c>
      <c r="GQ28" s="64">
        <v>4800</v>
      </c>
      <c r="GR28" s="64">
        <v>4800</v>
      </c>
      <c r="GS28" s="37">
        <v>4800</v>
      </c>
      <c r="GT28" s="64">
        <v>4600</v>
      </c>
      <c r="GU28" s="37">
        <v>4600</v>
      </c>
      <c r="GX28" s="64">
        <v>4800</v>
      </c>
      <c r="GY28" s="64">
        <v>4800</v>
      </c>
      <c r="GZ28" s="64">
        <v>4800</v>
      </c>
      <c r="HA28" s="64">
        <v>4600</v>
      </c>
      <c r="HB28" s="64">
        <v>4600</v>
      </c>
      <c r="HE28" s="64">
        <v>4800</v>
      </c>
      <c r="HF28" s="37">
        <v>4800</v>
      </c>
      <c r="HG28" s="37">
        <v>4800</v>
      </c>
      <c r="HH28" s="64">
        <v>4600</v>
      </c>
      <c r="HI28" s="64">
        <v>4600</v>
      </c>
      <c r="HL28" s="37">
        <v>4800</v>
      </c>
      <c r="HM28" s="64">
        <v>4800</v>
      </c>
      <c r="HN28" s="37">
        <v>4800</v>
      </c>
      <c r="HO28" s="64">
        <v>4600</v>
      </c>
      <c r="HP28" s="64">
        <v>4600</v>
      </c>
      <c r="HS28" s="37">
        <v>4800</v>
      </c>
      <c r="HT28" s="37">
        <v>4800</v>
      </c>
      <c r="HU28" s="37">
        <v>4800</v>
      </c>
      <c r="HV28" s="37">
        <v>4600</v>
      </c>
      <c r="HW28" s="37">
        <v>4600</v>
      </c>
      <c r="HZ28" s="37">
        <v>4800</v>
      </c>
      <c r="IA28" s="37">
        <v>4800</v>
      </c>
      <c r="IB28" s="37">
        <v>4800</v>
      </c>
      <c r="IC28" s="37">
        <v>4600</v>
      </c>
      <c r="ID28" s="64">
        <v>4600</v>
      </c>
      <c r="IG28" s="37">
        <v>4500</v>
      </c>
      <c r="IH28" s="37">
        <v>4500</v>
      </c>
      <c r="II28" s="37">
        <v>4500</v>
      </c>
      <c r="IJ28" s="37">
        <v>4800</v>
      </c>
      <c r="IK28" s="37">
        <v>4800</v>
      </c>
      <c r="IL28" s="37"/>
      <c r="IM28" s="37"/>
      <c r="IN28" s="64">
        <v>4800</v>
      </c>
      <c r="IO28" s="37">
        <v>4800</v>
      </c>
      <c r="IP28" s="37">
        <v>4600</v>
      </c>
      <c r="IQ28" s="37">
        <v>4600</v>
      </c>
      <c r="IR28" s="37">
        <v>4600</v>
      </c>
      <c r="IS28" s="37"/>
      <c r="IT28" s="37"/>
      <c r="IU28" s="37">
        <v>4600</v>
      </c>
      <c r="IV28" s="37">
        <v>4600</v>
      </c>
      <c r="IW28" s="37">
        <v>4600</v>
      </c>
      <c r="IX28" s="37">
        <v>4600</v>
      </c>
      <c r="IY28" s="64">
        <v>4750</v>
      </c>
      <c r="IZ28" s="64"/>
      <c r="JA28" s="64"/>
      <c r="JB28" s="64">
        <v>4700</v>
      </c>
      <c r="JC28" s="64">
        <v>4700</v>
      </c>
      <c r="JD28" s="64">
        <v>4700</v>
      </c>
      <c r="JE28" s="37">
        <v>4700</v>
      </c>
      <c r="JF28" s="37">
        <v>4700</v>
      </c>
      <c r="JG28" s="37"/>
      <c r="JH28" s="37"/>
      <c r="JI28" s="64">
        <v>4750</v>
      </c>
      <c r="JJ28" s="64">
        <v>4750</v>
      </c>
      <c r="JK28" s="64">
        <v>4750</v>
      </c>
      <c r="JL28" s="64">
        <v>4750</v>
      </c>
      <c r="JM28" s="64">
        <v>4750</v>
      </c>
      <c r="JN28" s="64"/>
      <c r="JO28" s="64"/>
      <c r="JP28" s="64">
        <v>4750</v>
      </c>
      <c r="JQ28" s="64">
        <v>4750</v>
      </c>
      <c r="JR28" s="64">
        <v>4750</v>
      </c>
      <c r="JS28" s="64">
        <v>4750</v>
      </c>
      <c r="JT28" s="64">
        <v>4750</v>
      </c>
      <c r="JW28" s="64">
        <v>4750</v>
      </c>
      <c r="JX28" s="64">
        <v>4750</v>
      </c>
      <c r="JY28" s="64">
        <v>4750</v>
      </c>
      <c r="JZ28" s="64">
        <v>4750</v>
      </c>
      <c r="KA28" s="64">
        <v>4750</v>
      </c>
      <c r="KD28" s="64">
        <v>4800</v>
      </c>
      <c r="KE28" s="64">
        <v>4850</v>
      </c>
      <c r="KF28" s="64">
        <v>4850</v>
      </c>
      <c r="KG28" s="64">
        <v>4850</v>
      </c>
      <c r="KH28" s="64">
        <v>4850</v>
      </c>
      <c r="KK28" s="64">
        <v>4700</v>
      </c>
      <c r="KL28" s="64">
        <v>4700</v>
      </c>
      <c r="KM28" s="64">
        <v>4600</v>
      </c>
      <c r="KN28" s="64">
        <v>4600</v>
      </c>
      <c r="KO28" s="64">
        <v>4600</v>
      </c>
      <c r="KR28" s="64">
        <v>4600</v>
      </c>
      <c r="KS28" s="64">
        <v>4600</v>
      </c>
      <c r="KT28" s="64">
        <v>4600</v>
      </c>
      <c r="KU28" s="64">
        <v>4600</v>
      </c>
      <c r="KV28" s="64">
        <v>4600</v>
      </c>
      <c r="KY28" s="64">
        <v>4600</v>
      </c>
      <c r="KZ28" s="64">
        <v>4650</v>
      </c>
      <c r="LA28" s="64">
        <v>4650</v>
      </c>
      <c r="LB28" s="64">
        <v>4650</v>
      </c>
      <c r="LC28" s="64">
        <v>4650</v>
      </c>
      <c r="LD28" s="64"/>
      <c r="LE28" s="64"/>
      <c r="LF28" s="64">
        <v>4650</v>
      </c>
      <c r="LG28" s="49">
        <v>4650</v>
      </c>
      <c r="LH28" s="49">
        <v>4650</v>
      </c>
      <c r="LI28" s="64">
        <v>4750</v>
      </c>
      <c r="LJ28" s="64">
        <v>4750</v>
      </c>
      <c r="LM28" s="64">
        <v>4800</v>
      </c>
      <c r="LN28" s="64">
        <v>4800</v>
      </c>
      <c r="LO28" s="64">
        <v>4800</v>
      </c>
      <c r="LP28" s="64">
        <v>4800</v>
      </c>
      <c r="LQ28" s="64">
        <v>4800</v>
      </c>
      <c r="LT28" s="64">
        <v>4800</v>
      </c>
      <c r="LU28" s="64">
        <v>4850</v>
      </c>
      <c r="LV28" s="64">
        <v>4850</v>
      </c>
      <c r="LW28" s="64">
        <v>4850</v>
      </c>
      <c r="LX28" s="64">
        <v>4850</v>
      </c>
      <c r="MA28" s="64">
        <v>4850</v>
      </c>
      <c r="MB28" s="64">
        <v>4850</v>
      </c>
      <c r="MC28" s="64">
        <v>4850</v>
      </c>
      <c r="MD28" s="64">
        <v>4850</v>
      </c>
      <c r="ME28" s="64">
        <v>4650</v>
      </c>
      <c r="MH28" s="64">
        <v>4650</v>
      </c>
      <c r="MI28" s="64">
        <v>4550</v>
      </c>
      <c r="MJ28" s="64">
        <v>4550</v>
      </c>
      <c r="MK28" s="64">
        <v>4450</v>
      </c>
      <c r="ML28" s="64">
        <v>4450</v>
      </c>
      <c r="MO28" s="64">
        <v>4450</v>
      </c>
      <c r="MP28" s="64">
        <v>4350</v>
      </c>
      <c r="MQ28" s="64">
        <v>4350</v>
      </c>
      <c r="MR28" s="64">
        <v>4350</v>
      </c>
      <c r="MS28" s="64">
        <v>4350</v>
      </c>
      <c r="MT28" s="64"/>
      <c r="MU28" s="64"/>
      <c r="MV28" s="64">
        <v>4350</v>
      </c>
      <c r="MW28" s="64">
        <v>4350</v>
      </c>
      <c r="MX28" s="64">
        <v>4250</v>
      </c>
      <c r="MY28" s="64">
        <v>4250</v>
      </c>
      <c r="MZ28" s="64">
        <v>4250</v>
      </c>
      <c r="NC28" s="66">
        <f>'[1]preço mercado'!$B$28</f>
        <v>4450</v>
      </c>
      <c r="ND28" s="66">
        <f>'[1]preço mercado'!$B$28</f>
        <v>4450</v>
      </c>
      <c r="NE28" s="66">
        <f>'[1]preço mercado'!$B$28</f>
        <v>4450</v>
      </c>
      <c r="NF28" s="66">
        <f>'[1]preço mercado'!$B$28</f>
        <v>4450</v>
      </c>
      <c r="NG28" s="66">
        <f>'[1]preço mercado'!$B$28</f>
        <v>4450</v>
      </c>
      <c r="NJ28" s="66"/>
      <c r="NK28" s="66"/>
      <c r="NL28" s="66"/>
      <c r="NM28" s="66"/>
      <c r="NN28" s="66"/>
    </row>
    <row r="29" spans="1:378" s="71" customFormat="1" x14ac:dyDescent="0.25">
      <c r="A29" s="78" t="s">
        <v>102</v>
      </c>
      <c r="C29" s="71">
        <f>C28/C20</f>
        <v>1160.3316302659405</v>
      </c>
      <c r="D29" s="71">
        <f>D28/D20</f>
        <v>1153.3596249720961</v>
      </c>
      <c r="E29" s="71">
        <f t="shared" ref="E29:G29" si="374">E28/E20</f>
        <v>1129.3521375055091</v>
      </c>
      <c r="F29" s="71">
        <f t="shared" si="374"/>
        <v>1129.1486959258093</v>
      </c>
      <c r="G29" s="71">
        <f t="shared" si="374"/>
        <v>1154.166351320669</v>
      </c>
      <c r="J29" s="71">
        <f>J28/J20</f>
        <v>1132.8449512876671</v>
      </c>
      <c r="K29" s="71">
        <f>K28/K20</f>
        <v>1145.2130096197893</v>
      </c>
      <c r="L29" s="71">
        <f>L28/L20</f>
        <v>1153.469058192514</v>
      </c>
      <c r="M29" s="71">
        <f t="shared" ref="M29:N29" si="375">M28/M20</f>
        <v>1147.9269218047746</v>
      </c>
      <c r="N29" s="71">
        <f t="shared" si="375"/>
        <v>1154.3277508217247</v>
      </c>
      <c r="Q29" s="71">
        <f>Q28/Q20</f>
        <v>1153.6280624914455</v>
      </c>
      <c r="R29" s="71">
        <f>R28/R20</f>
        <v>1132.8125</v>
      </c>
      <c r="S29" s="71">
        <f>S28/S20</f>
        <v>1178.64298903862</v>
      </c>
      <c r="T29" s="71">
        <f t="shared" ref="T29:U29" si="376">T28/T20</f>
        <v>1150.7259162655107</v>
      </c>
      <c r="U29" s="71">
        <f t="shared" si="376"/>
        <v>1155.6462951905853</v>
      </c>
      <c r="X29" s="71">
        <f>X28/X20</f>
        <v>1155.6462951905853</v>
      </c>
      <c r="Y29" s="71">
        <f>Y28/Y20</f>
        <v>1160.6987406418664</v>
      </c>
      <c r="Z29" s="71">
        <f>Z28/Z20</f>
        <v>1097.2001802543152</v>
      </c>
      <c r="AA29" s="71">
        <f t="shared" ref="AA29:AB29" si="377">AA28/AA20</f>
        <v>1099.1599277694904</v>
      </c>
      <c r="AB29" s="71">
        <f t="shared" si="377"/>
        <v>1103.209156636</v>
      </c>
      <c r="AE29" s="71">
        <f>AE28/AE20</f>
        <v>1098.987361645341</v>
      </c>
      <c r="AF29" s="71">
        <f>AF28/AF20</f>
        <v>1098.2545597175917</v>
      </c>
      <c r="AG29" s="71">
        <f>AG28/AG20</f>
        <v>1084.4276193856226</v>
      </c>
      <c r="AH29" s="71">
        <f>AH28/AH20</f>
        <v>1102.2485871177203</v>
      </c>
      <c r="AI29" s="71">
        <f t="shared" ref="AI29" si="378">AI28/AI20</f>
        <v>1058.263272385208</v>
      </c>
      <c r="AL29" s="71">
        <f>AL28/AL20</f>
        <v>1062.596599690881</v>
      </c>
      <c r="AM29" s="71">
        <f>AM28/AM20</f>
        <v>1083.3397817844154</v>
      </c>
      <c r="AN29" s="71">
        <f>AN28/AN20</f>
        <v>1076.2400784117772</v>
      </c>
      <c r="AO29" s="71">
        <f>AO28/AO20</f>
        <v>1070.5000764642912</v>
      </c>
      <c r="AP29" s="71">
        <f t="shared" ref="AP29" si="379">AP28/AP20</f>
        <v>1113.7977647887592</v>
      </c>
      <c r="AS29" s="71">
        <f>AS28/AS20</f>
        <v>1128.6681715575621</v>
      </c>
      <c r="AT29" s="71">
        <f>AT28/AT20</f>
        <v>1116.4181422802112</v>
      </c>
      <c r="AU29" s="71">
        <f>AU28/AU20</f>
        <v>1099.889054669268</v>
      </c>
      <c r="AV29" s="71">
        <f>AV28/AV20</f>
        <v>1087.1845734231056</v>
      </c>
      <c r="AW29" s="71">
        <f t="shared" ref="AW29" si="380">AW28/AW20</f>
        <v>1095.9641600492223</v>
      </c>
      <c r="AZ29" s="71">
        <f>AZ28/AZ20</f>
        <v>1095.9641600492223</v>
      </c>
      <c r="BA29" s="71">
        <f>BA28/BA20</f>
        <v>1095.9641600492223</v>
      </c>
      <c r="BB29" s="71">
        <f>BB28/BB20</f>
        <v>1101.9390260405592</v>
      </c>
      <c r="BC29" s="71">
        <f>BC28/BC20</f>
        <v>1110.5266234145772</v>
      </c>
      <c r="BD29" s="71">
        <f t="shared" ref="BD29" si="381">BD28/BD20</f>
        <v>1062.0220900594732</v>
      </c>
      <c r="BG29" s="71">
        <f>BG28/BG20</f>
        <v>1058.5676617202687</v>
      </c>
      <c r="BH29" s="71">
        <f>BH28/BH20</f>
        <v>1056.1689870379262</v>
      </c>
      <c r="BI29" s="71">
        <f>BI28/BI20</f>
        <v>1056.3312654848562</v>
      </c>
      <c r="BJ29" s="71">
        <f>BJ28/BJ20</f>
        <v>1056.1284252165062</v>
      </c>
      <c r="BK29" s="71">
        <f t="shared" ref="BK29" si="382">BK28/BK20</f>
        <v>855.2100549640619</v>
      </c>
      <c r="BN29" s="71">
        <f>BN28/BN20</f>
        <v>1039.120980622318</v>
      </c>
      <c r="BO29" s="71">
        <f>BO28/BO20</f>
        <v>1040.5025241820495</v>
      </c>
      <c r="BP29" s="71">
        <f>BP28/BP20</f>
        <v>1031.4494784368676</v>
      </c>
      <c r="BQ29" s="71">
        <f>BQ28/BQ20</f>
        <v>1032.1324245374879</v>
      </c>
      <c r="BR29" s="71">
        <f t="shared" ref="BR29" si="383">BR28/BR20</f>
        <v>1022.7908682143616</v>
      </c>
      <c r="BU29" s="71">
        <f>BU28/BU20</f>
        <v>1011.9331742243437</v>
      </c>
      <c r="BV29" s="71">
        <f>BV28/BV20</f>
        <v>1012.2424034072461</v>
      </c>
      <c r="BW29" s="71">
        <f>BW28/BW20</f>
        <v>1000.4152667144854</v>
      </c>
      <c r="BX29" s="71">
        <f>BX28/BX20</f>
        <v>841.38478700675</v>
      </c>
      <c r="BY29" s="71">
        <f t="shared" ref="BY29" si="384">BY28/BY20</f>
        <v>844.7869997721923</v>
      </c>
      <c r="CB29" s="71">
        <f>CB28/CB20</f>
        <v>1010.2165294297041</v>
      </c>
      <c r="CC29" s="71">
        <f>CC28/CC20</f>
        <v>1010.6595984058274</v>
      </c>
      <c r="CD29" s="71">
        <f>CD28/CD20</f>
        <v>987.74812422832179</v>
      </c>
      <c r="CE29" s="71">
        <f>CE28/CE20</f>
        <v>912.04469018981933</v>
      </c>
      <c r="CF29" s="71">
        <f t="shared" ref="CF29" si="385">CF28/CF20</f>
        <v>925.96092066971539</v>
      </c>
      <c r="CI29" s="71">
        <f>CI28/CI20</f>
        <v>936.84874672580929</v>
      </c>
      <c r="CJ29" s="71">
        <f>CJ28/CJ20</f>
        <v>947.22598105548036</v>
      </c>
      <c r="CK29" s="71">
        <f>CK28/CK20</f>
        <v>951.64109535832199</v>
      </c>
      <c r="CL29" s="71">
        <f>CL28/CL20</f>
        <v>956.07890577744831</v>
      </c>
      <c r="CM29" s="71">
        <f t="shared" ref="CM29" si="386">CM28/CM20</f>
        <v>984.21321995197047</v>
      </c>
      <c r="CP29" s="71">
        <f>CP28/CP20</f>
        <v>987.53727953230225</v>
      </c>
      <c r="CQ29" s="71">
        <f>CQ28/CQ20</f>
        <v>985.04698674126757</v>
      </c>
      <c r="CR29" s="71">
        <f>CR28/CR20</f>
        <v>971.37419712949008</v>
      </c>
      <c r="CS29" s="71">
        <f>CS28/CS20</f>
        <v>966.85082872928183</v>
      </c>
      <c r="CT29" s="71">
        <f t="shared" ref="CT29" si="387">CT28/CT20</f>
        <v>966.85082872928183</v>
      </c>
      <c r="CW29" s="71">
        <f>CW28/CW20</f>
        <v>963.97867443095754</v>
      </c>
      <c r="CX29" s="71">
        <f>CX28/CX20</f>
        <v>937.65586034912712</v>
      </c>
      <c r="CY29" s="71">
        <f>CY28/CY20</f>
        <v>909.21948558381996</v>
      </c>
      <c r="CZ29" s="71">
        <f>CZ28/CZ20</f>
        <v>916.60895425102865</v>
      </c>
      <c r="DA29" s="71">
        <f t="shared" ref="DA29" si="388">DA28/DA20</f>
        <v>909.97330744964813</v>
      </c>
      <c r="DD29" s="71">
        <f>DD28/DD20</f>
        <v>890.36383503986406</v>
      </c>
      <c r="DE29" s="71">
        <f>DE28/DE20</f>
        <v>895.82284851534973</v>
      </c>
      <c r="DF29" s="71">
        <f>DF28/DF20</f>
        <v>881.81674064679771</v>
      </c>
      <c r="DG29" s="71">
        <f>DG28/DG20</f>
        <v>881.29282687051921</v>
      </c>
      <c r="DH29" s="71">
        <f t="shared" ref="DH29" si="389">DH28/DH20</f>
        <v>881.29282687051921</v>
      </c>
      <c r="DK29" s="71">
        <f>DK28/DK20</f>
        <v>879.58570524984191</v>
      </c>
      <c r="DL29" s="71">
        <f>DL28/DL20</f>
        <v>869.39340051373244</v>
      </c>
      <c r="DM29" s="71">
        <f>DM28/DM20</f>
        <v>869.87465896959384</v>
      </c>
      <c r="DN29" s="71">
        <f>DN28/DN20</f>
        <v>837.5376393403393</v>
      </c>
      <c r="DO29" s="71">
        <f t="shared" ref="DO29" si="390">DO28/DO20</f>
        <v>839.93280537556996</v>
      </c>
      <c r="DR29" s="71">
        <f>DR28/DR20</f>
        <v>839.93280537556996</v>
      </c>
      <c r="DS29" s="71">
        <f>DS28/DS20</f>
        <v>834.45919097194633</v>
      </c>
      <c r="DT29" s="71">
        <f>DT28/DT20</f>
        <v>816.34278432621852</v>
      </c>
      <c r="DU29" s="71">
        <f>DU28/DU20</f>
        <v>818.31427259844725</v>
      </c>
      <c r="DV29" s="71">
        <f t="shared" ref="DV29" si="391">DV28/DV20</f>
        <v>905.56013925502589</v>
      </c>
      <c r="DY29" s="71">
        <f>DY28/DY20</f>
        <v>905.56013925502589</v>
      </c>
      <c r="DZ29" s="71">
        <f>DZ28/DZ20</f>
        <v>889.92880569554438</v>
      </c>
      <c r="EA29" s="71">
        <f>EA28/EA20</f>
        <v>898.19150653964164</v>
      </c>
      <c r="EB29" s="71">
        <f>EB28/EB20</f>
        <v>895.49835992997009</v>
      </c>
      <c r="EC29" s="71">
        <f t="shared" ref="EC29" si="392">EC28/EC20</f>
        <v>893.745810566513</v>
      </c>
      <c r="EF29" s="71">
        <f>EF28/EF20</f>
        <v>896.13034623217925</v>
      </c>
      <c r="EG29" s="71">
        <f>EG28/EG20</f>
        <v>885.60434862273257</v>
      </c>
      <c r="EH29" s="71">
        <f>EH28/EH20</f>
        <v>848.31347202585346</v>
      </c>
      <c r="EI29" s="71">
        <f>EI28/EI20</f>
        <v>825.88026750463291</v>
      </c>
      <c r="EJ29" s="71">
        <f t="shared" ref="EJ29" si="393">EJ28/EJ20</f>
        <v>842.44308494634436</v>
      </c>
      <c r="EM29" s="71">
        <f>EM28/EM20</f>
        <v>865.59172252752785</v>
      </c>
      <c r="EN29" s="71">
        <f>EN28/EN20</f>
        <v>865.69628153248368</v>
      </c>
      <c r="EO29" s="71">
        <f>EO28/EO20</f>
        <v>889.4099573487498</v>
      </c>
      <c r="EP29" s="71">
        <f>EP28/EP20</f>
        <v>900.23406085582246</v>
      </c>
      <c r="EQ29" s="71">
        <f t="shared" ref="EQ29" si="394">EQ28/EQ20</f>
        <v>907.9842749097005</v>
      </c>
      <c r="ET29" s="71">
        <f>ET28/ET20</f>
        <v>910.89267482132493</v>
      </c>
      <c r="EU29" s="71">
        <f>EU28/EU20</f>
        <v>859.83672985313592</v>
      </c>
      <c r="EV29" s="71">
        <f>EV28/EV20</f>
        <v>853.67768270664885</v>
      </c>
      <c r="EW29" s="71">
        <f>EW28/EW20</f>
        <v>873.93489185055716</v>
      </c>
      <c r="EX29" s="71">
        <f t="shared" ref="EX29" si="395">EX28/EX20</f>
        <v>887.90233074361822</v>
      </c>
      <c r="FA29" s="71">
        <f>FA28/FA20</f>
        <v>883.55371397233557</v>
      </c>
      <c r="FB29" s="71">
        <f>FB28/FB20</f>
        <v>892.69411024772273</v>
      </c>
      <c r="FC29" s="71">
        <f>FC28/FC20</f>
        <v>865.29847707468036</v>
      </c>
      <c r="FD29" s="71">
        <v>865.29847707468036</v>
      </c>
      <c r="FE29" s="71">
        <f t="shared" ref="FE29" si="396">FE28/FE20</f>
        <v>879.00406794905871</v>
      </c>
      <c r="FH29" s="71">
        <f>FH28/FH20</f>
        <v>901.1038522189682</v>
      </c>
      <c r="FI29" s="71">
        <f>FI28/FI20</f>
        <v>906.65567690088608</v>
      </c>
      <c r="FJ29" s="71">
        <f>FJ28/FJ20</f>
        <v>938.93807135929342</v>
      </c>
      <c r="FK29" s="71">
        <f>FK28/FK20</f>
        <v>943.61143947406617</v>
      </c>
      <c r="FL29" s="71">
        <f t="shared" ref="FL29" si="397">FL28/FL20</f>
        <v>932.00505353851258</v>
      </c>
      <c r="FO29" s="71">
        <f>FO28/FO20</f>
        <v>941.81665969024709</v>
      </c>
      <c r="FP29" s="71">
        <f>FP28/FP20</f>
        <v>938.92795292841197</v>
      </c>
      <c r="FQ29" s="71">
        <f>FQ28/FQ20</f>
        <v>941.58018078339467</v>
      </c>
      <c r="FR29" s="71">
        <f>FR28/FR20</f>
        <v>900.58014116070115</v>
      </c>
      <c r="FS29" s="71">
        <f t="shared" ref="FS29" si="398">FS28/FS20</f>
        <v>941.50138086869185</v>
      </c>
      <c r="FV29" s="71">
        <f>FV28/FV20</f>
        <v>943.49512527518607</v>
      </c>
      <c r="FW29" s="71">
        <f>FW28/FW20</f>
        <v>949.89561586638831</v>
      </c>
      <c r="FX29" s="71">
        <f>FX28/FX20</f>
        <v>947.28171334431636</v>
      </c>
      <c r="FY29" s="71">
        <f>FY28/FY20</f>
        <v>957.16432350095715</v>
      </c>
      <c r="FZ29" s="71">
        <f t="shared" ref="FZ29" si="399">FZ28/FZ20</f>
        <v>975.10373443983394</v>
      </c>
      <c r="GC29" s="71">
        <f>GC28/GC20</f>
        <v>992.20855179328635</v>
      </c>
      <c r="GD29" s="71">
        <f>GD28/GD20</f>
        <v>998.89705117266351</v>
      </c>
      <c r="GE29" s="71">
        <f>GE28/GE20</f>
        <v>988.18297854819446</v>
      </c>
      <c r="GF29" s="71">
        <f>GF28/GF20</f>
        <v>980.11189610813892</v>
      </c>
      <c r="GG29" s="71">
        <f t="shared" ref="GG29" si="400">GG28/GG20</f>
        <v>983.68718747438311</v>
      </c>
      <c r="GJ29" s="71">
        <f>GJ28/GJ20</f>
        <v>984.97906919477964</v>
      </c>
      <c r="GK29" s="71">
        <f>GK28/GK20</f>
        <v>980.6725779430393</v>
      </c>
      <c r="GL29" s="71">
        <f>GL28/GL20</f>
        <v>998.85547809801267</v>
      </c>
      <c r="GM29" s="71">
        <f>GM28/GM20</f>
        <v>957.63505777037585</v>
      </c>
      <c r="GN29" s="71">
        <f t="shared" ref="GN29" si="401">GN28/GN20</f>
        <v>959.25261709137931</v>
      </c>
      <c r="GQ29" s="71">
        <f>GQ28/GQ20</f>
        <v>993.80939563966126</v>
      </c>
      <c r="GR29" s="71">
        <f>GR28/GR20</f>
        <v>999.22976039303035</v>
      </c>
      <c r="GS29" s="71">
        <f>GS28/GS20</f>
        <v>1000.0625039064943</v>
      </c>
      <c r="GT29" s="71">
        <f>GT28/GT20</f>
        <v>960.6348543385194</v>
      </c>
      <c r="GU29" s="71">
        <f t="shared" ref="GU29" si="402">GU28/GU20</f>
        <v>963.77464434620458</v>
      </c>
      <c r="GX29" s="71">
        <f>GX28/GX20</f>
        <v>1011.5058793779239</v>
      </c>
      <c r="GY29" s="71">
        <f>GY28/GY20</f>
        <v>1010.6752574063546</v>
      </c>
      <c r="GZ29" s="71">
        <f>GZ28/GZ20</f>
        <v>1013.4065238044969</v>
      </c>
      <c r="HA29" s="71">
        <f>HA28/HA20</f>
        <v>974.59691942625898</v>
      </c>
      <c r="HB29" s="71">
        <f t="shared" ref="HB29" si="403">HB28/HB20</f>
        <v>973.54497354497357</v>
      </c>
      <c r="HE29" s="71">
        <f>HE28/HE20</f>
        <v>1012.4019235636548</v>
      </c>
      <c r="HF29" s="71">
        <f>HF28/HF20</f>
        <v>1005.256654589625</v>
      </c>
      <c r="HG29" s="71">
        <f>HG28/HG20</f>
        <v>998.33610648918477</v>
      </c>
      <c r="HH29" s="71">
        <f>HH28/HH20</f>
        <v>942.73886133540998</v>
      </c>
      <c r="HI29" s="71">
        <f t="shared" ref="HI29" si="404">HI28/HI20</f>
        <v>946.3852199316957</v>
      </c>
      <c r="HL29" s="71">
        <f>HL28/HL20</f>
        <v>979.45191503254648</v>
      </c>
      <c r="HM29" s="71">
        <f>HM28/HM20</f>
        <v>975.33222253830206</v>
      </c>
      <c r="HN29" s="71">
        <f>HN28/HN20</f>
        <v>979.35199542969065</v>
      </c>
      <c r="HO29" s="71">
        <f>HO28/HO20</f>
        <v>948.16036277439969</v>
      </c>
      <c r="HP29" s="71">
        <v>940.40682817131767</v>
      </c>
      <c r="HS29" s="71">
        <f>HS28/HS20</f>
        <v>963.68126242245376</v>
      </c>
      <c r="HT29" s="71">
        <f>HT28/HT20</f>
        <v>963.68126242245376</v>
      </c>
      <c r="HU29" s="71">
        <f>HU28/HU20</f>
        <v>964.47516476450733</v>
      </c>
      <c r="HV29" s="71">
        <f>HV28/HV20</f>
        <v>923.45371690121056</v>
      </c>
      <c r="HW29" s="71">
        <f t="shared" ref="HW29" si="405">HW28/HW20</f>
        <v>925.16240622674525</v>
      </c>
      <c r="HZ29" s="71">
        <f>HZ28/HZ20</f>
        <v>963.00457427172785</v>
      </c>
      <c r="IA29" s="71">
        <f>IA28/IA20</f>
        <v>971.10949259529013</v>
      </c>
      <c r="IB29" s="71">
        <f>IB28/IB20</f>
        <v>980.11189610813892</v>
      </c>
      <c r="IC29" s="71">
        <f>IC28/IC20</f>
        <v>943.68653195199499</v>
      </c>
      <c r="ID29" s="71">
        <f t="shared" ref="ID29" si="406">ID28/ID20</f>
        <v>943.2221288113351</v>
      </c>
      <c r="IG29" s="71">
        <f>IG28/IG20</f>
        <v>930.52109181141429</v>
      </c>
      <c r="IH29" s="71">
        <f>IH28/IH20</f>
        <v>923.96772272755265</v>
      </c>
      <c r="II29" s="71">
        <f>II28/II20</f>
        <v>924.9743062692703</v>
      </c>
      <c r="IJ29" s="71">
        <f>IJ28/IJ20</f>
        <v>975.29258777633299</v>
      </c>
      <c r="IK29" s="71">
        <f t="shared" ref="IK29" si="407">IK28/IK20</f>
        <v>973.33468518706286</v>
      </c>
      <c r="IN29" s="71">
        <f>IN28/IN20</f>
        <v>976.14544567140501</v>
      </c>
      <c r="IO29" s="71">
        <f>IO28/IO20</f>
        <v>965.75590519496188</v>
      </c>
      <c r="IP29" s="71">
        <f>IP28/IP20</f>
        <v>924.45587732872445</v>
      </c>
      <c r="IQ29" s="71">
        <f>IQ28/IQ20</f>
        <v>924.45587732872445</v>
      </c>
      <c r="IR29" s="71">
        <f t="shared" ref="IR29" si="408">IR28/IR20</f>
        <v>923.10162144806543</v>
      </c>
      <c r="IU29" s="71">
        <f>IU28/IU20</f>
        <v>931.87204991592887</v>
      </c>
      <c r="IV29" s="71">
        <f>IV28/IV20</f>
        <v>929.25538362086388</v>
      </c>
      <c r="IW29" s="71">
        <f>IW28/IW20</f>
        <v>935.56784900748448</v>
      </c>
      <c r="IX29" s="71">
        <f>IX28/IX20</f>
        <v>943.62845655206377</v>
      </c>
      <c r="IY29" s="71">
        <f t="shared" ref="IY29" si="409">IY28/IY20</f>
        <v>975.63981432033859</v>
      </c>
      <c r="JB29" s="71">
        <f>JB28/JB20</f>
        <v>968.43319871425035</v>
      </c>
      <c r="JC29" s="71">
        <f>JC28/JC20</f>
        <v>969.39196435937629</v>
      </c>
      <c r="JD29" s="71">
        <f>JD28/JD20</f>
        <v>969.39196435937629</v>
      </c>
      <c r="JE29" s="81">
        <f>JE28/JE20</f>
        <v>954.77999431194894</v>
      </c>
      <c r="JF29" s="81">
        <f>JF28/JF20</f>
        <v>956.68457905878529</v>
      </c>
      <c r="JI29" s="71">
        <f>JI28/JI20</f>
        <v>957.60337076386509</v>
      </c>
      <c r="JJ29" s="71">
        <f>JJ28/JJ20</f>
        <v>955.46526129460517</v>
      </c>
      <c r="JK29" s="71">
        <f>JK28/JK20</f>
        <v>944.59690569939949</v>
      </c>
      <c r="JL29" s="71">
        <f>JL28/JL20</f>
        <v>941.1158662228562</v>
      </c>
      <c r="JM29" s="71">
        <f>JM28/JM20</f>
        <v>948.61502206778107</v>
      </c>
      <c r="JP29" s="71">
        <f>JP28/JP20</f>
        <v>937.327334438393</v>
      </c>
      <c r="JQ29" s="71">
        <f>JQ28/JQ20</f>
        <v>929.60447775798968</v>
      </c>
      <c r="JR29" s="71">
        <f>JR28/JR20</f>
        <v>921.91836655474253</v>
      </c>
      <c r="JS29" s="71">
        <f>JS28/JS20</f>
        <v>918.5844130729065</v>
      </c>
      <c r="JT29" s="71">
        <f>JT28/JT20</f>
        <v>914.95714148126751</v>
      </c>
      <c r="JW29" s="71">
        <f>JW28/JW20</f>
        <v>919.4200878772042</v>
      </c>
      <c r="JX29" s="71">
        <f>JX28/JX20</f>
        <v>933.95465895908308</v>
      </c>
      <c r="JY29" s="71">
        <f>JY28/JY20</f>
        <v>940.72445685540572</v>
      </c>
      <c r="JZ29" s="71">
        <v>940.72445685540572</v>
      </c>
      <c r="KA29" s="71">
        <f>KA28/KA20</f>
        <v>938.32720951365025</v>
      </c>
      <c r="KD29" s="71">
        <f>KD28/KD20</f>
        <v>948.3354736738122</v>
      </c>
      <c r="KE29" s="71">
        <f>KE28/KE20</f>
        <v>962.66449653639268</v>
      </c>
      <c r="KF29" s="71">
        <f>KF28/KF20</f>
        <v>959.16147532878483</v>
      </c>
      <c r="KG29" s="71">
        <f>KG28/KG20</f>
        <v>959.69289827255272</v>
      </c>
      <c r="KH29" s="71">
        <f>KH28/KH20</f>
        <v>959.92083127164767</v>
      </c>
      <c r="KK29" s="71">
        <f>KK28/KK20</f>
        <v>936.98291501365611</v>
      </c>
      <c r="KL29" s="71">
        <f>KL28/KL20</f>
        <v>938.83584355399307</v>
      </c>
      <c r="KM29" s="71">
        <f>KM28/KM20</f>
        <v>920.40497819040377</v>
      </c>
      <c r="KN29" s="71">
        <f>KN28/KN20</f>
        <v>919.0441940382002</v>
      </c>
      <c r="KO29" s="71">
        <f>KO28/KO20</f>
        <v>929.72492269135148</v>
      </c>
      <c r="KR29" s="71">
        <f>KR28/KR20</f>
        <v>918.69545245751033</v>
      </c>
      <c r="KS29" s="71">
        <f>KS28/KS20</f>
        <v>909.59424187297316</v>
      </c>
      <c r="KT29" s="71">
        <f>KT28/KT20</f>
        <v>916.49897391962702</v>
      </c>
      <c r="KU29" s="71">
        <f>KU28/KU20</f>
        <v>916.49897391962702</v>
      </c>
      <c r="KV29" s="71">
        <f>KV28/KV20</f>
        <v>940.56065593882272</v>
      </c>
      <c r="KY29" s="71">
        <f>KY28/KY20</f>
        <v>938.85215119601594</v>
      </c>
      <c r="KZ29" s="71">
        <f>KZ28/KZ20</f>
        <v>955.47290771981022</v>
      </c>
      <c r="LA29" s="71">
        <f>LA28/LA20</f>
        <v>951.85458118398424</v>
      </c>
      <c r="LB29" s="71">
        <f>LB28/LB20</f>
        <v>948.90213043833148</v>
      </c>
      <c r="LC29" s="71">
        <f>LC28/LC20</f>
        <v>944.81469440832257</v>
      </c>
      <c r="LF29" s="71">
        <f>LF28/LF20</f>
        <v>944.29665130069259</v>
      </c>
      <c r="LG29" s="71">
        <f>LG28/LG20</f>
        <v>955.23737135109604</v>
      </c>
      <c r="LH29" s="71">
        <f>LH28/LH20</f>
        <v>955.23737135109604</v>
      </c>
      <c r="LI29" s="71">
        <f>LI28/LI20</f>
        <v>977.92967141563042</v>
      </c>
      <c r="LJ29" s="71">
        <f>LJ28/LJ20</f>
        <v>972.44400769766207</v>
      </c>
      <c r="LM29" s="71">
        <f>LM28/LM20</f>
        <v>985.22167487684726</v>
      </c>
      <c r="LN29" s="71">
        <f>LN28/LN20</f>
        <v>983.54609347785993</v>
      </c>
      <c r="LO29" s="71">
        <f>LO28/LO20</f>
        <v>980.29204533850714</v>
      </c>
      <c r="LP29" s="71">
        <f>LP28/LP20</f>
        <v>981.03335513407455</v>
      </c>
      <c r="LQ29" s="71">
        <f>LQ28/LQ20</f>
        <v>981.11356389502077</v>
      </c>
      <c r="LT29" s="71">
        <f>LT28/LT20</f>
        <v>980.63250796763907</v>
      </c>
      <c r="LU29" s="71">
        <f>LU28/LU20</f>
        <v>992.55075311067446</v>
      </c>
      <c r="LV29" s="71">
        <f>LV28/LV20</f>
        <v>991.21193541794401</v>
      </c>
      <c r="LW29" s="71">
        <f>LW28/LW20</f>
        <v>982.73626195493591</v>
      </c>
      <c r="LX29" s="71">
        <f>LX28/LX20</f>
        <v>986.01284866227536</v>
      </c>
      <c r="MA29" s="71">
        <f>MA28/MA20</f>
        <v>988.0215123859191</v>
      </c>
      <c r="MB29" s="71">
        <f>MB28/MB20</f>
        <v>979.42204002504081</v>
      </c>
      <c r="MC29" s="71">
        <f>MC28/MC20</f>
        <v>989.23064371379621</v>
      </c>
      <c r="MD29" s="71">
        <f>MD28/MD20</f>
        <v>990.88791729661273</v>
      </c>
      <c r="ME29" s="71">
        <f>ME28/ME20</f>
        <v>945.98718339945071</v>
      </c>
      <c r="MH29" s="71">
        <f>MH28/MH20</f>
        <v>940.59105528248074</v>
      </c>
      <c r="MI29" s="71">
        <f>MI28/MI20</f>
        <v>919.69357023022656</v>
      </c>
      <c r="MJ29" s="71">
        <f>MJ28/MJ20</f>
        <v>917.7827981281265</v>
      </c>
      <c r="MK29" s="71">
        <f>MK28/MK20</f>
        <v>909.85299229180714</v>
      </c>
      <c r="ML29" s="71">
        <f>ML28/ML20</f>
        <v>900.90090090090098</v>
      </c>
      <c r="MO29" s="71">
        <f>MO28/MO20</f>
        <v>900.88266256377028</v>
      </c>
      <c r="MP29" s="71">
        <f>MP28/MP20</f>
        <v>893.95807644882871</v>
      </c>
      <c r="MQ29" s="71">
        <f>MQ28/MQ20</f>
        <v>892.06980702581882</v>
      </c>
      <c r="MR29" s="71">
        <f>MR28/MR20</f>
        <v>892.27108631440751</v>
      </c>
      <c r="MS29" s="71">
        <f>MS28/MS20</f>
        <v>894.76715484614112</v>
      </c>
      <c r="MV29" s="71">
        <f>MV28/MV20</f>
        <v>894.76715484614112</v>
      </c>
      <c r="MW29" s="71">
        <f>MW28/MW20</f>
        <v>899.41073090044449</v>
      </c>
      <c r="MX29" s="71">
        <f>MX28/MX20</f>
        <v>879.86253441815199</v>
      </c>
      <c r="MY29" s="71">
        <f>MY28/MY20</f>
        <v>877.91778558149144</v>
      </c>
      <c r="MZ29" s="71">
        <f>MZ28/MZ20</f>
        <v>877.91778558149144</v>
      </c>
      <c r="NC29" s="71" t="e">
        <f>NC28/NC20</f>
        <v>#DIV/0!</v>
      </c>
      <c r="ND29" s="71" t="e">
        <f>ND28/ND20</f>
        <v>#DIV/0!</v>
      </c>
      <c r="NE29" s="71" t="e">
        <f>NE28/NE20</f>
        <v>#DIV/0!</v>
      </c>
      <c r="NF29" s="71" t="e">
        <f>NF28/NF20</f>
        <v>#DIV/0!</v>
      </c>
      <c r="NG29" s="71" t="e">
        <f>NG28/NG20</f>
        <v>#DIV/0!</v>
      </c>
    </row>
    <row r="30" spans="1:378" s="72" customFormat="1" x14ac:dyDescent="0.25">
      <c r="A30" s="79" t="s">
        <v>33</v>
      </c>
      <c r="C30" s="72">
        <f>C28/C2</f>
        <v>72.168548480968454</v>
      </c>
      <c r="D30" s="72">
        <f>D29/D2</f>
        <v>14.048229293204582</v>
      </c>
      <c r="E30" s="72">
        <f t="shared" ref="E30:G30" si="410">E29/E2</f>
        <v>14.50863486003994</v>
      </c>
      <c r="F30" s="72">
        <f t="shared" si="410"/>
        <v>14.349328960805812</v>
      </c>
      <c r="G30" s="72">
        <f t="shared" si="410"/>
        <v>14.689657010572345</v>
      </c>
      <c r="J30" s="72">
        <f>J28/J2</f>
        <v>75.329566854990574</v>
      </c>
      <c r="K30" s="72">
        <f>K29/K2</f>
        <v>14.297291006489257</v>
      </c>
      <c r="L30" s="72">
        <f t="shared" ref="L30:N30" si="411">L29/L2</f>
        <v>13.952692127646232</v>
      </c>
      <c r="M30" s="72">
        <f t="shared" si="411"/>
        <v>13.660917788941742</v>
      </c>
      <c r="N30" s="72">
        <f t="shared" si="411"/>
        <v>13.535738166296023</v>
      </c>
      <c r="Q30" s="72">
        <f>Q28/Q2</f>
        <v>69.183864915572229</v>
      </c>
      <c r="R30" s="72">
        <f>R29/R2</f>
        <v>13.184503026070763</v>
      </c>
      <c r="S30" s="72">
        <f t="shared" ref="S30:U30" si="412">S29/S2</f>
        <v>13.86965155376112</v>
      </c>
      <c r="T30" s="72">
        <f t="shared" si="412"/>
        <v>13.355686121930255</v>
      </c>
      <c r="U30" s="72">
        <f t="shared" si="412"/>
        <v>13.187792938383948</v>
      </c>
      <c r="X30" s="72">
        <f>X28/X2</f>
        <v>68.034924594625238</v>
      </c>
      <c r="Y30" s="72">
        <f>Y29/Y2</f>
        <v>13.476126095923215</v>
      </c>
      <c r="Z30" s="72">
        <f t="shared" ref="Z30:AB30" si="413">Z29/Z2</f>
        <v>12.740364378243326</v>
      </c>
      <c r="AA30" s="72">
        <f t="shared" si="413"/>
        <v>12.566136135469195</v>
      </c>
      <c r="AB30" s="72">
        <f t="shared" si="413"/>
        <v>12.730315677775215</v>
      </c>
      <c r="AE30" s="72">
        <f>AE28/AE2</f>
        <v>66.272189349112423</v>
      </c>
      <c r="AF30" s="72">
        <f>AF29/AF2</f>
        <v>12.851094777879615</v>
      </c>
      <c r="AG30" s="72">
        <f t="shared" ref="AG30:AI30" si="414">AG29/AG2</f>
        <v>13.131843296023524</v>
      </c>
      <c r="AH30" s="72">
        <f t="shared" ref="AH30" si="415">AH29/AH2</f>
        <v>13.414245918433981</v>
      </c>
      <c r="AI30" s="72">
        <f t="shared" si="414"/>
        <v>13.23821956949222</v>
      </c>
      <c r="AL30" s="72">
        <f>AL28/AL2</f>
        <v>67.909618471416223</v>
      </c>
      <c r="AM30" s="72">
        <f>AM29/AM2</f>
        <v>12.944674175939962</v>
      </c>
      <c r="AN30" s="72">
        <f t="shared" ref="AN30:AP30" si="416">AN29/AN2</f>
        <v>12.648255710562665</v>
      </c>
      <c r="AO30" s="72">
        <f t="shared" si="416"/>
        <v>12.668639958157293</v>
      </c>
      <c r="AP30" s="72">
        <f t="shared" si="416"/>
        <v>12.892670040383832</v>
      </c>
      <c r="AS30" s="72">
        <f>AS28/AS2</f>
        <v>67.544163491513686</v>
      </c>
      <c r="AT30" s="72">
        <f>AT29/AT2</f>
        <v>13.045315988317496</v>
      </c>
      <c r="AU30" s="72">
        <f t="shared" ref="AU30:AW30" si="417">AU29/AU2</f>
        <v>12.882279862605623</v>
      </c>
      <c r="AV30" s="72">
        <f t="shared" si="417"/>
        <v>12.769374834661798</v>
      </c>
      <c r="AW30" s="72">
        <f t="shared" si="417"/>
        <v>13.19643780914175</v>
      </c>
      <c r="AZ30" s="72">
        <f>AZ28/AZ2</f>
        <v>68.63335340156533</v>
      </c>
      <c r="BA30" s="72">
        <f>BA29/BA2</f>
        <v>13.19643780914175</v>
      </c>
      <c r="BB30" s="72">
        <f t="shared" ref="BB30:BD30" si="418">BB29/BB2</f>
        <v>13.671700074944903</v>
      </c>
      <c r="BC30" s="72">
        <f t="shared" si="418"/>
        <v>13.508412886687475</v>
      </c>
      <c r="BD30" s="72">
        <f t="shared" si="418"/>
        <v>12.770828403793569</v>
      </c>
      <c r="BG30" s="72">
        <f>BG28/BG2</f>
        <v>67.040468064358848</v>
      </c>
      <c r="BH30" s="72">
        <f>BH29/BH2</f>
        <v>12.656309011838539</v>
      </c>
      <c r="BI30" s="72">
        <f t="shared" ref="BI30:BK30" si="419">BI29/BI2</f>
        <v>12.529133738404177</v>
      </c>
      <c r="BJ30" s="72">
        <f t="shared" si="419"/>
        <v>12.461692332938126</v>
      </c>
      <c r="BK30" s="72">
        <f t="shared" si="419"/>
        <v>9.9639992422703241</v>
      </c>
      <c r="BN30" s="72">
        <f>BN28/BN2</f>
        <v>62.659549779531211</v>
      </c>
      <c r="BO30" s="72">
        <f>BO29/BO2</f>
        <v>12.492526403914628</v>
      </c>
      <c r="BP30" s="72">
        <f t="shared" ref="BP30:BR30" si="420">BP29/BP2</f>
        <v>12.478217740586349</v>
      </c>
      <c r="BQ30" s="72">
        <f t="shared" si="420"/>
        <v>12.650231946776417</v>
      </c>
      <c r="BR30" s="72">
        <f t="shared" si="420"/>
        <v>12.355531145377647</v>
      </c>
      <c r="BU30" s="72">
        <f>BU28/BU2</f>
        <v>65.618422681688756</v>
      </c>
      <c r="BV30" s="72">
        <f>BV29/BV2</f>
        <v>13.069624317717832</v>
      </c>
      <c r="BW30" s="72">
        <f t="shared" ref="BW30:BY30" si="421">BW29/BW2</f>
        <v>13.57599764845278</v>
      </c>
      <c r="BX30" s="72">
        <f t="shared" si="421"/>
        <v>11.263517898350067</v>
      </c>
      <c r="BY30" s="72">
        <f t="shared" si="421"/>
        <v>11.577182400605624</v>
      </c>
      <c r="CB30" s="72">
        <f>CB28/CB2</f>
        <v>71.825450603062734</v>
      </c>
      <c r="CC30" s="72">
        <f>CC29/CC2</f>
        <v>13.418210281543116</v>
      </c>
      <c r="CD30" s="72">
        <f t="shared" ref="CD30:CF30" si="422">CD29/CD2</f>
        <v>12.879751261289892</v>
      </c>
      <c r="CE30" s="72">
        <f t="shared" si="422"/>
        <v>12.014816100511387</v>
      </c>
      <c r="CF30" s="72">
        <f t="shared" si="422"/>
        <v>12.347791981193698</v>
      </c>
      <c r="CI30" s="72">
        <f>CI28/CI2</f>
        <v>62.724014336917556</v>
      </c>
      <c r="CJ30" s="72">
        <f>CJ29/CJ2</f>
        <v>12.043559835416151</v>
      </c>
      <c r="CK30" s="72">
        <f t="shared" ref="CK30:CM30" si="423">CK29/CK2</f>
        <v>12.156886757260118</v>
      </c>
      <c r="CL30" s="72">
        <f t="shared" si="423"/>
        <v>12.163853763071863</v>
      </c>
      <c r="CM30" s="72">
        <f t="shared" si="423"/>
        <v>12.319604705870203</v>
      </c>
      <c r="CP30" s="72">
        <f>CP28/CP2</f>
        <v>58.872012245378542</v>
      </c>
      <c r="CQ30" s="72">
        <f>CQ29/CQ2</f>
        <v>11.59697417872931</v>
      </c>
      <c r="CR30" s="72">
        <f t="shared" ref="CR30:CT30" si="424">CR29/CR2</f>
        <v>11.429276351682434</v>
      </c>
      <c r="CS30" s="72">
        <f t="shared" si="424"/>
        <v>11.358679848793255</v>
      </c>
      <c r="CT30" s="72">
        <f t="shared" si="424"/>
        <v>11.358679848793255</v>
      </c>
      <c r="CW30" s="72">
        <f>CW28/CW2</f>
        <v>58.208600617723917</v>
      </c>
      <c r="CX30" s="72">
        <f>CX29/CX2</f>
        <v>10.952644087713201</v>
      </c>
      <c r="CY30" s="72">
        <f t="shared" ref="CY30:DA30" si="425">CY29/CY2</f>
        <v>10.411307518422307</v>
      </c>
      <c r="CZ30" s="72">
        <f t="shared" si="425"/>
        <v>10.647101338727246</v>
      </c>
      <c r="DA30" s="72">
        <f t="shared" si="425"/>
        <v>10.543080841729211</v>
      </c>
      <c r="DD30" s="72">
        <f>DD28/DD2</f>
        <v>51.911278905143931</v>
      </c>
      <c r="DE30" s="72">
        <f>DE29/DE2</f>
        <v>10.567687253926504</v>
      </c>
      <c r="DF30" s="72">
        <f t="shared" ref="DF30:DH30" si="426">DF29/DF2</f>
        <v>10.608959824913351</v>
      </c>
      <c r="DG30" s="72">
        <f t="shared" si="426"/>
        <v>10.792221734882675</v>
      </c>
      <c r="DH30" s="72">
        <f t="shared" si="426"/>
        <v>10.792221734882675</v>
      </c>
      <c r="DK30" s="72">
        <f>DK28/DK2</f>
        <v>53.789435513114952</v>
      </c>
      <c r="DL30" s="72">
        <f>DL29/DL2</f>
        <v>10.763815779543549</v>
      </c>
      <c r="DM30" s="72">
        <f t="shared" ref="DM30:DO30" si="427">DM29/DM2</f>
        <v>11.196739077997089</v>
      </c>
      <c r="DN30" s="72">
        <f t="shared" si="427"/>
        <v>10.707461510359746</v>
      </c>
      <c r="DO30" s="72">
        <f t="shared" si="427"/>
        <v>10.590503156923086</v>
      </c>
      <c r="DR30" s="72">
        <f>DR28/DR2</f>
        <v>52.956751985878199</v>
      </c>
      <c r="DS30" s="72">
        <f>DS29/DS2</f>
        <v>11.078852774454944</v>
      </c>
      <c r="DT30" s="72">
        <f t="shared" ref="DT30:DV30" si="428">DT29/DT2</f>
        <v>11.286365053590744</v>
      </c>
      <c r="DU30" s="72">
        <f t="shared" si="428"/>
        <v>11.287093415150997</v>
      </c>
      <c r="DV30" s="72">
        <f t="shared" si="428"/>
        <v>12.026031065803798</v>
      </c>
      <c r="DY30" s="72">
        <f>DY28/DY2</f>
        <v>58.433969614335794</v>
      </c>
      <c r="DZ30" s="72">
        <f>DZ29/DZ2</f>
        <v>11.491849247101555</v>
      </c>
      <c r="EA30" s="72">
        <f t="shared" ref="EA30:EC30" si="429">EA29/EA2</f>
        <v>11.754894732883676</v>
      </c>
      <c r="EB30" s="72">
        <f t="shared" si="429"/>
        <v>11.943162975859829</v>
      </c>
      <c r="EC30" s="72">
        <f t="shared" si="429"/>
        <v>12.049963739605136</v>
      </c>
      <c r="EF30" s="72">
        <f>EF28/EF2</f>
        <v>58.487305596171737</v>
      </c>
      <c r="EG30" s="72">
        <f>EG29/EG2</f>
        <v>11.822244675246731</v>
      </c>
      <c r="EH30" s="72">
        <f t="shared" ref="EH30:EJ30" si="430">EH29/EH2</f>
        <v>11.022784199920133</v>
      </c>
      <c r="EI30" s="72">
        <f t="shared" si="430"/>
        <v>10.886900441664025</v>
      </c>
      <c r="EJ30" s="72">
        <f t="shared" si="430"/>
        <v>11.146375826228425</v>
      </c>
      <c r="EM30" s="72">
        <f>EM28/EM2</f>
        <v>56.586392946440327</v>
      </c>
      <c r="EN30" s="72">
        <f>EN29/EN2</f>
        <v>11.266219176633051</v>
      </c>
      <c r="EO30" s="72">
        <f t="shared" ref="EO30:EQ30" si="431">EO29/EO2</f>
        <v>11.350305734414878</v>
      </c>
      <c r="EP30" s="72">
        <f t="shared" si="431"/>
        <v>11.80480016857884</v>
      </c>
      <c r="EQ30" s="72">
        <f t="shared" si="431"/>
        <v>11.799665690834313</v>
      </c>
      <c r="ET30" s="72">
        <f>ET28/ET2</f>
        <v>59.12930474333983</v>
      </c>
      <c r="EU30" s="72">
        <f>EU29/EU2</f>
        <v>11.665129966804178</v>
      </c>
      <c r="EV30" s="72">
        <f t="shared" ref="EV30:EX30" si="432">EV29/EV2</f>
        <v>11.758645767309213</v>
      </c>
      <c r="EW30" s="72">
        <f t="shared" si="432"/>
        <v>11.765413191310678</v>
      </c>
      <c r="EX30" s="72">
        <f t="shared" si="432"/>
        <v>11.662975577874928</v>
      </c>
      <c r="FA30" s="72">
        <f>FA28/FA2</f>
        <v>56.707078607743455</v>
      </c>
      <c r="FB30" s="72">
        <f>FB29/FB2</f>
        <v>11.701325340774973</v>
      </c>
      <c r="FC30" s="72">
        <f t="shared" ref="FC30:FE30" si="433">FC29/FC2</f>
        <v>11.391501804563987</v>
      </c>
      <c r="FD30" s="72">
        <v>11.391501804563987</v>
      </c>
      <c r="FE30" s="72">
        <f t="shared" si="433"/>
        <v>11.752962534417151</v>
      </c>
      <c r="FH30" s="72">
        <f>FH28/FH2</f>
        <v>61.247216035634743</v>
      </c>
      <c r="FI30" s="72">
        <f>FI29/FI2</f>
        <v>12.204276173117323</v>
      </c>
      <c r="FJ30" s="72">
        <f t="shared" ref="FJ30" si="434">FJ29/FJ2</f>
        <v>12.827022832777232</v>
      </c>
      <c r="FK30" s="72">
        <f t="shared" ref="FK30" si="435">FK29/FK2</f>
        <v>12.470086420960303</v>
      </c>
      <c r="FL30" s="72">
        <f t="shared" ref="FL30" si="436">FL29/FL2</f>
        <v>12.165579604992985</v>
      </c>
      <c r="FO30" s="72">
        <f>FO28/FO2</f>
        <v>58.739068006787626</v>
      </c>
      <c r="FP30" s="72">
        <f>FP29/FP2</f>
        <v>12.370592265196468</v>
      </c>
      <c r="FQ30" s="72">
        <f t="shared" ref="FQ30:FS30" si="437">FQ29/FQ2</f>
        <v>12.209286576548166</v>
      </c>
      <c r="FR30" s="72">
        <f t="shared" si="437"/>
        <v>12.147021056928798</v>
      </c>
      <c r="FS30" s="72">
        <f t="shared" si="437"/>
        <v>12.748833864166444</v>
      </c>
      <c r="FV30" s="72">
        <f>FV28/FV2</f>
        <v>60.663251550283093</v>
      </c>
      <c r="FW30" s="72">
        <f>FW29/FW2</f>
        <v>13.145524714453201</v>
      </c>
      <c r="FX30" s="72">
        <f t="shared" ref="FX30:FZ30" si="438">FX29/FX2</f>
        <v>12.795916700585119</v>
      </c>
      <c r="FY30" s="72">
        <f t="shared" si="438"/>
        <v>12.846118957199799</v>
      </c>
      <c r="FZ30" s="72">
        <f t="shared" si="438"/>
        <v>12.930695324755789</v>
      </c>
      <c r="GC30" s="72">
        <f>GC28/GC2</f>
        <v>63.630274614869386</v>
      </c>
      <c r="GD30" s="72">
        <f>GD29/GD2</f>
        <v>13.381072353284171</v>
      </c>
      <c r="GE30" s="72">
        <f t="shared" ref="GE30:GG30" si="439">GE29/GE2</f>
        <v>12.892145838854461</v>
      </c>
      <c r="GF30" s="72">
        <f t="shared" si="439"/>
        <v>12.80857156440328</v>
      </c>
      <c r="GG30" s="72">
        <f t="shared" si="439"/>
        <v>12.535837740211331</v>
      </c>
      <c r="GJ30" s="72">
        <f>GJ28/GJ2</f>
        <v>61.784013386536238</v>
      </c>
      <c r="GK30" s="72">
        <f>GK29/GK2</f>
        <v>12.351040024471526</v>
      </c>
      <c r="GL30" s="72">
        <f t="shared" ref="GL30:GN30" si="440">GL29/GL2</f>
        <v>12.468549221046221</v>
      </c>
      <c r="GM30" s="72">
        <f t="shared" si="440"/>
        <v>11.770342401307472</v>
      </c>
      <c r="GN30" s="72">
        <f t="shared" si="440"/>
        <v>12.01017424679328</v>
      </c>
      <c r="GQ30" s="72">
        <f>GQ28/GQ2</f>
        <v>61.146496815286625</v>
      </c>
      <c r="GR30" s="72">
        <f>GR29/GR2</f>
        <v>12.548408393733899</v>
      </c>
      <c r="GS30" s="72">
        <f t="shared" ref="GS30:GU30" si="441">GS29/GS2</f>
        <v>12.585735010149691</v>
      </c>
      <c r="GT30" s="72">
        <f t="shared" si="441"/>
        <v>12.06221564965494</v>
      </c>
      <c r="GU30" s="72">
        <f t="shared" si="441"/>
        <v>11.888178664687365</v>
      </c>
      <c r="GX30" s="72">
        <f>GX28/GX2</f>
        <v>58.01305293691081</v>
      </c>
      <c r="GY30" s="72">
        <f>GY29/GY2</f>
        <v>12.083635310932026</v>
      </c>
      <c r="GZ30" s="72">
        <f t="shared" ref="GZ30:HB30" si="442">GZ29/GZ2</f>
        <v>12.221496910329195</v>
      </c>
      <c r="HA30" s="72">
        <f t="shared" si="442"/>
        <v>11.569289166978384</v>
      </c>
      <c r="HB30" s="72">
        <f t="shared" si="442"/>
        <v>11.533526519902543</v>
      </c>
      <c r="HE30" s="72">
        <f>HE28/HE2</f>
        <v>56.186351398806039</v>
      </c>
      <c r="HF30" s="72">
        <f>HF29/HF2</f>
        <v>11.839084378631787</v>
      </c>
      <c r="HG30" s="72">
        <f t="shared" ref="HG30:HI30" si="443">HG29/HG2</f>
        <v>11.999232049148855</v>
      </c>
      <c r="HH30" s="72">
        <f t="shared" si="443"/>
        <v>11.072807861585741</v>
      </c>
      <c r="HI30" s="72">
        <f t="shared" si="443"/>
        <v>10.973854591044709</v>
      </c>
      <c r="HL30" s="72">
        <f>HL28/HL2</f>
        <v>56.24560581204593</v>
      </c>
      <c r="HM30" s="72">
        <f>HM29/HM2</f>
        <v>11.31869818426717</v>
      </c>
      <c r="HN30" s="72">
        <f t="shared" ref="HN30:HO30" si="444">HN29/HN2</f>
        <v>11.186202117986188</v>
      </c>
      <c r="HO30" s="72">
        <f t="shared" si="444"/>
        <v>10.974078272851848</v>
      </c>
      <c r="HP30" s="72">
        <v>10.832932014414441</v>
      </c>
      <c r="HS30" s="72">
        <f>HS28/HS2</f>
        <v>55.677995592158688</v>
      </c>
      <c r="HT30" s="72">
        <f>HT29/HT2</f>
        <v>11.352117592442617</v>
      </c>
      <c r="HU30" s="72">
        <f t="shared" ref="HU30:HW30" si="445">HU29/HU2</f>
        <v>11.55752144714808</v>
      </c>
      <c r="HV30" s="72">
        <f t="shared" si="445"/>
        <v>10.97781403829304</v>
      </c>
      <c r="HW30" s="72">
        <f t="shared" si="445"/>
        <v>10.909934035692752</v>
      </c>
      <c r="HZ30" s="72">
        <f>HZ28/HZ2</f>
        <v>56.831636277527828</v>
      </c>
      <c r="IA30" s="72">
        <f>IA29/IA2</f>
        <v>11.556699899979652</v>
      </c>
      <c r="IB30" s="72">
        <f t="shared" ref="IB30:ID30" si="446">IB29/IB2</f>
        <v>11.778775340802055</v>
      </c>
      <c r="IC30" s="72">
        <f t="shared" si="446"/>
        <v>11.320615786372301</v>
      </c>
      <c r="ID30" s="72">
        <f t="shared" si="446"/>
        <v>11.16503466869478</v>
      </c>
      <c r="IG30" s="72">
        <f>IG28/IG2</f>
        <v>53.304904051172706</v>
      </c>
      <c r="IH30" s="72">
        <f>IH29/IH2</f>
        <v>10.807904114253745</v>
      </c>
      <c r="II30" s="72">
        <f t="shared" ref="II30:IK30" si="447">II29/II2</f>
        <v>10.851411382792941</v>
      </c>
      <c r="IJ30" s="72">
        <f t="shared" si="447"/>
        <v>11.232207621517137</v>
      </c>
      <c r="IK30" s="72">
        <f t="shared" si="447"/>
        <v>10.991921910638768</v>
      </c>
      <c r="IN30" s="72">
        <f>IN28/IN2</f>
        <v>54.206662902315081</v>
      </c>
      <c r="IO30" s="72">
        <f>IO29/IO2</f>
        <v>10.725854122556218</v>
      </c>
      <c r="IP30" s="72">
        <f t="shared" ref="IP30:IR30" si="448">IP29/IP2</f>
        <v>10.280870521894178</v>
      </c>
      <c r="IQ30" s="72">
        <f t="shared" si="448"/>
        <v>10.280870521894178</v>
      </c>
      <c r="IR30" s="72">
        <f t="shared" si="448"/>
        <v>10.183139784314013</v>
      </c>
      <c r="IU30" s="72">
        <f>IU28/IU2</f>
        <v>50.750220653133276</v>
      </c>
      <c r="IV30" s="72">
        <f>IV29/IV2</f>
        <v>10.094018940048489</v>
      </c>
      <c r="IW30" s="72">
        <f t="shared" ref="IW30:IY30" si="449">IW29/IW2</f>
        <v>10.182497268257341</v>
      </c>
      <c r="IX30" s="72">
        <f t="shared" si="449"/>
        <v>10.070741265230136</v>
      </c>
      <c r="IY30" s="72">
        <f t="shared" si="449"/>
        <v>10.386881872887667</v>
      </c>
      <c r="JB30" s="72">
        <f>JB28/JB2</f>
        <v>49.77231811924176</v>
      </c>
      <c r="JC30" s="72">
        <f>JC29/JC2</f>
        <v>10.364502986842471</v>
      </c>
      <c r="JD30" s="72">
        <f t="shared" ref="JD30:JF30" si="450">JD29/JD2</f>
        <v>10.364502986842471</v>
      </c>
      <c r="JE30" s="82">
        <f t="shared" si="450"/>
        <v>10.233440453504276</v>
      </c>
      <c r="JF30" s="82">
        <f t="shared" si="450"/>
        <v>10.25715212886014</v>
      </c>
      <c r="JI30" s="72">
        <f>JI28/JI2</f>
        <v>50.916496945010181</v>
      </c>
      <c r="JJ30" s="72">
        <f>JJ29/JJ2</f>
        <v>10.168851227060507</v>
      </c>
      <c r="JK30" s="72">
        <f t="shared" ref="JK30:JM30" si="451">JK29/JK2</f>
        <v>9.7834998000973545</v>
      </c>
      <c r="JL30" s="72">
        <f t="shared" si="451"/>
        <v>10.108655920761077</v>
      </c>
      <c r="JM30" s="72">
        <f t="shared" si="451"/>
        <v>10.288666182947734</v>
      </c>
      <c r="JP30" s="72">
        <f>JP28/JP2</f>
        <v>52.364678646235262</v>
      </c>
      <c r="JQ30" s="72">
        <f>JQ29/JQ2</f>
        <v>10.224422324658928</v>
      </c>
      <c r="JR30" s="72">
        <f t="shared" ref="JR30:JT30" si="452">JR29/JR2</f>
        <v>10.743717125681652</v>
      </c>
      <c r="JS30" s="72">
        <f t="shared" si="452"/>
        <v>10.926423374246539</v>
      </c>
      <c r="JT30" s="72">
        <f t="shared" si="452"/>
        <v>10.817653599920401</v>
      </c>
      <c r="JW30" s="72">
        <f>JW28/JW2</f>
        <v>53.885422575155978</v>
      </c>
      <c r="JX30" s="72">
        <f>JX29/JX2</f>
        <v>10.655500957890279</v>
      </c>
      <c r="JY30" s="72">
        <f t="shared" ref="JY30:KA30" si="453">JY29/JY2</f>
        <v>10.938656475062857</v>
      </c>
      <c r="JZ30" s="72">
        <v>10.938656475062857</v>
      </c>
      <c r="KA30" s="72">
        <f t="shared" si="453"/>
        <v>10.323767295782266</v>
      </c>
      <c r="KD30" s="72">
        <f>KD28/KD2</f>
        <v>53.541550474065808</v>
      </c>
      <c r="KE30" s="72">
        <f>KE29/KE2</f>
        <v>10.708170150571664</v>
      </c>
      <c r="KF30" s="72">
        <f t="shared" ref="KF30:KH30" si="454">KF29/KF2</f>
        <v>10.482639074631528</v>
      </c>
      <c r="KG30" s="72">
        <f t="shared" si="454"/>
        <v>10.388535378572772</v>
      </c>
      <c r="KH30" s="72">
        <f t="shared" si="454"/>
        <v>10.415807630985761</v>
      </c>
      <c r="KK30" s="72">
        <f>KK28/KK2</f>
        <v>52.321050873872871</v>
      </c>
      <c r="KL30" s="72">
        <f>KL29/KL2</f>
        <v>10.660109498739562</v>
      </c>
      <c r="KM30" s="72">
        <f>KM29/KM2</f>
        <v>10.211971354603394</v>
      </c>
      <c r="KN30" s="72">
        <f>KN29/KN2</f>
        <v>10.45199811256909</v>
      </c>
      <c r="KO30" s="72">
        <f>KO29/KO2</f>
        <v>10.275474388719623</v>
      </c>
      <c r="KR30" s="72">
        <f>KR28/KR2</f>
        <v>53.271569195136081</v>
      </c>
      <c r="KS30" s="72">
        <f>KS29/KS2</f>
        <v>10.698591412290911</v>
      </c>
      <c r="KT30" s="72">
        <f t="shared" ref="KT30:KV30" si="455">KT29/KT2</f>
        <v>10.552665214964042</v>
      </c>
      <c r="KU30" s="72">
        <f t="shared" si="455"/>
        <v>10.552665214964042</v>
      </c>
      <c r="KV30" s="72">
        <f t="shared" si="455"/>
        <v>11.079757991975764</v>
      </c>
      <c r="KY30" s="72">
        <f>KY28/KY2</f>
        <v>54.003287156609531</v>
      </c>
      <c r="KZ30" s="72">
        <f>KZ29/KZ2</f>
        <v>11.707792031856515</v>
      </c>
      <c r="LA30" s="72">
        <f t="shared" ref="LA30:LC30" si="456">LA29/LA2</f>
        <v>11.96699247151099</v>
      </c>
      <c r="LB30" s="72">
        <f t="shared" si="456"/>
        <v>11.859794156209617</v>
      </c>
      <c r="LC30" s="72">
        <f t="shared" si="456"/>
        <v>11.602783917577336</v>
      </c>
      <c r="LF30" s="72">
        <f>LF28/LF2</f>
        <v>56.34997576345129</v>
      </c>
      <c r="LG30" s="72">
        <f>LG29/LG2</f>
        <v>11.766905288877753</v>
      </c>
      <c r="LH30" s="72">
        <f t="shared" ref="LH30:LJ30" si="457">LH29/LH2</f>
        <v>11.766905288877753</v>
      </c>
      <c r="LI30" s="72">
        <f t="shared" si="457"/>
        <v>12.631486326732503</v>
      </c>
      <c r="LJ30" s="72">
        <f t="shared" si="457"/>
        <v>12.063565409969756</v>
      </c>
      <c r="LM30" s="72">
        <f>LM28/LM2</f>
        <v>58.309037900874642</v>
      </c>
      <c r="LN30" s="72">
        <f>LN29/LN2</f>
        <v>11.929000527323952</v>
      </c>
      <c r="LO30" s="72">
        <f t="shared" ref="LO30:LQ30" si="458">LO29/LO2</f>
        <v>11.960615487292669</v>
      </c>
      <c r="LP30" s="72">
        <f t="shared" si="458"/>
        <v>11.969660262738831</v>
      </c>
      <c r="LQ30" s="72">
        <f t="shared" si="458"/>
        <v>12.17564611435866</v>
      </c>
      <c r="LT30" s="72">
        <f>LT28/LT2</f>
        <v>60.01500375093773</v>
      </c>
      <c r="LU30" s="72">
        <f>LU29/LU2</f>
        <v>12.151698740336366</v>
      </c>
      <c r="LV30" s="72">
        <f t="shared" ref="LV30:LX30" si="459">LV29/LV2</f>
        <v>11.9596034678806</v>
      </c>
      <c r="LW30" s="72">
        <f t="shared" si="459"/>
        <v>12.153552584157012</v>
      </c>
      <c r="LX30" s="72">
        <f t="shared" si="459"/>
        <v>12.50016288872053</v>
      </c>
      <c r="MA30" s="72">
        <f>MA28/MA2</f>
        <v>62.155581186723055</v>
      </c>
      <c r="MB30" s="72">
        <f>MB29/MB2</f>
        <v>12.686813989961669</v>
      </c>
      <c r="MC30" s="72">
        <f t="shared" ref="MC30:ME30" si="460">MC29/MC2</f>
        <v>13.314005971921887</v>
      </c>
      <c r="MD30" s="72">
        <f t="shared" si="460"/>
        <v>13.381335817645008</v>
      </c>
      <c r="ME30" s="72">
        <f t="shared" si="460"/>
        <v>12.473459696722715</v>
      </c>
      <c r="MH30" s="72">
        <f>MH28/MH2</f>
        <v>61.160068394054974</v>
      </c>
      <c r="MI30" s="72">
        <f>MI29/MI2</f>
        <v>12.557257922313307</v>
      </c>
      <c r="MJ30" s="72">
        <f t="shared" ref="MJ30:ML30" si="461">MJ29/MJ2</f>
        <v>12.359046567844418</v>
      </c>
      <c r="MK30" s="72">
        <f t="shared" si="461"/>
        <v>11.876425953423928</v>
      </c>
      <c r="ML30" s="72">
        <f t="shared" si="461"/>
        <v>11.768790344884403</v>
      </c>
      <c r="MO30" s="72">
        <f>MO28/MO2</f>
        <v>57.087876844130854</v>
      </c>
      <c r="MP30" s="72">
        <f>MP29/MP2</f>
        <v>11.28307555785471</v>
      </c>
      <c r="MQ30" s="72">
        <f t="shared" ref="MQ30:MS30" si="462">MQ29/MQ2</f>
        <v>11.192845759420562</v>
      </c>
      <c r="MR30" s="72">
        <f t="shared" si="462"/>
        <v>11.239086614364624</v>
      </c>
      <c r="MS30" s="72">
        <f t="shared" si="462"/>
        <v>11.316139557937792</v>
      </c>
      <c r="MV30" s="72">
        <f>MV28/MV2</f>
        <v>55.014544074870372</v>
      </c>
      <c r="MW30" s="72">
        <f>MW29/MW2</f>
        <v>11.094248561742255</v>
      </c>
      <c r="MX30" s="72">
        <f t="shared" ref="MX30:MZ30" si="463">MX29/MX2</f>
        <v>11.061887533544782</v>
      </c>
      <c r="MY30" s="72">
        <f t="shared" si="463"/>
        <v>11.379362094380964</v>
      </c>
      <c r="MZ30" s="72">
        <f t="shared" si="463"/>
        <v>11.395609885533377</v>
      </c>
      <c r="NC30" s="72" t="e">
        <f>NC28/NC2</f>
        <v>#DIV/0!</v>
      </c>
      <c r="ND30" s="72" t="e">
        <f>ND29/ND2</f>
        <v>#DIV/0!</v>
      </c>
      <c r="NE30" s="72" t="e">
        <f t="shared" ref="NE30:NG30" si="464">NE29/NE2</f>
        <v>#DIV/0!</v>
      </c>
      <c r="NF30" s="72" t="e">
        <f t="shared" si="464"/>
        <v>#DIV/0!</v>
      </c>
      <c r="NG30" s="72" t="e">
        <f t="shared" si="464"/>
        <v>#DIV/0!</v>
      </c>
    </row>
    <row r="31" spans="1:378" s="73" customFormat="1" x14ac:dyDescent="0.25">
      <c r="A31" s="80" t="s">
        <v>103</v>
      </c>
      <c r="D31" s="73">
        <f>(D29/C28)-1</f>
        <v>-0.81397425403675872</v>
      </c>
      <c r="E31" s="73">
        <f t="shared" ref="E31:G31" si="465">(E29/D28)-1</f>
        <v>-0.81784642943459529</v>
      </c>
      <c r="F31" s="73">
        <f t="shared" si="465"/>
        <v>-0.81639858602832371</v>
      </c>
      <c r="G31" s="73">
        <f t="shared" si="465"/>
        <v>-0.81079240142284115</v>
      </c>
      <c r="J31" s="73">
        <f>(J29/G28)-1</f>
        <v>-0.8142877129036612</v>
      </c>
      <c r="K31" s="73">
        <f>(K29/J28)-1</f>
        <v>-0.80913116506336846</v>
      </c>
      <c r="L31" s="73">
        <f t="shared" ref="L31" si="466">(L29/K28)-1</f>
        <v>-0.80775515696791433</v>
      </c>
      <c r="M31" s="73">
        <f t="shared" ref="M31" si="467">(M29/L28)-1</f>
        <v>-0.80867884636587095</v>
      </c>
      <c r="N31" s="73">
        <f t="shared" ref="N31" si="468">(N29/M28)-1</f>
        <v>-0.80435122867428399</v>
      </c>
      <c r="Q31" s="73">
        <f>(Q29/N28)-1</f>
        <v>-0.80446981991670419</v>
      </c>
      <c r="R31" s="73">
        <f>(R29/Q28)-1</f>
        <v>-0.8079978813559322</v>
      </c>
      <c r="S31" s="73">
        <f t="shared" ref="S31" si="469">(S29/R28)-1</f>
        <v>-0.79678569154506551</v>
      </c>
      <c r="T31" s="73">
        <f t="shared" ref="T31" si="470">(T29/S28)-1</f>
        <v>-0.80821234728908153</v>
      </c>
      <c r="U31" s="73">
        <f t="shared" ref="U31" si="471">(U29/T28)-1</f>
        <v>-0.80739228413490238</v>
      </c>
      <c r="X31" s="73">
        <f>(X29/U28)-1</f>
        <v>-0.80739228413490238</v>
      </c>
      <c r="Y31" s="73">
        <f>(Y29/X28)-1</f>
        <v>-0.80655020989302229</v>
      </c>
      <c r="Z31" s="73">
        <f t="shared" ref="Z31" si="472">(Z29/Y28)-1</f>
        <v>-0.81713330329094747</v>
      </c>
      <c r="AA31" s="73">
        <f t="shared" ref="AA31" si="473">(AA29/Z28)-1</f>
        <v>-0.80372144146973379</v>
      </c>
      <c r="AB31" s="73">
        <f t="shared" ref="AB31" si="474">(AB29/AA28)-1</f>
        <v>-0.80299836488642851</v>
      </c>
      <c r="AE31" s="73">
        <f>(AE29/AB28)-1</f>
        <v>-0.80375225684904628</v>
      </c>
      <c r="AF31" s="73">
        <f>(AF29/AE28)-1</f>
        <v>-0.80388311433614434</v>
      </c>
      <c r="AG31" s="73">
        <f t="shared" ref="AG31:AH31" si="475">(AG29/AF28)-1</f>
        <v>-0.806352210823996</v>
      </c>
      <c r="AH31" s="73">
        <f t="shared" si="475"/>
        <v>-0.79959116597859636</v>
      </c>
      <c r="AI31" s="73">
        <f t="shared" ref="AI31" si="476">(AI29/AH28)-1</f>
        <v>-0.80758849592996218</v>
      </c>
      <c r="AL31" s="73">
        <f>(AL29/AI28)-1</f>
        <v>-0.80322285190909615</v>
      </c>
      <c r="AM31" s="73">
        <f>(AM29/AL28)-1</f>
        <v>-0.80302913058465175</v>
      </c>
      <c r="AN31" s="73">
        <f t="shared" ref="AN31" si="477">(AN29/AM28)-1</f>
        <v>-0.80781427171218267</v>
      </c>
      <c r="AO31" s="73">
        <f t="shared" ref="AO31" si="478">(AO29/AN28)-1</f>
        <v>-0.80883927205994799</v>
      </c>
      <c r="AP31" s="73">
        <f t="shared" ref="AP31" si="479">(AP29/AO28)-1</f>
        <v>-0.80110754200200729</v>
      </c>
      <c r="AS31" s="73">
        <f>(AS29/AP28)-1</f>
        <v>-0.80706526981922011</v>
      </c>
      <c r="AT31" s="73">
        <f>(AT29/AS28)-1</f>
        <v>-0.80915929191791258</v>
      </c>
      <c r="AU31" s="73">
        <f t="shared" ref="AU31" si="480">(AU29/AT28)-1</f>
        <v>-0.80871494701404034</v>
      </c>
      <c r="AV31" s="73">
        <f t="shared" ref="AV31" si="481">(AV29/AU28)-1</f>
        <v>-0.81092442201337289</v>
      </c>
      <c r="AW31" s="73">
        <f t="shared" ref="AW31" si="482">(AW29/AV28)-1</f>
        <v>-0.80772558595627675</v>
      </c>
      <c r="AZ31" s="73">
        <f>(AZ29/AW28)-1</f>
        <v>-0.80772558595627675</v>
      </c>
      <c r="BA31" s="73">
        <f>(BA29/AZ28)-1</f>
        <v>-0.80772558595627675</v>
      </c>
      <c r="BB31" s="73">
        <f t="shared" ref="BB31" si="483">(BB29/BA28)-1</f>
        <v>-0.80667736385253352</v>
      </c>
      <c r="BC31" s="73">
        <f t="shared" ref="BC31" si="484">(BC29/BB28)-1</f>
        <v>-0.80517076782200403</v>
      </c>
      <c r="BD31" s="73">
        <f t="shared" ref="BD31" si="485">(BD29/BC28)-1</f>
        <v>-0.81368033507728543</v>
      </c>
      <c r="BG31" s="73">
        <f>(BG29/BD28)-1</f>
        <v>-0.80753315241449664</v>
      </c>
      <c r="BH31" s="73">
        <f>(BH29/BG28)-1</f>
        <v>-0.80796927508401339</v>
      </c>
      <c r="BI31" s="73">
        <f t="shared" ref="BI31" si="486">(BI29/BH28)-1</f>
        <v>-0.80793976991184435</v>
      </c>
      <c r="BJ31" s="73">
        <f t="shared" ref="BJ31" si="487">(BJ29/BI28)-1</f>
        <v>-0.80797664996063523</v>
      </c>
      <c r="BK31" s="73">
        <f t="shared" ref="BK31" si="488">(BK29/BJ28)-1</f>
        <v>-0.84450726273380694</v>
      </c>
      <c r="BN31" s="73">
        <f>(BN29/BK28)-1</f>
        <v>-0.76648966727588363</v>
      </c>
      <c r="BO31" s="73">
        <f>(BO29/BN28)-1</f>
        <v>-0.80731434737369456</v>
      </c>
      <c r="BP31" s="73">
        <f t="shared" ref="BP31" si="489">(BP29/BO28)-1</f>
        <v>-0.80899083732650601</v>
      </c>
      <c r="BQ31" s="73">
        <f t="shared" ref="BQ31" si="490">(BQ29/BP28)-1</f>
        <v>-0.80525803310613431</v>
      </c>
      <c r="BR31" s="73">
        <f t="shared" ref="BR31" si="491">(BR29/BQ28)-1</f>
        <v>-0.80702059090295064</v>
      </c>
      <c r="BU31" s="73">
        <f>(BU29/BR28)-1</f>
        <v>-0.80906921241050123</v>
      </c>
      <c r="BV31" s="73">
        <f>(BV29/BU28)-1</f>
        <v>-0.80901086728165161</v>
      </c>
      <c r="BW31" s="73">
        <f t="shared" ref="BW31" si="492">(BW29/BV28)-1</f>
        <v>-0.81124240250670088</v>
      </c>
      <c r="BX31" s="73">
        <f t="shared" ref="BX31" si="493">(BX29/BW28)-1</f>
        <v>-0.84124815339495285</v>
      </c>
      <c r="BY31" s="73">
        <f t="shared" ref="BY31" si="494">(BY29/BX28)-1</f>
        <v>-0.81016022477029392</v>
      </c>
      <c r="CB31" s="73">
        <f>(CB29/BY28)-1</f>
        <v>-0.77298504956635861</v>
      </c>
      <c r="CC31" s="73">
        <f>(CC29/CB28)-1</f>
        <v>-0.80930950973474958</v>
      </c>
      <c r="CD31" s="73">
        <f t="shared" ref="CD31" si="495">(CD29/CC28)-1</f>
        <v>-0.81363242939088265</v>
      </c>
      <c r="CE31" s="73">
        <f t="shared" ref="CE31" si="496">(CE29/CD28)-1</f>
        <v>-0.82460679034811168</v>
      </c>
      <c r="CF31" s="73">
        <f t="shared" ref="CF31" si="497">(CF29/CE28)-1</f>
        <v>-0.80709147486047594</v>
      </c>
      <c r="CI31" s="73">
        <f>(CI29/CF28)-1</f>
        <v>-0.80880637821922263</v>
      </c>
      <c r="CJ31" s="73">
        <f>(CJ29/CI28)-1</f>
        <v>-0.80668857529479987</v>
      </c>
      <c r="CK31" s="73">
        <f t="shared" ref="CK31" si="498">(CK29/CJ28)-1</f>
        <v>-0.80578753155952609</v>
      </c>
      <c r="CL31" s="73">
        <f t="shared" ref="CL31" si="499">(CL29/CK28)-1</f>
        <v>-0.80488185596378603</v>
      </c>
      <c r="CM31" s="73">
        <f t="shared" ref="CM31" si="500">(CM29/CL28)-1</f>
        <v>-0.79914015919347547</v>
      </c>
      <c r="CP31" s="73">
        <f>(CP29/CM28)-1</f>
        <v>-0.80249254409353954</v>
      </c>
      <c r="CQ31" s="73">
        <f>(CQ29/CP28)-1</f>
        <v>-0.80299060265174649</v>
      </c>
      <c r="CR31" s="73">
        <f t="shared" ref="CR31" si="501">(CR29/CQ28)-1</f>
        <v>-0.80572516057410204</v>
      </c>
      <c r="CS31" s="73">
        <f t="shared" ref="CS31" si="502">(CS29/CR28)-1</f>
        <v>-0.80268350434096292</v>
      </c>
      <c r="CT31" s="73">
        <f t="shared" ref="CT31" si="503">(CT29/CS28)-1</f>
        <v>-0.80268350434096292</v>
      </c>
      <c r="CW31" s="73">
        <f>(CW29/CT28)-1</f>
        <v>-0.80326965827939645</v>
      </c>
      <c r="CX31" s="73">
        <f>(CX29/CW28)-1</f>
        <v>-0.80864166115323932</v>
      </c>
      <c r="CY31" s="73">
        <f t="shared" ref="CY31" si="504">(CY29/CX28)-1</f>
        <v>-0.80654904562046381</v>
      </c>
      <c r="CZ31" s="73">
        <f t="shared" ref="CZ31" si="505">(CZ29/CY28)-1</f>
        <v>-0.79630912127754916</v>
      </c>
      <c r="DA31" s="73">
        <f t="shared" ref="DA31" si="506">(DA29/CZ28)-1</f>
        <v>-0.7977837094556337</v>
      </c>
      <c r="DD31" s="73">
        <f>(DD29/DA28)-1</f>
        <v>-0.80214136999114127</v>
      </c>
      <c r="DE31" s="73">
        <f>(DE29/DD28)-1</f>
        <v>-0.79640389806469325</v>
      </c>
      <c r="DF31" s="73">
        <f t="shared" ref="DF31" si="507">(DF29/DE28)-1</f>
        <v>-0.80183893468611289</v>
      </c>
      <c r="DG31" s="73">
        <f t="shared" ref="DG31" si="508">(DG29/DF28)-1</f>
        <v>-0.80195666811898447</v>
      </c>
      <c r="DH31" s="73">
        <f t="shared" ref="DH31" si="509">(DH29/DG28)-1</f>
        <v>-0.80195666811898447</v>
      </c>
      <c r="DK31" s="73">
        <f>(DK29/DH28)-1</f>
        <v>-0.80234029095509174</v>
      </c>
      <c r="DL31" s="73">
        <f>(DL29/DK28)-1</f>
        <v>-0.80463069651376795</v>
      </c>
      <c r="DM31" s="73">
        <f t="shared" ref="DM31" si="510">(DM29/DL28)-1</f>
        <v>-0.80230121387054687</v>
      </c>
      <c r="DN31" s="73">
        <f t="shared" ref="DN31" si="511">(DN29/DM28)-1</f>
        <v>-0.80965053651355923</v>
      </c>
      <c r="DO31" s="73">
        <f t="shared" ref="DO31" si="512">(DO29/DN28)-1</f>
        <v>-0.80001599872010243</v>
      </c>
      <c r="DR31" s="73">
        <f>(DR29/DO28)-1</f>
        <v>-0.80001599872010243</v>
      </c>
      <c r="DS31" s="73">
        <f>(DS29/DR28)-1</f>
        <v>-0.80131924024477463</v>
      </c>
      <c r="DT31" s="73">
        <f t="shared" ref="DT31" si="513">(DT29/DS28)-1</f>
        <v>-0.80563267039851938</v>
      </c>
      <c r="DU31" s="73">
        <f t="shared" ref="DU31" si="514">(DU29/DT28)-1</f>
        <v>-0.80041115302476895</v>
      </c>
      <c r="DV31" s="73">
        <f t="shared" ref="DV31" si="515">(DV29/DU28)-1</f>
        <v>-0.77913167335243272</v>
      </c>
      <c r="DY31" s="73">
        <f>(DY29/DV28)-1</f>
        <v>-0.79876441349888316</v>
      </c>
      <c r="DZ31" s="73">
        <f>(DZ29/DY28)-1</f>
        <v>-0.8022380431787679</v>
      </c>
      <c r="EA31" s="73">
        <f t="shared" ref="EA31" si="516">(EA29/DZ28)-1</f>
        <v>-0.79815921201356366</v>
      </c>
      <c r="EB31" s="73">
        <f t="shared" ref="EB31" si="517">(EB29/EA28)-1</f>
        <v>-0.79876441349888316</v>
      </c>
      <c r="EC31" s="73">
        <f t="shared" ref="EC31" si="518">(EC29/EB28)-1</f>
        <v>-0.79915824481651399</v>
      </c>
      <c r="EF31" s="73">
        <f>(EF29/EC28)-1</f>
        <v>-0.79633401221995925</v>
      </c>
      <c r="EG31" s="73">
        <f>(EG29/EF28)-1</f>
        <v>-0.79872628440392446</v>
      </c>
      <c r="EH31" s="73">
        <f t="shared" ref="EH31" si="519">(EH29/EG28)-1</f>
        <v>-0.80498540872968882</v>
      </c>
      <c r="EI31" s="73">
        <f t="shared" ref="EI31" si="520">(EI29/EH28)-1</f>
        <v>-0.80336184107032549</v>
      </c>
      <c r="EJ31" s="73">
        <f t="shared" ref="EJ31" si="521">(EJ29/EI28)-1</f>
        <v>-0.79452607684235499</v>
      </c>
      <c r="EM31" s="73">
        <f>(EM29/EJ28)-1</f>
        <v>-0.793906732731541</v>
      </c>
      <c r="EN31" s="73">
        <f>(EN29/EM28)-1</f>
        <v>-0.79867528336453875</v>
      </c>
      <c r="EO31" s="73">
        <f t="shared" ref="EO31" si="522">(EO29/EN28)-1</f>
        <v>-0.79316047503517451</v>
      </c>
      <c r="EP31" s="73">
        <f t="shared" ref="EP31" si="523">(EP29/EO28)-1</f>
        <v>-0.79540134980549493</v>
      </c>
      <c r="EQ31" s="73">
        <f t="shared" ref="EQ31" si="524">(EQ29/EP28)-1</f>
        <v>-0.79822571668673326</v>
      </c>
      <c r="ET31" s="73">
        <f>(ET29/EQ28)-1</f>
        <v>-0.799803807731577</v>
      </c>
      <c r="EU31" s="73">
        <f>(EU29/ET28)-1</f>
        <v>-0.81102489453777227</v>
      </c>
      <c r="EV31" s="73">
        <f t="shared" ref="EV31" si="525">(EV29/EU28)-1</f>
        <v>-0.80375225684904628</v>
      </c>
      <c r="EW31" s="73">
        <f t="shared" ref="EW31" si="526">(EW29/EV28)-1</f>
        <v>-0.79909542716079152</v>
      </c>
      <c r="EX31" s="73">
        <f t="shared" ref="EX31" si="527">(EX29/EW28)-1</f>
        <v>-0.7982040157400867</v>
      </c>
      <c r="FA31" s="73">
        <f>(FA29/EX28)-1</f>
        <v>-0.79919233773356013</v>
      </c>
      <c r="FB31" s="73">
        <f>(FB29/FA28)-1</f>
        <v>-0.79478296316144303</v>
      </c>
      <c r="FC31" s="73">
        <f t="shared" ref="FC31" si="528">(FC29/FB28)-1</f>
        <v>-0.80334125521029986</v>
      </c>
      <c r="FD31" s="73">
        <v>-0.80334125521029986</v>
      </c>
      <c r="FE31" s="73">
        <f t="shared" ref="FE31" si="529">(FE29/FD28)-1</f>
        <v>-0.79317551342375092</v>
      </c>
      <c r="FH31" s="73">
        <f>(FH29/FE28)-1</f>
        <v>-0.79044096460023994</v>
      </c>
      <c r="FI31" s="73">
        <f>(FI29/FH28)-1</f>
        <v>-0.79394189161343498</v>
      </c>
      <c r="FJ31" s="73">
        <f t="shared" ref="FJ31:FK31" si="530">(FJ29/FI28)-1</f>
        <v>-0.78660498378197874</v>
      </c>
      <c r="FK31" s="73">
        <f t="shared" si="530"/>
        <v>-0.79261287044526019</v>
      </c>
      <c r="FL31" s="73">
        <f t="shared" ref="FL31" si="531">(FL29/FK28)-1</f>
        <v>-0.79516372449703021</v>
      </c>
      <c r="FO31" s="73">
        <f>(FO29/FL28)-1</f>
        <v>-0.79070740895772285</v>
      </c>
      <c r="FP31" s="73">
        <f>(FP29/FO28)-1</f>
        <v>-0.79134934379368627</v>
      </c>
      <c r="FQ31" s="73">
        <f t="shared" ref="FQ31" si="532">(FQ29/FP28)-1</f>
        <v>-0.7907599598259123</v>
      </c>
      <c r="FR31" s="73">
        <f t="shared" ref="FR31" si="533">(FR29/FQ28)-1</f>
        <v>-0.79987107974206639</v>
      </c>
      <c r="FS31" s="73">
        <f t="shared" ref="FS31" si="534">(FS29/FR28)-1</f>
        <v>-0.78104619049565305</v>
      </c>
      <c r="FV31" s="73">
        <f>(FV29/FS28)-1</f>
        <v>-0.79033441660551418</v>
      </c>
      <c r="FW31" s="73">
        <f>(FW29/FV28)-1</f>
        <v>-0.78891208536302482</v>
      </c>
      <c r="FX31" s="73">
        <f t="shared" ref="FX31" si="535">(FX29/FW28)-1</f>
        <v>-0.79180621684740293</v>
      </c>
      <c r="FY31" s="73">
        <f t="shared" ref="FY31" si="536">(FY29/FX28)-1</f>
        <v>-0.79192079923892233</v>
      </c>
      <c r="FZ31" s="73">
        <f t="shared" ref="FZ31" si="537">(FZ29/FY28)-1</f>
        <v>-0.79030027216347654</v>
      </c>
      <c r="GC31" s="73">
        <f>(GC29/FZ28)-1</f>
        <v>-0.78889179749079008</v>
      </c>
      <c r="GD31" s="73">
        <f>(GD29/GC28)-1</f>
        <v>-0.78970588396364982</v>
      </c>
      <c r="GE31" s="73">
        <f t="shared" ref="GE31" si="538">(GE29/GD28)-1</f>
        <v>-0.79412854613579276</v>
      </c>
      <c r="GF31" s="73">
        <f t="shared" ref="GF31" si="539">(GF29/GE28)-1</f>
        <v>-0.79581002164413772</v>
      </c>
      <c r="GG31" s="73">
        <f t="shared" ref="GG31" si="540">(GG29/GF28)-1</f>
        <v>-0.79506516927617021</v>
      </c>
      <c r="GJ31" s="73">
        <f>(GJ29/GG28)-1</f>
        <v>-0.79479602725108756</v>
      </c>
      <c r="GK31" s="73">
        <f>(GK29/GJ28)-1</f>
        <v>-0.79569321292853346</v>
      </c>
      <c r="GL31" s="73">
        <f t="shared" ref="GL31" si="541">(GL29/GK28)-1</f>
        <v>-0.79190510872958075</v>
      </c>
      <c r="GM31" s="73">
        <f t="shared" ref="GM31" si="542">(GM29/GL28)-1</f>
        <v>-0.80049269629783837</v>
      </c>
      <c r="GN31" s="73">
        <f t="shared" ref="GN31" si="543">(GN29/GM28)-1</f>
        <v>-0.79146682237143928</v>
      </c>
      <c r="GQ31" s="73">
        <f>(GQ29/GN28)-1</f>
        <v>-0.78395447920876926</v>
      </c>
      <c r="GR31" s="73">
        <f>(GR29/GQ28)-1</f>
        <v>-0.79182713325145204</v>
      </c>
      <c r="GS31" s="73">
        <f t="shared" ref="GS31" si="544">(GS29/GR28)-1</f>
        <v>-0.79165364501948032</v>
      </c>
      <c r="GT31" s="73">
        <f t="shared" ref="GT31" si="545">(GT29/GS28)-1</f>
        <v>-0.79986773867947514</v>
      </c>
      <c r="GU31" s="73">
        <f t="shared" ref="GU31" si="546">(GU29/GT28)-1</f>
        <v>-0.79048377296821637</v>
      </c>
      <c r="GX31" s="73">
        <f>(GX29/GU28)-1</f>
        <v>-0.78010741752653834</v>
      </c>
      <c r="GY31" s="73">
        <f>(GY29/GX28)-1</f>
        <v>-0.78944265470700947</v>
      </c>
      <c r="GZ31" s="73">
        <f t="shared" ref="GZ31" si="547">(GZ29/GY28)-1</f>
        <v>-0.78887364087406309</v>
      </c>
      <c r="HA31" s="73">
        <f t="shared" ref="HA31" si="548">(HA29/GZ28)-1</f>
        <v>-0.7969589751195294</v>
      </c>
      <c r="HB31" s="73">
        <f t="shared" ref="HB31" si="549">(HB29/HA28)-1</f>
        <v>-0.78835978835978837</v>
      </c>
      <c r="HE31" s="73">
        <f>(HE29/HB28)-1</f>
        <v>-0.77991262531224892</v>
      </c>
      <c r="HF31" s="73">
        <f>(HF29/HE28)-1</f>
        <v>-0.7905715302938281</v>
      </c>
      <c r="HG31" s="73">
        <f t="shared" ref="HG31" si="550">(HG29/HF28)-1</f>
        <v>-0.79201331114808649</v>
      </c>
      <c r="HH31" s="73">
        <f t="shared" ref="HH31" si="551">(HH29/HG28)-1</f>
        <v>-0.80359607055512294</v>
      </c>
      <c r="HI31" s="73">
        <f t="shared" ref="HI31" si="552">(HI29/HH28)-1</f>
        <v>-0.79426408262354442</v>
      </c>
      <c r="HL31" s="73">
        <f>(HL29/HI28)-1</f>
        <v>-0.78707567064509854</v>
      </c>
      <c r="HM31" s="73">
        <f>(HM29/HL28)-1</f>
        <v>-0.79680578697118709</v>
      </c>
      <c r="HN31" s="73">
        <f t="shared" ref="HN31" si="553">(HN29/HM28)-1</f>
        <v>-0.79596833428548108</v>
      </c>
      <c r="HO31" s="73">
        <f t="shared" ref="HO31" si="554">(HO29/HN28)-1</f>
        <v>-0.80246659108866669</v>
      </c>
      <c r="HP31" s="73">
        <v>-0.79556373300623529</v>
      </c>
      <c r="HS31" s="73">
        <f>(HS29/HP28)-1</f>
        <v>-0.79050407338642303</v>
      </c>
      <c r="HT31" s="73">
        <f>(HT29/HS28)-1</f>
        <v>-0.79923307032865543</v>
      </c>
      <c r="HU31" s="73">
        <f t="shared" ref="HU31" si="555">(HU29/HT28)-1</f>
        <v>-0.79906767400739431</v>
      </c>
      <c r="HV31" s="73">
        <f t="shared" ref="HV31" si="556">(HV29/HU28)-1</f>
        <v>-0.80761380897891444</v>
      </c>
      <c r="HW31" s="73">
        <f t="shared" ref="HW31" si="557">(HW29/HV28)-1</f>
        <v>-0.79887773777679449</v>
      </c>
      <c r="HZ31" s="73">
        <f>(HZ29/HW28)-1</f>
        <v>-0.79065117950614616</v>
      </c>
      <c r="IA31" s="73">
        <f>(IA29/HZ28)-1</f>
        <v>-0.79768552237598123</v>
      </c>
      <c r="IB31" s="73">
        <f t="shared" ref="IB31" si="558">(IB29/IA28)-1</f>
        <v>-0.79581002164413772</v>
      </c>
      <c r="IC31" s="73">
        <f t="shared" ref="IC31" si="559">(IC29/IB28)-1</f>
        <v>-0.80339863917666765</v>
      </c>
      <c r="ID31" s="73">
        <f t="shared" ref="ID31" si="560">(ID29/IC28)-1</f>
        <v>-0.79495171112797069</v>
      </c>
      <c r="IG31" s="73">
        <f>(IG29/ID28)-1</f>
        <v>-0.79771280612795348</v>
      </c>
      <c r="IH31" s="73">
        <f>(IH29/IG28)-1</f>
        <v>-0.79467383939387726</v>
      </c>
      <c r="II31" s="73">
        <f t="shared" ref="II31" si="561">(II29/IH28)-1</f>
        <v>-0.7944501541623844</v>
      </c>
      <c r="IJ31" s="73">
        <f t="shared" ref="IJ31" si="562">(IJ29/II28)-1</f>
        <v>-0.78326831382748152</v>
      </c>
      <c r="IK31" s="73">
        <f t="shared" ref="IK31" si="563">(IK29/IJ28)-1</f>
        <v>-0.79722194058602858</v>
      </c>
      <c r="IN31" s="73">
        <f>(IN29/IK28)-1</f>
        <v>-0.79663636548512395</v>
      </c>
      <c r="IO31" s="73">
        <f>(IO29/IN28)-1</f>
        <v>-0.79880085308438298</v>
      </c>
      <c r="IP31" s="73">
        <f t="shared" ref="IP31" si="564">(IP29/IO28)-1</f>
        <v>-0.80740502555651572</v>
      </c>
      <c r="IQ31" s="73">
        <f t="shared" ref="IQ31" si="565">(IQ29/IP28)-1</f>
        <v>-0.79903133101549462</v>
      </c>
      <c r="IR31" s="73">
        <f t="shared" ref="IR31" si="566">(IR29/IQ28)-1</f>
        <v>-0.79932573446781185</v>
      </c>
      <c r="IU31" s="73">
        <f>(IU29/IR28)-1</f>
        <v>-0.79741911958349376</v>
      </c>
      <c r="IV31" s="73">
        <f>(IV29/IU28)-1</f>
        <v>-0.7979879600824209</v>
      </c>
      <c r="IW31" s="73">
        <f t="shared" ref="IW31" si="567">(IW29/IV28)-1</f>
        <v>-0.79661568499837299</v>
      </c>
      <c r="IX31" s="73">
        <f t="shared" ref="IX31" si="568">(IX29/IW28)-1</f>
        <v>-0.79486337901042092</v>
      </c>
      <c r="IY31" s="73">
        <f t="shared" ref="IY31" si="569">(IY29/IX28)-1</f>
        <v>-0.78790438819123076</v>
      </c>
      <c r="JB31" s="73">
        <f>(JB29/IY28)-1</f>
        <v>-0.79611932658647366</v>
      </c>
      <c r="JC31" s="73">
        <f>(JC29/JB28)-1</f>
        <v>-0.79374639056183482</v>
      </c>
      <c r="JD31" s="73">
        <f t="shared" ref="JD31" si="570">(JD29/JC28)-1</f>
        <v>-0.79374639056183482</v>
      </c>
      <c r="JE31" s="83">
        <f t="shared" ref="JE31" si="571">(JE29/JD28)-1</f>
        <v>-0.79685532035915974</v>
      </c>
      <c r="JF31" s="83">
        <f>(JF29/JE28)-1</f>
        <v>-0.79645008956196062</v>
      </c>
      <c r="JI31" s="73">
        <f>(JI29/JF28)-1</f>
        <v>-0.79625460196513509</v>
      </c>
      <c r="JJ31" s="73">
        <f>(JJ29/JI28)-1</f>
        <v>-0.79884941867481996</v>
      </c>
      <c r="JK31" s="73">
        <f>(JK29/JJ28)-1</f>
        <v>-0.8011374935369685</v>
      </c>
      <c r="JL31" s="73">
        <f>(JL29/JK28)-1</f>
        <v>-0.80187034395308288</v>
      </c>
      <c r="JM31" s="73">
        <f>(JM29/JL28)-1</f>
        <v>-0.80029157430151976</v>
      </c>
      <c r="JP31" s="73">
        <f>(JP29/JM28)-1</f>
        <v>-0.80266792959191724</v>
      </c>
      <c r="JQ31" s="73">
        <f>(JQ29/JP28)-1</f>
        <v>-0.80429379415621272</v>
      </c>
      <c r="JR31" s="73">
        <f>(JR29/JQ28)-1</f>
        <v>-0.80591192283058055</v>
      </c>
      <c r="JS31" s="73">
        <f>(JS29/JR28)-1</f>
        <v>-0.80661380777412495</v>
      </c>
      <c r="JT31" s="73">
        <f>(JT29/JS28)-1</f>
        <v>-0.80737744389868049</v>
      </c>
      <c r="JW31" s="73">
        <f>(JW29/JT28)-1</f>
        <v>-0.80643787623637808</v>
      </c>
      <c r="JX31" s="73">
        <f>(JX29/JW28)-1</f>
        <v>-0.80337796653492988</v>
      </c>
      <c r="JY31" s="73">
        <f>(JY29/JX28)-1</f>
        <v>-0.80195274592517773</v>
      </c>
      <c r="JZ31" s="73">
        <v>-0.80195274592517773</v>
      </c>
      <c r="KA31" s="73">
        <f>(KA29/JZ28)-1</f>
        <v>-0.80245742957607358</v>
      </c>
      <c r="KD31" s="73">
        <f>(KD29/KA28)-1</f>
        <v>-0.8003504265949869</v>
      </c>
      <c r="KE31" s="73">
        <f>(KE29/KD28)-1</f>
        <v>-0.79944489655491813</v>
      </c>
      <c r="KF31" s="73">
        <f>(KF29/KE28)-1</f>
        <v>-0.80223474735488975</v>
      </c>
      <c r="KG31" s="73">
        <f>(KG29/KF28)-1</f>
        <v>-0.80212517561390662</v>
      </c>
      <c r="KH31" s="73">
        <f>(KH29/KG28)-1</f>
        <v>-0.80207817911924795</v>
      </c>
      <c r="KK31" s="73">
        <f>(KK29/KH28)-1</f>
        <v>-0.80680764638893687</v>
      </c>
      <c r="KL31" s="73">
        <f>(KL29/KK28)-1</f>
        <v>-0.80024769286085251</v>
      </c>
      <c r="KM31" s="73">
        <f>(KM29/KL28)-1</f>
        <v>-0.80416915357650987</v>
      </c>
      <c r="KN31" s="73">
        <f>(KN29/KM28)-1</f>
        <v>-0.80020778390473912</v>
      </c>
      <c r="KO31" s="73">
        <f>(KO29/KN28)-1</f>
        <v>-0.79788588637144531</v>
      </c>
      <c r="KR31" s="73">
        <f>(KR29/KO28)-1</f>
        <v>-0.80028359729184562</v>
      </c>
      <c r="KS31" s="73">
        <f>(KS29/KR28)-1</f>
        <v>-0.8022621213319624</v>
      </c>
      <c r="KT31" s="73">
        <f>(KT29/KS28)-1</f>
        <v>-0.80076109262616801</v>
      </c>
      <c r="KU31" s="73">
        <f>(KU29/KT28)-1</f>
        <v>-0.80076109262616801</v>
      </c>
      <c r="KV31" s="73">
        <f>(KV29/KU28)-1</f>
        <v>-0.7955302921872125</v>
      </c>
      <c r="KY31" s="73">
        <f>(KY29/KV28)-1</f>
        <v>-0.79590170626173573</v>
      </c>
      <c r="KZ31" s="73">
        <f>(KZ29/KY28)-1</f>
        <v>-0.79228849832178039</v>
      </c>
      <c r="LA31" s="73">
        <f>(LA29/KZ28)-1</f>
        <v>-0.79530009006796032</v>
      </c>
      <c r="LB31" s="73">
        <f>(LB29/LA28)-1</f>
        <v>-0.79593502571218677</v>
      </c>
      <c r="LC31" s="73">
        <f>(LC29/LB28)-1</f>
        <v>-0.79681404421326396</v>
      </c>
      <c r="LF31" s="73">
        <f>(LF29/LC28)-1</f>
        <v>-0.79692545133318438</v>
      </c>
      <c r="LG31" s="73">
        <f>(LG29/LF28)-1</f>
        <v>-0.79457260831159227</v>
      </c>
      <c r="LH31" s="73">
        <f>(LH29/LG28)-1</f>
        <v>-0.79457260831159227</v>
      </c>
      <c r="LI31" s="73">
        <f>(LI29/LH28)-1</f>
        <v>-0.78969254378158482</v>
      </c>
      <c r="LJ31" s="73">
        <f>(LJ29/LI28)-1</f>
        <v>-0.79527494574786062</v>
      </c>
      <c r="LM31" s="73">
        <f>(LM29/LJ28)-1</f>
        <v>-0.79258491055224267</v>
      </c>
      <c r="LN31" s="73">
        <f>(LN29/LM28)-1</f>
        <v>-0.79509456385877919</v>
      </c>
      <c r="LO31" s="73">
        <f>(LO29/LN28)-1</f>
        <v>-0.79577249055447763</v>
      </c>
      <c r="LP31" s="73">
        <f>(LP29/LO28)-1</f>
        <v>-0.79561805101373451</v>
      </c>
      <c r="LQ31" s="73">
        <f>(LQ29/LP28)-1</f>
        <v>-0.79560134085520406</v>
      </c>
      <c r="LT31" s="73">
        <f>(LT29/LQ28)-1</f>
        <v>-0.79570156084007526</v>
      </c>
      <c r="LU31" s="73">
        <f>(LU29/LT28)-1</f>
        <v>-0.79321859310194287</v>
      </c>
      <c r="LV31" s="73">
        <f>(LV29/LU28)-1</f>
        <v>-0.79562640506846516</v>
      </c>
      <c r="LW31" s="73">
        <f>(LW29/LV28)-1</f>
        <v>-0.7973739666072297</v>
      </c>
      <c r="LX31" s="73">
        <f>(LX29/LW28)-1</f>
        <v>-0.79669838171911844</v>
      </c>
      <c r="MA31" s="73">
        <f>(MA29/LX28)-1</f>
        <v>-0.79628422425032597</v>
      </c>
      <c r="MB31" s="73">
        <f>(MB29/MA28)-1</f>
        <v>-0.7980573113350431</v>
      </c>
      <c r="MC31" s="73">
        <f>(MC29/MB28)-1</f>
        <v>-0.7960349188218977</v>
      </c>
      <c r="MD31" s="73">
        <f>(MD29/MC28)-1</f>
        <v>-0.79569321292853346</v>
      </c>
      <c r="ME31" s="73">
        <f>(ME29/MD28)-1</f>
        <v>-0.80495109620629879</v>
      </c>
      <c r="MH31" s="73">
        <f>(MH29/ME28)-1</f>
        <v>-0.79772235370269229</v>
      </c>
      <c r="MI31" s="73">
        <f>(MI29/MH28)-1</f>
        <v>-0.80221643650962871</v>
      </c>
      <c r="MJ31" s="73">
        <f>(MJ29/MI28)-1</f>
        <v>-0.79828949491689527</v>
      </c>
      <c r="MK31" s="73">
        <f>(MK29/MJ28)-1</f>
        <v>-0.80003230938641601</v>
      </c>
      <c r="ML31" s="73">
        <f>(ML29/MK28)-1</f>
        <v>-0.79755035934811214</v>
      </c>
      <c r="MO31" s="73">
        <f>(MO29/ML28)-1</f>
        <v>-0.79755445785083812</v>
      </c>
      <c r="MP31" s="73">
        <f>(MP29/MO28)-1</f>
        <v>-0.79911054461824071</v>
      </c>
      <c r="MQ31" s="73">
        <f>(MQ29/MP28)-1</f>
        <v>-0.79492648114348996</v>
      </c>
      <c r="MR31" s="73">
        <f>(MR29/MQ28)-1</f>
        <v>-0.79488021004266496</v>
      </c>
      <c r="MS31" s="73">
        <f>(MS29/MR28)-1</f>
        <v>-0.79430640118479512</v>
      </c>
      <c r="MV31" s="73">
        <f>(MV29/MS28)-1</f>
        <v>-0.79430640118479512</v>
      </c>
      <c r="MW31" s="73">
        <f>(MW29/MV28)-1</f>
        <v>-0.79323891243667943</v>
      </c>
      <c r="MX31" s="73">
        <f>(MX29/MW28)-1</f>
        <v>-0.79773275070847083</v>
      </c>
      <c r="MY31" s="73">
        <f>(MY29/MX28)-1</f>
        <v>-0.7934311092749432</v>
      </c>
      <c r="MZ31" s="73">
        <f>(MZ29/MY28)-1</f>
        <v>-0.7934311092749432</v>
      </c>
      <c r="NC31" s="73" t="e">
        <f>(NC29/MZ28)-1</f>
        <v>#DIV/0!</v>
      </c>
      <c r="ND31" s="73" t="e">
        <f>(ND29/NC28)-1</f>
        <v>#DIV/0!</v>
      </c>
      <c r="NE31" s="73" t="e">
        <f>(NE29/ND28)-1</f>
        <v>#DIV/0!</v>
      </c>
      <c r="NF31" s="73" t="e">
        <f>(NF29/NE28)-1</f>
        <v>#DIV/0!</v>
      </c>
      <c r="NG31" s="73" t="e">
        <f>(NG29/NF28)-1</f>
        <v>#DIV/0!</v>
      </c>
    </row>
    <row r="32" spans="1:378" s="37" customFormat="1" x14ac:dyDescent="0.25">
      <c r="A32" s="21" t="s">
        <v>91</v>
      </c>
      <c r="C32" s="37">
        <v>5800</v>
      </c>
      <c r="D32" s="37">
        <v>5800</v>
      </c>
      <c r="E32" s="37">
        <v>5800</v>
      </c>
      <c r="F32" s="37">
        <v>5800</v>
      </c>
      <c r="G32" s="37">
        <v>5800</v>
      </c>
      <c r="J32" s="37">
        <v>5800</v>
      </c>
      <c r="K32" s="37">
        <v>5800</v>
      </c>
      <c r="L32" s="37">
        <v>5800</v>
      </c>
      <c r="M32" s="37">
        <v>5600</v>
      </c>
      <c r="N32" s="37">
        <v>5600</v>
      </c>
      <c r="Q32" s="37">
        <v>5600</v>
      </c>
      <c r="R32" s="37">
        <v>5600</v>
      </c>
      <c r="S32" s="37">
        <v>5600</v>
      </c>
      <c r="T32" s="37">
        <v>5600</v>
      </c>
      <c r="U32" s="37">
        <v>5600</v>
      </c>
      <c r="X32" s="37">
        <v>5600</v>
      </c>
      <c r="Y32" s="37">
        <v>5500</v>
      </c>
      <c r="Z32" s="37">
        <v>5500</v>
      </c>
      <c r="AA32" s="37">
        <v>5300</v>
      </c>
      <c r="AB32" s="37">
        <v>5300</v>
      </c>
      <c r="AE32" s="37">
        <v>5300</v>
      </c>
      <c r="AF32" s="37">
        <v>5300</v>
      </c>
      <c r="AG32" s="37">
        <v>5300</v>
      </c>
      <c r="AH32" s="37">
        <v>5300</v>
      </c>
      <c r="AI32" s="37">
        <v>5300</v>
      </c>
      <c r="AL32" s="37">
        <v>5200</v>
      </c>
      <c r="AM32" s="37">
        <v>5200</v>
      </c>
      <c r="AN32" s="37">
        <v>5200</v>
      </c>
      <c r="AO32" s="37">
        <v>5200</v>
      </c>
      <c r="AP32" s="37">
        <v>5200</v>
      </c>
      <c r="AS32" s="37">
        <v>5200</v>
      </c>
      <c r="AT32" s="37">
        <v>5200</v>
      </c>
      <c r="AU32" s="37">
        <v>5200</v>
      </c>
      <c r="AV32" s="37">
        <v>5200</v>
      </c>
      <c r="AW32" s="37">
        <v>5200</v>
      </c>
      <c r="AZ32" s="37">
        <v>5200</v>
      </c>
      <c r="BA32" s="37">
        <v>5200</v>
      </c>
      <c r="BB32" s="37">
        <v>5200</v>
      </c>
      <c r="BC32" s="37">
        <v>5200</v>
      </c>
      <c r="BD32" s="37">
        <v>5100</v>
      </c>
      <c r="BG32" s="37">
        <v>5100</v>
      </c>
      <c r="BH32" s="37">
        <v>5100</v>
      </c>
      <c r="BI32" s="37">
        <v>5100</v>
      </c>
      <c r="BJ32" s="37">
        <v>5100</v>
      </c>
      <c r="BK32" s="37">
        <v>5300</v>
      </c>
      <c r="BN32" s="37">
        <v>5300</v>
      </c>
      <c r="BO32" s="37">
        <v>5200</v>
      </c>
      <c r="BP32" s="37">
        <v>5200</v>
      </c>
      <c r="BQ32" s="37">
        <v>5200</v>
      </c>
      <c r="BR32" s="37">
        <v>5000</v>
      </c>
      <c r="BU32" s="37">
        <v>5000</v>
      </c>
      <c r="BV32" s="37">
        <v>5000</v>
      </c>
      <c r="BW32" s="37">
        <v>5000</v>
      </c>
      <c r="BX32" s="37">
        <v>5000</v>
      </c>
      <c r="BY32" s="37">
        <v>5000</v>
      </c>
      <c r="CB32" s="37">
        <v>5100</v>
      </c>
      <c r="CC32" s="37">
        <v>4900</v>
      </c>
      <c r="CD32" s="37">
        <v>4800</v>
      </c>
      <c r="CE32" s="37">
        <v>4700</v>
      </c>
      <c r="CF32" s="37">
        <v>4700</v>
      </c>
      <c r="CI32" s="37">
        <v>4700</v>
      </c>
      <c r="CJ32" s="37">
        <v>4700</v>
      </c>
      <c r="CK32" s="37">
        <v>4700</v>
      </c>
      <c r="CL32" s="37">
        <v>4700</v>
      </c>
      <c r="CM32" s="37">
        <v>4700</v>
      </c>
      <c r="CP32" s="37">
        <v>4800</v>
      </c>
      <c r="CQ32" s="37">
        <v>4700</v>
      </c>
      <c r="CR32" s="37">
        <v>4700</v>
      </c>
      <c r="CS32" s="37">
        <v>4700</v>
      </c>
      <c r="CT32" s="37">
        <v>4700</v>
      </c>
      <c r="CW32" s="37">
        <v>4700</v>
      </c>
      <c r="CX32" s="37">
        <v>4600</v>
      </c>
      <c r="CY32" s="37">
        <v>4400</v>
      </c>
      <c r="CZ32" s="37">
        <v>4400</v>
      </c>
      <c r="DA32" s="37">
        <v>4400</v>
      </c>
      <c r="DD32" s="37">
        <v>4500</v>
      </c>
      <c r="DE32" s="37">
        <v>4600</v>
      </c>
      <c r="DF32" s="37">
        <v>4650</v>
      </c>
      <c r="DG32" s="37">
        <v>4650</v>
      </c>
      <c r="DH32" s="37">
        <v>4650</v>
      </c>
      <c r="DK32" s="37">
        <v>4650</v>
      </c>
      <c r="DL32" s="37">
        <v>4350</v>
      </c>
      <c r="DM32" s="37">
        <v>4350</v>
      </c>
      <c r="DN32" s="37">
        <v>4100</v>
      </c>
      <c r="DO32" s="37">
        <v>4100</v>
      </c>
      <c r="DR32" s="37">
        <v>4100</v>
      </c>
      <c r="DS32" s="37">
        <v>4100</v>
      </c>
      <c r="DT32" s="37">
        <v>4150</v>
      </c>
      <c r="DU32" s="37">
        <v>4200</v>
      </c>
      <c r="DV32" s="37">
        <v>4250</v>
      </c>
      <c r="DY32" s="37">
        <v>4250</v>
      </c>
      <c r="DZ32" s="37">
        <v>4250</v>
      </c>
      <c r="EA32" s="37">
        <v>4250</v>
      </c>
      <c r="EB32" s="37">
        <v>4200</v>
      </c>
      <c r="EC32" s="37">
        <v>4200</v>
      </c>
      <c r="EF32" s="37">
        <v>4200</v>
      </c>
      <c r="EG32" s="37">
        <v>4000</v>
      </c>
      <c r="EH32" s="37">
        <v>3700</v>
      </c>
      <c r="EI32" s="37">
        <v>3800</v>
      </c>
      <c r="EJ32" s="37">
        <v>3700</v>
      </c>
      <c r="EM32" s="37">
        <v>3700</v>
      </c>
      <c r="EN32" s="37">
        <v>3600</v>
      </c>
      <c r="EO32" s="37">
        <v>3700</v>
      </c>
      <c r="EP32" s="37">
        <v>3800</v>
      </c>
      <c r="EQ32" s="37">
        <v>3850</v>
      </c>
      <c r="ET32" s="37">
        <v>3850</v>
      </c>
      <c r="EU32" s="37">
        <v>3950</v>
      </c>
      <c r="EV32" s="37">
        <v>3900</v>
      </c>
      <c r="EW32" s="37">
        <v>3950</v>
      </c>
      <c r="EX32" s="37">
        <v>3950</v>
      </c>
      <c r="FA32" s="37">
        <v>4000</v>
      </c>
      <c r="FB32" s="37">
        <v>3900</v>
      </c>
      <c r="FC32" s="37">
        <v>3900</v>
      </c>
      <c r="FD32" s="37">
        <v>3900</v>
      </c>
      <c r="FE32" s="37">
        <v>4950</v>
      </c>
      <c r="FH32" s="37">
        <v>4750</v>
      </c>
      <c r="FI32" s="37">
        <v>4750</v>
      </c>
      <c r="FJ32" s="37">
        <v>4750</v>
      </c>
      <c r="FK32" s="37">
        <v>4750</v>
      </c>
      <c r="FL32" s="37">
        <v>4800</v>
      </c>
      <c r="FO32" s="37">
        <v>4750</v>
      </c>
      <c r="FP32" s="37">
        <v>4750</v>
      </c>
      <c r="FQ32" s="37">
        <v>4500</v>
      </c>
      <c r="FR32" s="37">
        <v>4300</v>
      </c>
      <c r="FS32" s="37">
        <v>4350</v>
      </c>
      <c r="FV32" s="37">
        <v>4350</v>
      </c>
      <c r="FW32" s="37">
        <v>4350</v>
      </c>
      <c r="FX32" s="37">
        <v>4350</v>
      </c>
      <c r="FY32" s="37">
        <v>4350</v>
      </c>
      <c r="FZ32" s="37">
        <v>4350</v>
      </c>
      <c r="GC32" s="37">
        <v>4500</v>
      </c>
      <c r="GD32" s="37">
        <v>4500</v>
      </c>
      <c r="GE32" s="37">
        <v>4500</v>
      </c>
      <c r="GF32" s="37">
        <v>4500</v>
      </c>
      <c r="GG32" s="37">
        <v>4500</v>
      </c>
      <c r="GJ32" s="37">
        <v>4600</v>
      </c>
      <c r="GK32" s="37">
        <v>4500</v>
      </c>
      <c r="GL32" s="37">
        <v>4500</v>
      </c>
      <c r="GM32" s="37">
        <v>4500</v>
      </c>
      <c r="GN32" s="37">
        <v>4300</v>
      </c>
      <c r="GQ32" s="37">
        <v>4300</v>
      </c>
      <c r="GR32" s="64">
        <v>4300</v>
      </c>
      <c r="GS32" s="37">
        <v>4400</v>
      </c>
      <c r="GT32" s="64">
        <v>4550</v>
      </c>
      <c r="GU32" s="37">
        <v>4600</v>
      </c>
      <c r="GX32" s="64">
        <v>4600</v>
      </c>
      <c r="GY32" s="64">
        <v>4600</v>
      </c>
      <c r="GZ32" s="64">
        <v>4600</v>
      </c>
      <c r="HA32" s="64">
        <v>4550</v>
      </c>
      <c r="HB32" s="64">
        <v>4550</v>
      </c>
      <c r="HE32" s="64">
        <v>4450</v>
      </c>
      <c r="HF32" s="37">
        <v>4450</v>
      </c>
      <c r="HG32" s="37">
        <v>4500</v>
      </c>
      <c r="HH32" s="37">
        <v>4500</v>
      </c>
      <c r="HI32" s="37">
        <v>4500</v>
      </c>
      <c r="HL32" s="37">
        <v>4500</v>
      </c>
      <c r="HM32" s="37">
        <v>4500</v>
      </c>
      <c r="HN32" s="37">
        <v>4400</v>
      </c>
      <c r="HO32" s="64">
        <v>4400</v>
      </c>
      <c r="HP32" s="37">
        <v>4400</v>
      </c>
      <c r="HS32" s="37">
        <v>4400</v>
      </c>
      <c r="HT32" s="37">
        <v>4500</v>
      </c>
      <c r="HU32" s="37">
        <v>4300</v>
      </c>
      <c r="HV32" s="37">
        <v>4400</v>
      </c>
      <c r="HW32" s="37">
        <v>4400</v>
      </c>
      <c r="HZ32" s="37">
        <v>4400</v>
      </c>
      <c r="IA32" s="37">
        <v>4400</v>
      </c>
      <c r="IB32" s="37">
        <v>4400</v>
      </c>
      <c r="IC32" s="37">
        <v>4250</v>
      </c>
      <c r="ID32" s="37">
        <v>4300</v>
      </c>
      <c r="IG32" s="37">
        <v>4400</v>
      </c>
      <c r="IH32" s="37">
        <v>4400</v>
      </c>
      <c r="II32" s="37">
        <v>4500</v>
      </c>
      <c r="IJ32" s="37">
        <v>4500</v>
      </c>
      <c r="IK32" s="37">
        <v>4500</v>
      </c>
      <c r="IN32" s="64">
        <v>4500</v>
      </c>
      <c r="IO32" s="37">
        <v>4550</v>
      </c>
      <c r="IP32" s="37">
        <v>5400</v>
      </c>
      <c r="IQ32" s="37">
        <v>5400</v>
      </c>
      <c r="IR32" s="37">
        <v>4400</v>
      </c>
      <c r="IU32" s="37">
        <v>4400</v>
      </c>
      <c r="IV32" s="37">
        <v>4400</v>
      </c>
      <c r="IW32" s="37">
        <v>4500</v>
      </c>
      <c r="IX32" s="37">
        <v>4500</v>
      </c>
      <c r="IY32" s="37">
        <v>4500</v>
      </c>
      <c r="JB32" s="37">
        <v>4300</v>
      </c>
      <c r="JC32" s="37">
        <v>4300</v>
      </c>
      <c r="JD32" s="37">
        <v>4200</v>
      </c>
      <c r="JE32" s="37">
        <v>4100</v>
      </c>
      <c r="JF32" s="37">
        <v>4100</v>
      </c>
      <c r="JI32" s="37">
        <v>4100</v>
      </c>
      <c r="JJ32" s="37">
        <v>4100</v>
      </c>
      <c r="JK32" s="37">
        <v>4250</v>
      </c>
      <c r="JL32" s="37">
        <v>4250</v>
      </c>
      <c r="JM32" s="37">
        <v>4300</v>
      </c>
      <c r="JP32" s="37">
        <v>4300</v>
      </c>
      <c r="JQ32" s="37">
        <v>4300</v>
      </c>
      <c r="JR32" s="37">
        <v>4400</v>
      </c>
      <c r="JS32" s="37">
        <v>4400</v>
      </c>
      <c r="JT32" s="37">
        <v>5450</v>
      </c>
      <c r="JW32" s="37">
        <v>4700</v>
      </c>
      <c r="JX32" s="37">
        <v>4500</v>
      </c>
      <c r="JY32" s="37">
        <v>4500</v>
      </c>
      <c r="JZ32" s="37">
        <v>4500</v>
      </c>
      <c r="KA32" s="37">
        <v>4550</v>
      </c>
      <c r="KD32" s="37">
        <v>4650</v>
      </c>
      <c r="KE32" s="37">
        <v>4650</v>
      </c>
      <c r="KF32" s="37">
        <v>4650</v>
      </c>
      <c r="KG32" s="37">
        <v>4550</v>
      </c>
      <c r="KH32" s="37">
        <v>4550</v>
      </c>
      <c r="KK32" s="37">
        <v>4550</v>
      </c>
      <c r="KL32" s="37">
        <v>4500</v>
      </c>
      <c r="KM32" s="37">
        <v>4500</v>
      </c>
      <c r="KN32" s="37">
        <v>4500</v>
      </c>
      <c r="KO32" s="37">
        <v>4500</v>
      </c>
      <c r="KR32" s="37">
        <v>4600</v>
      </c>
      <c r="KS32" s="37">
        <v>4700</v>
      </c>
      <c r="KT32" s="37">
        <v>4600</v>
      </c>
      <c r="KU32" s="37">
        <v>4600</v>
      </c>
      <c r="KV32" s="37">
        <v>4600</v>
      </c>
      <c r="KY32" s="37">
        <v>4600</v>
      </c>
      <c r="KZ32" s="37">
        <v>4600</v>
      </c>
      <c r="LA32" s="37">
        <v>4600</v>
      </c>
      <c r="LB32" s="37">
        <v>4800</v>
      </c>
      <c r="LC32" s="37">
        <v>4800</v>
      </c>
      <c r="LF32" s="37">
        <v>4800</v>
      </c>
      <c r="LG32" s="37">
        <v>4900</v>
      </c>
      <c r="LH32" s="37">
        <v>4900</v>
      </c>
      <c r="LI32" s="37">
        <v>4900</v>
      </c>
      <c r="LJ32" s="37">
        <v>4900</v>
      </c>
      <c r="LM32" s="37">
        <v>4950</v>
      </c>
      <c r="LN32" s="37">
        <v>4950</v>
      </c>
      <c r="LO32" s="37">
        <v>4950</v>
      </c>
      <c r="LP32" s="37">
        <v>4950</v>
      </c>
      <c r="LQ32" s="37">
        <v>4900</v>
      </c>
      <c r="LT32" s="37">
        <v>4800</v>
      </c>
      <c r="LU32" s="37">
        <v>4900</v>
      </c>
      <c r="LV32" s="37">
        <v>4900</v>
      </c>
      <c r="LW32" s="37">
        <v>4950</v>
      </c>
      <c r="LX32" s="37">
        <v>4950</v>
      </c>
      <c r="MA32" s="37">
        <v>4900</v>
      </c>
      <c r="MB32" s="37">
        <v>4700</v>
      </c>
      <c r="MC32" s="37">
        <v>4700</v>
      </c>
      <c r="MD32" s="37">
        <v>4700</v>
      </c>
      <c r="ME32" s="37">
        <v>4700</v>
      </c>
      <c r="MH32" s="37">
        <v>4700</v>
      </c>
      <c r="MI32" s="37">
        <v>4600</v>
      </c>
      <c r="MJ32" s="37">
        <v>4600</v>
      </c>
      <c r="MK32" s="37">
        <v>4500</v>
      </c>
      <c r="ML32" s="37">
        <v>4400</v>
      </c>
      <c r="MO32" s="37">
        <v>4400</v>
      </c>
      <c r="MP32" s="37">
        <v>4500</v>
      </c>
      <c r="MQ32" s="37">
        <v>4500</v>
      </c>
      <c r="MR32" s="37">
        <v>4550</v>
      </c>
      <c r="MS32" s="37">
        <v>4550</v>
      </c>
      <c r="MV32" s="37">
        <v>4550</v>
      </c>
      <c r="MW32" s="37">
        <v>4550</v>
      </c>
      <c r="MX32" s="37">
        <v>4550</v>
      </c>
      <c r="MY32" s="37">
        <v>4550</v>
      </c>
      <c r="MZ32" s="37">
        <v>4550</v>
      </c>
    </row>
    <row r="33" spans="1:364" s="40" customFormat="1" x14ac:dyDescent="0.25">
      <c r="A33" s="29" t="s">
        <v>132</v>
      </c>
      <c r="C33" s="40">
        <v>6600</v>
      </c>
      <c r="D33" s="40">
        <v>6600</v>
      </c>
      <c r="E33" s="40">
        <v>6600</v>
      </c>
      <c r="F33" s="40">
        <v>6600</v>
      </c>
      <c r="G33" s="40">
        <v>6800</v>
      </c>
      <c r="J33" s="40">
        <v>6700</v>
      </c>
      <c r="K33" s="40">
        <v>6600</v>
      </c>
      <c r="L33" s="40">
        <v>6600</v>
      </c>
      <c r="M33" s="40">
        <v>6500</v>
      </c>
      <c r="N33" s="40">
        <v>6500</v>
      </c>
      <c r="Q33" s="40">
        <v>6500</v>
      </c>
      <c r="R33" s="40">
        <v>6300</v>
      </c>
      <c r="S33" s="40">
        <v>6300</v>
      </c>
      <c r="T33" s="40">
        <v>6300</v>
      </c>
      <c r="U33" s="40">
        <v>6300</v>
      </c>
      <c r="X33" s="40">
        <v>6100</v>
      </c>
      <c r="Y33" s="40">
        <v>6000</v>
      </c>
      <c r="Z33" s="40">
        <v>6000</v>
      </c>
      <c r="AA33" s="40">
        <v>5900</v>
      </c>
      <c r="AB33" s="40">
        <v>5900</v>
      </c>
      <c r="AE33" s="40">
        <v>5900</v>
      </c>
      <c r="AF33" s="40">
        <v>6000</v>
      </c>
      <c r="AG33" s="40">
        <v>6000</v>
      </c>
      <c r="AH33" s="40">
        <v>6000</v>
      </c>
      <c r="AI33" s="40">
        <v>6000</v>
      </c>
      <c r="AL33" s="40">
        <v>6000</v>
      </c>
      <c r="AM33" s="40">
        <v>6000</v>
      </c>
      <c r="AN33" s="40">
        <v>6000</v>
      </c>
      <c r="AO33" s="40">
        <v>6000</v>
      </c>
      <c r="AP33" s="40">
        <v>6100</v>
      </c>
      <c r="AS33" s="40">
        <v>6100</v>
      </c>
      <c r="AT33" s="40">
        <v>6050</v>
      </c>
      <c r="AU33" s="40">
        <v>6050</v>
      </c>
      <c r="AV33" s="40">
        <v>6100</v>
      </c>
      <c r="AW33" s="40">
        <v>6100</v>
      </c>
      <c r="AZ33" s="40">
        <v>6100</v>
      </c>
      <c r="BA33" s="40">
        <v>6100</v>
      </c>
      <c r="BB33" s="40">
        <v>6100</v>
      </c>
      <c r="BC33" s="40">
        <v>6000</v>
      </c>
      <c r="BD33" s="40">
        <v>6000</v>
      </c>
      <c r="BG33" s="40">
        <v>6000</v>
      </c>
      <c r="BH33" s="40">
        <v>5900</v>
      </c>
      <c r="BI33" s="40">
        <v>5900</v>
      </c>
      <c r="BJ33" s="40">
        <v>5900</v>
      </c>
      <c r="BK33" s="40">
        <v>6000</v>
      </c>
      <c r="BN33" s="40">
        <v>5900</v>
      </c>
      <c r="BO33" s="40">
        <v>5800</v>
      </c>
      <c r="BP33" s="40">
        <v>5800</v>
      </c>
      <c r="BQ33" s="40">
        <v>5800</v>
      </c>
      <c r="BR33" s="40">
        <v>5700</v>
      </c>
      <c r="BU33" s="40">
        <v>5700</v>
      </c>
      <c r="BV33" s="40">
        <v>5700</v>
      </c>
      <c r="BW33" s="40">
        <v>5700</v>
      </c>
      <c r="BX33" s="40">
        <v>5800</v>
      </c>
      <c r="BY33" s="40">
        <v>5800</v>
      </c>
      <c r="CB33" s="40">
        <v>5900</v>
      </c>
      <c r="CC33" s="40">
        <v>5700</v>
      </c>
      <c r="CD33" s="40">
        <v>5500</v>
      </c>
      <c r="CE33" s="40">
        <v>5300</v>
      </c>
      <c r="CF33" s="40">
        <v>5300</v>
      </c>
      <c r="CI33" s="40">
        <v>5400</v>
      </c>
      <c r="CJ33" s="40">
        <v>5400</v>
      </c>
      <c r="CK33" s="40">
        <v>5400</v>
      </c>
      <c r="CL33" s="40">
        <v>5400</v>
      </c>
      <c r="CM33" s="40">
        <v>5400</v>
      </c>
      <c r="CP33" s="40">
        <v>5400</v>
      </c>
      <c r="CQ33" s="40">
        <v>5350</v>
      </c>
      <c r="CR33" s="40">
        <v>5200</v>
      </c>
      <c r="CS33" s="40">
        <v>5100</v>
      </c>
      <c r="CT33" s="40">
        <v>5100</v>
      </c>
      <c r="CW33" s="40">
        <v>5100</v>
      </c>
      <c r="CX33" s="40">
        <v>5000</v>
      </c>
      <c r="CY33" s="40">
        <v>4900</v>
      </c>
      <c r="CZ33" s="40">
        <v>4900</v>
      </c>
      <c r="DA33" s="40">
        <v>4900</v>
      </c>
      <c r="DD33" s="40">
        <v>4950</v>
      </c>
      <c r="DE33" s="40">
        <v>5000</v>
      </c>
      <c r="DF33" s="40">
        <v>5000</v>
      </c>
      <c r="DG33" s="40">
        <v>5000</v>
      </c>
      <c r="DH33" s="40">
        <v>5000</v>
      </c>
      <c r="DK33" s="40">
        <v>4900</v>
      </c>
      <c r="DL33" s="40">
        <v>4800</v>
      </c>
      <c r="DM33" s="40">
        <v>4800</v>
      </c>
      <c r="DN33" s="40">
        <v>4700</v>
      </c>
      <c r="DO33" s="40">
        <v>4700</v>
      </c>
      <c r="DR33" s="40">
        <v>4700</v>
      </c>
      <c r="DS33" s="40">
        <v>4700</v>
      </c>
      <c r="DT33" s="40">
        <v>4700</v>
      </c>
      <c r="DU33" s="40">
        <v>4800</v>
      </c>
      <c r="DV33" s="40">
        <v>4900</v>
      </c>
      <c r="DY33" s="40">
        <v>4800</v>
      </c>
      <c r="DZ33" s="40">
        <v>4750</v>
      </c>
      <c r="EA33" s="40">
        <v>4750</v>
      </c>
      <c r="EB33" s="40">
        <v>4550</v>
      </c>
      <c r="EC33" s="40">
        <v>4550</v>
      </c>
      <c r="EF33" s="40">
        <v>4550</v>
      </c>
      <c r="EG33" s="40">
        <v>4450</v>
      </c>
      <c r="EH33" s="40">
        <v>4450</v>
      </c>
      <c r="EI33" s="40">
        <v>4550</v>
      </c>
      <c r="EJ33" s="40">
        <v>4450</v>
      </c>
      <c r="EM33" s="40">
        <v>4450</v>
      </c>
      <c r="EN33" s="40">
        <v>4450</v>
      </c>
      <c r="EO33" s="40">
        <v>4450</v>
      </c>
      <c r="EP33" s="40">
        <v>4550</v>
      </c>
      <c r="EQ33" s="40">
        <v>4530</v>
      </c>
      <c r="ET33" s="40">
        <v>4530</v>
      </c>
      <c r="EU33" s="40">
        <v>4500</v>
      </c>
      <c r="EV33" s="40">
        <v>4500</v>
      </c>
      <c r="EW33" s="40">
        <v>4500</v>
      </c>
      <c r="EX33" s="40">
        <v>4500</v>
      </c>
      <c r="FA33" s="40">
        <v>4600</v>
      </c>
      <c r="FB33" s="40">
        <v>4600</v>
      </c>
      <c r="FC33" s="40">
        <v>4600</v>
      </c>
      <c r="FD33" s="40">
        <v>4600</v>
      </c>
      <c r="FE33" s="40">
        <v>4650</v>
      </c>
      <c r="FH33" s="40">
        <v>4650</v>
      </c>
      <c r="FI33" s="40">
        <v>4650</v>
      </c>
      <c r="FJ33" s="40">
        <v>4650</v>
      </c>
      <c r="FK33" s="40">
        <v>4700</v>
      </c>
      <c r="FL33" s="40">
        <v>4800</v>
      </c>
      <c r="FO33" s="40">
        <v>4700</v>
      </c>
      <c r="FP33" s="40">
        <v>4800</v>
      </c>
      <c r="FQ33" s="40">
        <v>4700</v>
      </c>
      <c r="FR33" s="40">
        <v>4600</v>
      </c>
      <c r="FS33" s="40">
        <v>4700</v>
      </c>
      <c r="FV33" s="40">
        <v>4700</v>
      </c>
      <c r="FW33" s="40">
        <v>4800</v>
      </c>
      <c r="FX33" s="40">
        <v>4800</v>
      </c>
      <c r="FY33" s="40">
        <v>4800</v>
      </c>
      <c r="FZ33" s="40">
        <v>4900</v>
      </c>
      <c r="GC33" s="40">
        <v>4900</v>
      </c>
      <c r="GD33" s="40">
        <v>4900</v>
      </c>
      <c r="GE33" s="40">
        <v>4900</v>
      </c>
      <c r="GF33" s="40">
        <v>4850</v>
      </c>
      <c r="GG33" s="40">
        <v>4850</v>
      </c>
      <c r="GJ33" s="40">
        <v>4850</v>
      </c>
      <c r="GK33" s="40">
        <v>4750</v>
      </c>
      <c r="GL33" s="40">
        <v>4700</v>
      </c>
      <c r="GM33" s="40">
        <v>4700</v>
      </c>
      <c r="GN33" s="40">
        <v>4700</v>
      </c>
      <c r="GQ33" s="40">
        <v>4700</v>
      </c>
      <c r="GR33" s="40">
        <v>4700</v>
      </c>
      <c r="GS33" s="40">
        <v>4800</v>
      </c>
      <c r="GT33" s="40">
        <v>4800</v>
      </c>
      <c r="GU33" s="40">
        <v>4820</v>
      </c>
      <c r="GX33" s="40">
        <v>4900</v>
      </c>
      <c r="GY33" s="40">
        <v>4800</v>
      </c>
      <c r="GZ33" s="40">
        <v>4800</v>
      </c>
      <c r="HA33" s="40">
        <v>4700</v>
      </c>
      <c r="HB33" s="40">
        <v>4700</v>
      </c>
      <c r="HE33" s="63">
        <v>4700</v>
      </c>
      <c r="HF33" s="40">
        <v>4800</v>
      </c>
      <c r="HG33" s="40">
        <v>4850</v>
      </c>
      <c r="HH33" s="40">
        <v>4850</v>
      </c>
      <c r="HI33" s="40">
        <v>4850</v>
      </c>
      <c r="HL33" s="40">
        <v>4850</v>
      </c>
      <c r="HM33" s="40">
        <v>4850</v>
      </c>
      <c r="HN33" s="40">
        <v>4800</v>
      </c>
      <c r="HO33" s="40">
        <v>4800</v>
      </c>
      <c r="HP33" s="40">
        <v>4800</v>
      </c>
      <c r="HS33" s="40">
        <v>4800</v>
      </c>
      <c r="HT33" s="40">
        <v>5250</v>
      </c>
      <c r="HU33" s="40">
        <v>5250</v>
      </c>
      <c r="HV33" s="40">
        <v>4800</v>
      </c>
      <c r="HW33" s="40">
        <v>4800</v>
      </c>
      <c r="HZ33" s="40">
        <v>4800</v>
      </c>
      <c r="IA33" s="40">
        <v>4800</v>
      </c>
      <c r="IB33" s="40">
        <v>4800</v>
      </c>
      <c r="IC33" s="40">
        <v>4700</v>
      </c>
      <c r="ID33" s="40">
        <v>4750</v>
      </c>
      <c r="IG33" s="40">
        <v>4700</v>
      </c>
      <c r="IH33" s="40">
        <v>4700</v>
      </c>
      <c r="II33" s="40">
        <v>4700</v>
      </c>
      <c r="IJ33" s="40">
        <v>4750</v>
      </c>
      <c r="IK33" s="40">
        <v>4750</v>
      </c>
      <c r="IN33" s="63">
        <v>4750</v>
      </c>
      <c r="IO33" s="40">
        <v>4750</v>
      </c>
      <c r="IP33" s="40">
        <v>4750</v>
      </c>
      <c r="IQ33" s="40">
        <v>4750</v>
      </c>
      <c r="IR33" s="40">
        <v>4750</v>
      </c>
      <c r="IU33" s="40">
        <v>4750</v>
      </c>
      <c r="IV33" s="40">
        <v>4750</v>
      </c>
      <c r="IW33" s="40">
        <v>4750</v>
      </c>
      <c r="IX33" s="40">
        <v>4750</v>
      </c>
      <c r="IY33" s="40">
        <v>4750</v>
      </c>
      <c r="JB33" s="40">
        <v>4650</v>
      </c>
      <c r="JC33" s="40">
        <v>4650</v>
      </c>
      <c r="JD33" s="40">
        <v>4550</v>
      </c>
      <c r="JE33" s="40">
        <v>4550</v>
      </c>
      <c r="JF33" s="40">
        <v>4550</v>
      </c>
      <c r="JI33" s="40">
        <v>4550</v>
      </c>
      <c r="JJ33" s="40">
        <v>4650</v>
      </c>
      <c r="JK33" s="40">
        <v>4750</v>
      </c>
      <c r="JL33" s="40">
        <v>4750</v>
      </c>
      <c r="JM33" s="40">
        <v>4750</v>
      </c>
      <c r="JP33" s="40">
        <v>4750</v>
      </c>
      <c r="JQ33" s="40">
        <v>4750</v>
      </c>
      <c r="JR33" s="40">
        <v>4850</v>
      </c>
      <c r="JS33" s="40">
        <v>4850</v>
      </c>
      <c r="JT33" s="40">
        <v>4850</v>
      </c>
      <c r="JW33" s="40">
        <v>4850</v>
      </c>
      <c r="JX33" s="40">
        <v>4750</v>
      </c>
      <c r="JY33" s="40">
        <v>4750</v>
      </c>
      <c r="JZ33" s="40">
        <v>4750</v>
      </c>
      <c r="KA33" s="40">
        <v>4750</v>
      </c>
      <c r="KD33" s="40">
        <v>4750</v>
      </c>
      <c r="KE33" s="40">
        <v>4750</v>
      </c>
      <c r="KF33" s="40">
        <v>4750</v>
      </c>
      <c r="KG33" s="40">
        <v>4700</v>
      </c>
      <c r="KH33" s="40">
        <v>4700</v>
      </c>
      <c r="KK33" s="40">
        <v>4700</v>
      </c>
      <c r="KL33" s="40">
        <v>4700</v>
      </c>
      <c r="KM33" s="40">
        <v>4700</v>
      </c>
      <c r="KN33" s="40">
        <v>4700</v>
      </c>
      <c r="KO33" s="40">
        <v>4650</v>
      </c>
      <c r="KR33" s="40">
        <v>4650</v>
      </c>
      <c r="KS33" s="40">
        <v>4650</v>
      </c>
      <c r="KT33" s="40">
        <v>4650</v>
      </c>
      <c r="KU33" s="40">
        <v>4650</v>
      </c>
      <c r="KV33" s="40">
        <v>4650</v>
      </c>
      <c r="KY33" s="40">
        <v>4750</v>
      </c>
      <c r="KZ33" s="40">
        <v>4750</v>
      </c>
      <c r="LA33" s="40">
        <v>4750</v>
      </c>
      <c r="LB33" s="40">
        <v>4850</v>
      </c>
      <c r="LC33" s="40">
        <v>4850</v>
      </c>
      <c r="LF33" s="40">
        <v>4900</v>
      </c>
      <c r="LG33" s="40">
        <v>4900</v>
      </c>
      <c r="LH33" s="40">
        <v>4900</v>
      </c>
      <c r="LI33" s="40">
        <v>4900</v>
      </c>
      <c r="LJ33" s="40">
        <v>4900</v>
      </c>
      <c r="LM33" s="40">
        <v>5000</v>
      </c>
      <c r="LN33" s="40">
        <v>5200</v>
      </c>
      <c r="LO33" s="40">
        <v>5200</v>
      </c>
      <c r="LP33" s="40">
        <v>5200</v>
      </c>
      <c r="LQ33" s="40">
        <v>5200</v>
      </c>
      <c r="LT33" s="40">
        <v>5200</v>
      </c>
      <c r="LU33" s="40">
        <v>5250</v>
      </c>
      <c r="LV33" s="40">
        <v>5200</v>
      </c>
      <c r="LW33" s="40">
        <v>5200</v>
      </c>
      <c r="LX33" s="40">
        <v>5200</v>
      </c>
      <c r="MA33" s="40">
        <v>5200</v>
      </c>
      <c r="MB33" s="40">
        <v>5200</v>
      </c>
      <c r="MC33" s="40">
        <v>5000</v>
      </c>
      <c r="MD33" s="40">
        <v>5100</v>
      </c>
      <c r="ME33" s="40">
        <v>5100</v>
      </c>
      <c r="MH33" s="40">
        <v>5150</v>
      </c>
      <c r="MI33" s="40">
        <v>5100</v>
      </c>
      <c r="MJ33" s="40">
        <v>5100</v>
      </c>
      <c r="MK33" s="40">
        <v>4900</v>
      </c>
      <c r="ML33" s="40">
        <v>4850</v>
      </c>
      <c r="MO33" s="40">
        <v>4850</v>
      </c>
      <c r="MP33" s="40">
        <v>4900</v>
      </c>
      <c r="MQ33" s="40">
        <v>4900</v>
      </c>
      <c r="MR33" s="40">
        <v>5000</v>
      </c>
      <c r="MS33" s="40">
        <v>5000</v>
      </c>
      <c r="MV33" s="40">
        <v>5000</v>
      </c>
      <c r="MW33" s="40">
        <v>5000</v>
      </c>
      <c r="MX33" s="40">
        <v>5000</v>
      </c>
      <c r="MY33" s="40">
        <v>5000</v>
      </c>
      <c r="MZ33" s="40">
        <v>5000</v>
      </c>
    </row>
    <row r="34" spans="1:364" s="37" customFormat="1" x14ac:dyDescent="0.25">
      <c r="A34" s="21" t="s">
        <v>131</v>
      </c>
      <c r="C34" s="37">
        <v>6500</v>
      </c>
      <c r="D34" s="37">
        <v>6500</v>
      </c>
      <c r="E34" s="37">
        <v>6500</v>
      </c>
      <c r="F34" s="37">
        <v>6500</v>
      </c>
      <c r="G34" s="37">
        <v>6400</v>
      </c>
      <c r="J34" s="37">
        <v>6300</v>
      </c>
      <c r="K34" s="37">
        <v>6200</v>
      </c>
      <c r="L34" s="37">
        <v>6100</v>
      </c>
      <c r="M34" s="37">
        <v>6100</v>
      </c>
      <c r="N34" s="37">
        <v>6100</v>
      </c>
      <c r="Q34" s="37">
        <v>6100</v>
      </c>
      <c r="R34" s="37">
        <v>6100</v>
      </c>
      <c r="S34" s="37">
        <v>6100</v>
      </c>
      <c r="T34" s="37">
        <v>6100</v>
      </c>
      <c r="U34" s="37">
        <v>6100</v>
      </c>
      <c r="X34" s="37">
        <v>6000</v>
      </c>
      <c r="Y34" s="37">
        <v>5900</v>
      </c>
      <c r="Z34" s="37">
        <v>5900</v>
      </c>
      <c r="AA34" s="37">
        <v>5850</v>
      </c>
      <c r="AB34" s="37">
        <v>5850</v>
      </c>
      <c r="AE34" s="37">
        <v>5900</v>
      </c>
      <c r="AF34" s="37">
        <v>5950</v>
      </c>
      <c r="AG34" s="37">
        <v>5950</v>
      </c>
      <c r="AH34" s="37">
        <v>5900</v>
      </c>
      <c r="AI34" s="37">
        <v>5900</v>
      </c>
      <c r="AL34" s="37">
        <v>5900</v>
      </c>
      <c r="AM34" s="37">
        <v>5900</v>
      </c>
      <c r="AN34" s="37">
        <v>5900</v>
      </c>
      <c r="AO34" s="37">
        <v>5900</v>
      </c>
      <c r="AP34" s="37">
        <v>6000</v>
      </c>
      <c r="AS34" s="37">
        <v>5900</v>
      </c>
      <c r="AT34" s="37">
        <v>5900</v>
      </c>
      <c r="AU34" s="37">
        <v>5900</v>
      </c>
      <c r="AV34" s="37">
        <v>5900</v>
      </c>
      <c r="AW34" s="37">
        <v>5900</v>
      </c>
      <c r="AZ34" s="37">
        <v>5900</v>
      </c>
      <c r="BA34" s="37">
        <v>5900</v>
      </c>
      <c r="BB34" s="37">
        <v>5900</v>
      </c>
      <c r="BC34" s="37">
        <v>5850</v>
      </c>
      <c r="BD34" s="37">
        <v>5850</v>
      </c>
      <c r="BG34" s="37">
        <v>5850</v>
      </c>
      <c r="BH34" s="37">
        <v>5850</v>
      </c>
      <c r="BI34" s="37">
        <v>5850</v>
      </c>
      <c r="BJ34" s="37">
        <v>5850</v>
      </c>
      <c r="BK34" s="37">
        <v>5800</v>
      </c>
      <c r="BN34" s="37">
        <v>5750</v>
      </c>
      <c r="BO34" s="37">
        <v>5650</v>
      </c>
      <c r="BP34" s="37">
        <v>5650</v>
      </c>
      <c r="BQ34" s="37">
        <v>5650</v>
      </c>
      <c r="BR34" s="37">
        <v>5500</v>
      </c>
      <c r="BU34" s="37">
        <v>5500</v>
      </c>
      <c r="BV34" s="37">
        <v>5550</v>
      </c>
      <c r="BW34" s="37">
        <v>5550</v>
      </c>
      <c r="BX34" s="37">
        <v>5550</v>
      </c>
      <c r="BY34" s="37">
        <v>5550</v>
      </c>
      <c r="CB34" s="37">
        <v>5550</v>
      </c>
      <c r="CC34" s="37">
        <v>5400</v>
      </c>
      <c r="CD34" s="37">
        <v>5350</v>
      </c>
      <c r="CE34" s="37">
        <v>5250</v>
      </c>
      <c r="CF34" s="37">
        <v>5350</v>
      </c>
      <c r="CI34" s="37">
        <v>5400</v>
      </c>
      <c r="CJ34" s="37">
        <v>5400</v>
      </c>
      <c r="CK34" s="37">
        <v>5400</v>
      </c>
      <c r="CL34" s="37">
        <v>5400</v>
      </c>
      <c r="CM34" s="37">
        <v>5400</v>
      </c>
      <c r="CP34" s="37">
        <v>5450</v>
      </c>
      <c r="CQ34" s="37">
        <v>5350</v>
      </c>
      <c r="CR34" s="37">
        <v>5300</v>
      </c>
      <c r="CS34" s="37">
        <v>5300</v>
      </c>
      <c r="CT34" s="37">
        <v>5300</v>
      </c>
      <c r="CW34" s="37">
        <v>5300</v>
      </c>
      <c r="CX34" s="37">
        <v>5200</v>
      </c>
      <c r="CY34" s="37">
        <v>5100</v>
      </c>
      <c r="CZ34" s="37">
        <v>5100</v>
      </c>
      <c r="DA34" s="37">
        <v>5100</v>
      </c>
      <c r="DD34" s="37">
        <v>5100</v>
      </c>
      <c r="DE34" s="37">
        <v>5200</v>
      </c>
      <c r="DF34" s="37">
        <v>5200</v>
      </c>
      <c r="DG34" s="37">
        <v>5200</v>
      </c>
      <c r="DH34" s="37">
        <v>5200</v>
      </c>
      <c r="DK34" s="37">
        <v>5100</v>
      </c>
      <c r="DL34" s="37">
        <v>5000</v>
      </c>
      <c r="DM34" s="37">
        <v>5000</v>
      </c>
      <c r="DN34" s="37">
        <v>4900</v>
      </c>
      <c r="DO34" s="37">
        <v>4900</v>
      </c>
      <c r="DR34" s="37">
        <v>4900</v>
      </c>
      <c r="DS34" s="37">
        <v>4900</v>
      </c>
      <c r="DT34" s="37">
        <v>4950</v>
      </c>
      <c r="DU34" s="37">
        <v>5100</v>
      </c>
      <c r="DV34" s="37">
        <v>5000</v>
      </c>
      <c r="DY34" s="37">
        <v>5000</v>
      </c>
      <c r="DZ34" s="37">
        <v>4950</v>
      </c>
      <c r="EA34" s="37">
        <v>4950</v>
      </c>
      <c r="EB34" s="37">
        <v>4950</v>
      </c>
      <c r="EC34" s="37">
        <v>4950</v>
      </c>
      <c r="EF34" s="37">
        <v>4950</v>
      </c>
      <c r="EG34" s="37">
        <v>4850</v>
      </c>
      <c r="EH34" s="37">
        <v>5000</v>
      </c>
      <c r="EI34" s="37">
        <v>5050</v>
      </c>
      <c r="EJ34" s="37">
        <v>5000</v>
      </c>
      <c r="EM34" s="37">
        <v>5000</v>
      </c>
      <c r="EN34" s="37">
        <v>4900</v>
      </c>
      <c r="EO34" s="37">
        <v>4800</v>
      </c>
      <c r="EP34" s="37">
        <v>4800</v>
      </c>
      <c r="EQ34" s="37">
        <v>4900</v>
      </c>
      <c r="ET34" s="37">
        <v>4900</v>
      </c>
      <c r="EU34" s="37">
        <v>4900</v>
      </c>
      <c r="EV34" s="37">
        <v>4850</v>
      </c>
      <c r="EW34" s="37">
        <v>4900</v>
      </c>
      <c r="EX34" s="37">
        <v>5000</v>
      </c>
      <c r="FA34" s="37">
        <v>4950</v>
      </c>
      <c r="FB34" s="37">
        <v>4950</v>
      </c>
      <c r="FC34" s="37">
        <v>4950</v>
      </c>
      <c r="FD34" s="37">
        <v>4950</v>
      </c>
      <c r="FE34" s="37">
        <v>4950</v>
      </c>
      <c r="FH34" s="37">
        <v>4950</v>
      </c>
      <c r="FI34" s="37">
        <v>4950</v>
      </c>
      <c r="FJ34" s="37">
        <v>4950</v>
      </c>
      <c r="FK34" s="37">
        <v>4950</v>
      </c>
      <c r="FL34" s="37">
        <v>5100</v>
      </c>
      <c r="FO34" s="37">
        <v>4950</v>
      </c>
      <c r="FP34" s="37">
        <v>5050</v>
      </c>
      <c r="FQ34" s="37">
        <v>4950</v>
      </c>
      <c r="FR34" s="37">
        <v>5000</v>
      </c>
      <c r="FS34" s="37">
        <v>5050</v>
      </c>
      <c r="FV34" s="37">
        <v>5050</v>
      </c>
      <c r="FW34" s="37">
        <v>5050</v>
      </c>
      <c r="FX34" s="37">
        <v>5050</v>
      </c>
      <c r="FY34" s="37">
        <v>5050</v>
      </c>
      <c r="FZ34" s="37">
        <v>5050</v>
      </c>
      <c r="GC34" s="37">
        <v>5000</v>
      </c>
      <c r="GD34" s="37">
        <v>5000</v>
      </c>
      <c r="GE34" s="37">
        <v>5100</v>
      </c>
      <c r="GF34" s="37">
        <v>5050</v>
      </c>
      <c r="GG34" s="37">
        <v>5050</v>
      </c>
      <c r="GJ34" s="37">
        <v>5050</v>
      </c>
      <c r="GK34" s="37">
        <v>5050</v>
      </c>
      <c r="GL34" s="37">
        <v>4950</v>
      </c>
      <c r="GM34" s="37">
        <v>5000</v>
      </c>
      <c r="GN34" s="37">
        <v>4950</v>
      </c>
      <c r="GQ34" s="37">
        <v>4950</v>
      </c>
      <c r="GR34" s="37">
        <v>4950</v>
      </c>
      <c r="GS34" s="37">
        <v>5000</v>
      </c>
      <c r="GT34" s="37">
        <v>5050</v>
      </c>
      <c r="GU34" s="37">
        <v>5100</v>
      </c>
      <c r="GX34" s="37">
        <v>5200</v>
      </c>
      <c r="GY34" s="37">
        <v>5000</v>
      </c>
      <c r="GZ34" s="37">
        <v>4950</v>
      </c>
      <c r="HA34" s="37">
        <v>4950</v>
      </c>
      <c r="HB34" s="37">
        <v>4950</v>
      </c>
      <c r="HE34" s="64">
        <v>4900</v>
      </c>
      <c r="HF34" s="37">
        <v>5000</v>
      </c>
      <c r="HG34" s="37">
        <v>4800</v>
      </c>
      <c r="HH34" s="37">
        <v>4950</v>
      </c>
      <c r="HI34" s="37">
        <v>4950</v>
      </c>
      <c r="HL34" s="37">
        <v>4950</v>
      </c>
      <c r="HM34" s="37">
        <v>4950</v>
      </c>
      <c r="HN34" s="37">
        <v>4900</v>
      </c>
      <c r="HO34" s="37">
        <v>4900</v>
      </c>
      <c r="HP34" s="37">
        <v>4900</v>
      </c>
      <c r="HS34" s="37">
        <v>4900</v>
      </c>
      <c r="HT34" s="37">
        <v>4850</v>
      </c>
      <c r="HU34" s="37">
        <v>4800</v>
      </c>
      <c r="HV34" s="37">
        <v>4950</v>
      </c>
      <c r="HW34" s="37">
        <v>4950</v>
      </c>
      <c r="HZ34" s="37">
        <v>4950</v>
      </c>
      <c r="IA34" s="37">
        <v>4850</v>
      </c>
      <c r="IB34" s="37">
        <v>4900</v>
      </c>
      <c r="IC34" s="37">
        <v>4800</v>
      </c>
      <c r="ID34" s="37">
        <v>4850</v>
      </c>
      <c r="IG34" s="37">
        <v>4800</v>
      </c>
      <c r="IH34" s="37">
        <v>4800</v>
      </c>
      <c r="II34" s="37">
        <v>4850</v>
      </c>
      <c r="IJ34" s="37">
        <v>4900</v>
      </c>
      <c r="IK34" s="37">
        <v>5000</v>
      </c>
      <c r="IN34" s="64">
        <v>5000</v>
      </c>
      <c r="IO34" s="37">
        <v>5100</v>
      </c>
      <c r="IP34" s="37">
        <v>5050</v>
      </c>
      <c r="IQ34" s="37">
        <v>5050</v>
      </c>
      <c r="IR34" s="37">
        <v>5050</v>
      </c>
      <c r="IU34" s="37">
        <v>5050</v>
      </c>
      <c r="IV34" s="37">
        <v>5050</v>
      </c>
      <c r="IW34" s="37">
        <v>5100</v>
      </c>
      <c r="IX34" s="37">
        <v>5100</v>
      </c>
      <c r="IY34" s="37">
        <v>5150</v>
      </c>
      <c r="JB34" s="37">
        <v>5000</v>
      </c>
      <c r="JC34" s="37">
        <v>4900</v>
      </c>
      <c r="JD34" s="37">
        <v>4850</v>
      </c>
      <c r="JE34" s="37">
        <v>4850</v>
      </c>
      <c r="JF34" s="37">
        <v>4900</v>
      </c>
      <c r="JI34" s="37">
        <v>4900</v>
      </c>
      <c r="JJ34" s="37">
        <v>4950</v>
      </c>
      <c r="JK34" s="37">
        <v>5000</v>
      </c>
      <c r="JL34" s="37">
        <v>5000</v>
      </c>
      <c r="JM34" s="37">
        <v>4950</v>
      </c>
      <c r="JP34" s="37">
        <v>5000</v>
      </c>
      <c r="JQ34" s="37">
        <v>5000</v>
      </c>
      <c r="JR34" s="37">
        <v>5000</v>
      </c>
      <c r="JS34" s="37">
        <v>5000</v>
      </c>
      <c r="JT34" s="37">
        <v>5000</v>
      </c>
      <c r="JW34" s="37">
        <v>4950</v>
      </c>
      <c r="JX34" s="37">
        <v>4850</v>
      </c>
      <c r="JY34" s="37">
        <v>4950</v>
      </c>
      <c r="JZ34" s="37">
        <v>4950</v>
      </c>
      <c r="KA34" s="37">
        <v>5000</v>
      </c>
      <c r="KD34" s="37">
        <v>5100</v>
      </c>
      <c r="KE34" s="37">
        <v>5100</v>
      </c>
      <c r="KF34" s="37">
        <v>5100</v>
      </c>
      <c r="KG34" s="37">
        <v>5000</v>
      </c>
      <c r="KH34" s="37">
        <v>5000</v>
      </c>
      <c r="KK34" s="37">
        <v>5000</v>
      </c>
      <c r="KL34" s="37">
        <v>5000</v>
      </c>
      <c r="KM34" s="37">
        <v>5000</v>
      </c>
      <c r="KN34" s="37">
        <v>5000</v>
      </c>
      <c r="KO34" s="37">
        <v>4950</v>
      </c>
      <c r="KR34" s="37">
        <v>5050</v>
      </c>
      <c r="KS34" s="37">
        <v>5100</v>
      </c>
      <c r="KT34" s="37">
        <v>5100</v>
      </c>
      <c r="KU34" s="37">
        <v>5100</v>
      </c>
      <c r="KV34" s="37">
        <v>5100</v>
      </c>
      <c r="KY34" s="37">
        <v>5100</v>
      </c>
      <c r="KZ34" s="37">
        <v>5100</v>
      </c>
      <c r="LA34" s="37">
        <v>5150</v>
      </c>
      <c r="LB34" s="37">
        <v>5200</v>
      </c>
      <c r="LC34" s="37">
        <v>5200</v>
      </c>
      <c r="LF34" s="37">
        <v>5300</v>
      </c>
      <c r="LG34" s="37">
        <v>5500</v>
      </c>
      <c r="LH34" s="37">
        <v>5500</v>
      </c>
      <c r="LI34" s="37">
        <v>5450</v>
      </c>
      <c r="LJ34" s="37">
        <v>5450</v>
      </c>
      <c r="LM34" s="37">
        <v>5450</v>
      </c>
      <c r="LN34" s="37">
        <v>5500</v>
      </c>
      <c r="LO34" s="37">
        <v>5500</v>
      </c>
      <c r="LP34" s="37">
        <v>5500</v>
      </c>
      <c r="LQ34" s="37">
        <v>5300</v>
      </c>
      <c r="LT34" s="37">
        <v>5200</v>
      </c>
      <c r="LU34" s="37">
        <v>5300</v>
      </c>
      <c r="LV34" s="37">
        <v>5300</v>
      </c>
      <c r="LW34" s="37">
        <v>5400</v>
      </c>
      <c r="LX34" s="37">
        <v>5400</v>
      </c>
      <c r="MA34" s="37">
        <v>5350</v>
      </c>
      <c r="MB34" s="37">
        <v>5250</v>
      </c>
      <c r="MC34" s="37">
        <v>5100</v>
      </c>
      <c r="MD34" s="37">
        <v>5100</v>
      </c>
      <c r="ME34" s="37">
        <v>5100</v>
      </c>
      <c r="MH34" s="37">
        <v>5100</v>
      </c>
      <c r="MI34" s="37">
        <v>5100</v>
      </c>
      <c r="MJ34" s="37">
        <v>5150</v>
      </c>
      <c r="MK34" s="37">
        <v>5150</v>
      </c>
      <c r="ML34" s="37">
        <v>5050</v>
      </c>
      <c r="MO34" s="37">
        <v>5050</v>
      </c>
      <c r="MP34" s="37">
        <v>5100</v>
      </c>
      <c r="MQ34" s="37">
        <v>5150</v>
      </c>
      <c r="MR34" s="37">
        <v>5250</v>
      </c>
      <c r="MS34" s="37">
        <v>5250</v>
      </c>
      <c r="MV34" s="37">
        <v>5250</v>
      </c>
      <c r="MW34" s="37">
        <v>5200</v>
      </c>
      <c r="MX34" s="37">
        <v>5250</v>
      </c>
      <c r="MY34" s="37">
        <v>5250</v>
      </c>
      <c r="MZ34" s="37">
        <v>5250</v>
      </c>
    </row>
    <row r="35" spans="1:364" s="40" customFormat="1" x14ac:dyDescent="0.25">
      <c r="A35" s="31" t="s">
        <v>180</v>
      </c>
      <c r="C35" s="40">
        <v>245</v>
      </c>
      <c r="D35" s="40">
        <v>246</v>
      </c>
      <c r="E35" s="40">
        <v>246</v>
      </c>
      <c r="F35" s="40">
        <v>246</v>
      </c>
      <c r="G35" s="40">
        <v>246</v>
      </c>
      <c r="J35" s="40">
        <v>246</v>
      </c>
      <c r="K35" s="40">
        <v>246</v>
      </c>
      <c r="L35" s="40">
        <v>246</v>
      </c>
      <c r="M35" s="40">
        <v>246</v>
      </c>
      <c r="N35" s="40">
        <v>246</v>
      </c>
      <c r="Q35" s="40">
        <v>242</v>
      </c>
      <c r="R35" s="40">
        <v>242</v>
      </c>
      <c r="S35" s="40">
        <v>242</v>
      </c>
      <c r="T35" s="40">
        <v>235</v>
      </c>
      <c r="U35" s="40">
        <v>235</v>
      </c>
      <c r="X35" s="40">
        <v>235</v>
      </c>
      <c r="Y35" s="40">
        <v>235</v>
      </c>
      <c r="Z35" s="40">
        <v>235</v>
      </c>
      <c r="AA35" s="40">
        <v>234</v>
      </c>
      <c r="AB35" s="40">
        <v>230</v>
      </c>
      <c r="AE35" s="40">
        <v>230</v>
      </c>
      <c r="AF35" s="40">
        <v>230</v>
      </c>
      <c r="AG35" s="40">
        <v>230</v>
      </c>
      <c r="AH35" s="40">
        <v>230</v>
      </c>
      <c r="AI35" s="40">
        <v>230</v>
      </c>
      <c r="AL35" s="40">
        <v>230</v>
      </c>
      <c r="AM35" s="40">
        <v>230</v>
      </c>
      <c r="AN35" s="40">
        <v>230</v>
      </c>
      <c r="AO35" s="40">
        <v>230</v>
      </c>
      <c r="AP35" s="40">
        <v>230</v>
      </c>
      <c r="AS35" s="40">
        <v>230</v>
      </c>
      <c r="AT35" s="40">
        <v>230</v>
      </c>
      <c r="AU35" s="40">
        <v>230</v>
      </c>
      <c r="AV35" s="40">
        <v>232</v>
      </c>
      <c r="AW35" s="40">
        <v>232</v>
      </c>
      <c r="AZ35" s="40">
        <v>232</v>
      </c>
      <c r="BA35" s="40">
        <v>232</v>
      </c>
      <c r="BB35" s="40">
        <v>232</v>
      </c>
      <c r="BC35" s="40">
        <v>220</v>
      </c>
      <c r="BD35" s="40">
        <v>220</v>
      </c>
      <c r="BG35" s="40">
        <v>220</v>
      </c>
      <c r="BH35" s="40">
        <v>220</v>
      </c>
      <c r="BI35" s="40">
        <v>220</v>
      </c>
      <c r="BJ35" s="40">
        <v>220</v>
      </c>
      <c r="BK35" s="40">
        <v>220</v>
      </c>
      <c r="BN35" s="40">
        <v>220</v>
      </c>
      <c r="BO35" s="40">
        <v>220</v>
      </c>
      <c r="BP35" s="40">
        <v>220</v>
      </c>
      <c r="BQ35" s="40">
        <v>225</v>
      </c>
      <c r="BR35" s="40">
        <v>225</v>
      </c>
      <c r="BU35" s="40">
        <v>225</v>
      </c>
      <c r="BV35" s="40">
        <v>230</v>
      </c>
      <c r="BW35" s="40">
        <v>230</v>
      </c>
      <c r="BX35" s="40">
        <v>232</v>
      </c>
      <c r="BY35" s="40">
        <v>235</v>
      </c>
      <c r="CB35" s="40">
        <v>235</v>
      </c>
      <c r="CC35" s="40">
        <v>235</v>
      </c>
      <c r="CD35" s="40">
        <v>235</v>
      </c>
      <c r="CE35" s="40">
        <v>237</v>
      </c>
      <c r="CF35" s="40">
        <v>237</v>
      </c>
      <c r="CI35" s="40">
        <v>237</v>
      </c>
      <c r="CJ35" s="40">
        <v>237</v>
      </c>
      <c r="CK35" s="40">
        <v>237</v>
      </c>
      <c r="CL35" s="40">
        <v>237</v>
      </c>
      <c r="CM35" s="40">
        <v>237</v>
      </c>
      <c r="CP35" s="40">
        <v>237</v>
      </c>
      <c r="CQ35" s="40">
        <v>237</v>
      </c>
      <c r="CR35" s="40">
        <v>237</v>
      </c>
      <c r="CS35" s="40">
        <v>237</v>
      </c>
      <c r="CT35" s="40">
        <v>237</v>
      </c>
      <c r="CW35" s="40">
        <v>237</v>
      </c>
      <c r="CX35" s="40">
        <v>237</v>
      </c>
      <c r="CY35" s="40">
        <v>237</v>
      </c>
      <c r="CZ35" s="40">
        <v>237</v>
      </c>
      <c r="DA35" s="40">
        <v>235</v>
      </c>
      <c r="DD35" s="40">
        <v>235</v>
      </c>
      <c r="DE35" s="40">
        <v>235</v>
      </c>
      <c r="DF35" s="40">
        <v>235</v>
      </c>
      <c r="DG35" s="40">
        <v>235</v>
      </c>
      <c r="DH35" s="40">
        <v>235</v>
      </c>
      <c r="DK35" s="40">
        <v>234</v>
      </c>
      <c r="DL35" s="40">
        <v>234</v>
      </c>
      <c r="DM35" s="40">
        <v>234</v>
      </c>
      <c r="DN35" s="40">
        <v>234</v>
      </c>
      <c r="DO35" s="40">
        <v>227</v>
      </c>
      <c r="DR35" s="40">
        <v>227</v>
      </c>
      <c r="DS35" s="40">
        <v>227</v>
      </c>
      <c r="DT35" s="40">
        <v>227</v>
      </c>
      <c r="DU35" s="40">
        <v>220</v>
      </c>
      <c r="DV35" s="40">
        <v>220</v>
      </c>
      <c r="DY35" s="40">
        <v>220</v>
      </c>
      <c r="DZ35" s="40">
        <v>220</v>
      </c>
      <c r="EA35" s="40">
        <v>220</v>
      </c>
      <c r="EB35" s="40">
        <v>220</v>
      </c>
      <c r="EC35" s="40">
        <v>215</v>
      </c>
      <c r="EF35" s="40">
        <v>215</v>
      </c>
      <c r="EG35" s="40">
        <v>215</v>
      </c>
      <c r="EH35" s="40">
        <v>215</v>
      </c>
      <c r="EI35" s="40">
        <v>215</v>
      </c>
      <c r="EJ35" s="40">
        <v>215</v>
      </c>
      <c r="EM35" s="40">
        <v>212</v>
      </c>
      <c r="EN35" s="40">
        <v>212</v>
      </c>
      <c r="EO35" s="40">
        <v>210</v>
      </c>
      <c r="EP35" s="40">
        <v>210</v>
      </c>
      <c r="EQ35" s="40">
        <v>199</v>
      </c>
      <c r="ET35" s="40">
        <v>199</v>
      </c>
      <c r="EU35" s="40">
        <v>195</v>
      </c>
      <c r="EV35" s="40">
        <v>190</v>
      </c>
      <c r="EW35" s="40">
        <v>190</v>
      </c>
      <c r="EX35" s="40">
        <v>190</v>
      </c>
      <c r="FA35" s="40">
        <v>190</v>
      </c>
      <c r="FB35" s="40">
        <v>190</v>
      </c>
      <c r="FC35" s="40">
        <v>187</v>
      </c>
      <c r="FD35" s="40">
        <v>187</v>
      </c>
      <c r="FE35" s="40">
        <v>187</v>
      </c>
      <c r="FH35" s="40">
        <v>187</v>
      </c>
      <c r="FI35" s="40">
        <v>187</v>
      </c>
      <c r="FJ35" s="40">
        <v>187</v>
      </c>
      <c r="FK35" s="40">
        <v>187</v>
      </c>
      <c r="FL35" s="40">
        <v>187</v>
      </c>
      <c r="FO35" s="40">
        <v>187</v>
      </c>
      <c r="FP35" s="40">
        <v>195</v>
      </c>
      <c r="FQ35" s="40">
        <v>195</v>
      </c>
      <c r="FR35" s="40">
        <v>195</v>
      </c>
      <c r="FS35" s="40">
        <v>195</v>
      </c>
      <c r="FV35" s="40">
        <v>195</v>
      </c>
      <c r="FW35" s="40">
        <v>195</v>
      </c>
      <c r="FX35" s="40">
        <v>197</v>
      </c>
      <c r="FY35" s="40">
        <v>197</v>
      </c>
      <c r="FZ35" s="40">
        <v>197</v>
      </c>
      <c r="GC35" s="40">
        <v>197</v>
      </c>
      <c r="GD35" s="40">
        <v>197</v>
      </c>
      <c r="GE35" s="40">
        <v>197</v>
      </c>
      <c r="GF35" s="40">
        <v>200</v>
      </c>
      <c r="GG35" s="40">
        <v>202</v>
      </c>
      <c r="GJ35" s="40">
        <v>202</v>
      </c>
      <c r="GK35" s="40">
        <v>202</v>
      </c>
      <c r="GL35" s="40">
        <v>202</v>
      </c>
      <c r="GM35" s="40">
        <v>202</v>
      </c>
      <c r="GN35" s="40">
        <v>202</v>
      </c>
      <c r="GO35" s="70"/>
      <c r="GQ35" s="40">
        <v>202</v>
      </c>
      <c r="GR35" s="40">
        <v>200</v>
      </c>
      <c r="GS35" s="40">
        <v>200</v>
      </c>
      <c r="GT35" s="40">
        <v>200</v>
      </c>
      <c r="GU35" s="40">
        <v>200</v>
      </c>
      <c r="GX35" s="40">
        <v>200</v>
      </c>
      <c r="GY35" s="40">
        <v>200</v>
      </c>
      <c r="GZ35" s="40">
        <v>200</v>
      </c>
      <c r="HA35" s="40">
        <v>195</v>
      </c>
      <c r="HB35" s="40">
        <v>200</v>
      </c>
      <c r="HE35" s="40">
        <v>190</v>
      </c>
      <c r="HF35" s="40">
        <v>190</v>
      </c>
      <c r="HG35" s="40">
        <v>190</v>
      </c>
      <c r="HH35" s="40">
        <v>190</v>
      </c>
      <c r="HI35" s="40">
        <v>190</v>
      </c>
      <c r="HL35" s="40">
        <v>190</v>
      </c>
      <c r="HM35" s="40">
        <v>190</v>
      </c>
      <c r="HN35" s="40">
        <v>190</v>
      </c>
      <c r="HO35" s="40">
        <v>190</v>
      </c>
      <c r="HP35" s="40">
        <v>190</v>
      </c>
      <c r="HS35" s="40">
        <v>190</v>
      </c>
      <c r="HT35" s="40">
        <v>190</v>
      </c>
      <c r="HU35" s="40">
        <v>190</v>
      </c>
      <c r="HV35" s="40">
        <v>190</v>
      </c>
      <c r="HW35" s="40">
        <v>190</v>
      </c>
      <c r="HZ35" s="40">
        <v>190</v>
      </c>
      <c r="IA35" s="40">
        <v>190</v>
      </c>
      <c r="IB35" s="40">
        <v>185</v>
      </c>
      <c r="IC35" s="40">
        <v>185</v>
      </c>
      <c r="ID35" s="40">
        <v>185</v>
      </c>
      <c r="IG35" s="40">
        <v>185</v>
      </c>
      <c r="IH35" s="40">
        <v>185</v>
      </c>
      <c r="II35" s="40">
        <v>185</v>
      </c>
      <c r="IJ35" s="40">
        <v>185</v>
      </c>
      <c r="IK35" s="40">
        <v>185</v>
      </c>
      <c r="IN35" s="63">
        <v>185</v>
      </c>
      <c r="IO35" s="40">
        <v>185</v>
      </c>
      <c r="IP35" s="40">
        <v>185</v>
      </c>
      <c r="IQ35" s="40">
        <v>185</v>
      </c>
      <c r="IR35" s="40">
        <v>185</v>
      </c>
      <c r="IU35" s="40">
        <v>185</v>
      </c>
      <c r="IV35" s="40">
        <v>185</v>
      </c>
      <c r="IW35" s="40">
        <v>185</v>
      </c>
      <c r="IX35" s="40">
        <v>185</v>
      </c>
      <c r="IY35" s="40">
        <v>185</v>
      </c>
      <c r="JB35" s="40">
        <v>185</v>
      </c>
      <c r="JC35" s="40">
        <v>185</v>
      </c>
      <c r="JD35" s="40">
        <v>195</v>
      </c>
      <c r="JE35" s="40">
        <v>195</v>
      </c>
      <c r="JF35" s="40">
        <v>200</v>
      </c>
      <c r="JI35" s="40">
        <v>205</v>
      </c>
      <c r="JJ35" s="40">
        <v>205</v>
      </c>
      <c r="JK35" s="40">
        <v>205</v>
      </c>
      <c r="JL35" s="40">
        <v>205</v>
      </c>
      <c r="JM35" s="40">
        <v>205</v>
      </c>
      <c r="JP35" s="40">
        <v>205</v>
      </c>
      <c r="JQ35" s="40">
        <v>205</v>
      </c>
      <c r="JR35" s="40">
        <v>205</v>
      </c>
      <c r="JS35" s="40">
        <v>205</v>
      </c>
      <c r="JT35" s="40">
        <v>210</v>
      </c>
      <c r="JW35" s="40">
        <v>210</v>
      </c>
      <c r="JX35" s="40">
        <v>210</v>
      </c>
      <c r="JY35" s="40">
        <v>215</v>
      </c>
      <c r="JZ35" s="40">
        <v>215</v>
      </c>
      <c r="KA35" s="40">
        <v>215</v>
      </c>
      <c r="KD35" s="40">
        <v>215</v>
      </c>
      <c r="KE35" s="40">
        <v>215</v>
      </c>
      <c r="KF35" s="40">
        <v>215</v>
      </c>
      <c r="KG35" s="40">
        <v>215</v>
      </c>
      <c r="KH35" s="40">
        <v>215</v>
      </c>
      <c r="KK35" s="40">
        <v>215</v>
      </c>
      <c r="KL35" s="40">
        <v>215</v>
      </c>
      <c r="KM35" s="40">
        <v>215</v>
      </c>
      <c r="KN35" s="40">
        <v>215</v>
      </c>
      <c r="KO35" s="40">
        <v>215</v>
      </c>
      <c r="KR35" s="40">
        <v>215</v>
      </c>
      <c r="KS35" s="40">
        <v>215</v>
      </c>
      <c r="KT35" s="40">
        <v>215</v>
      </c>
      <c r="KU35" s="40">
        <v>215</v>
      </c>
      <c r="KV35" s="40">
        <v>210</v>
      </c>
      <c r="KY35" s="40">
        <v>210</v>
      </c>
      <c r="KZ35" s="40">
        <v>210</v>
      </c>
      <c r="LA35" s="40">
        <v>210</v>
      </c>
      <c r="LB35" s="40">
        <v>210</v>
      </c>
      <c r="LC35" s="40">
        <v>210</v>
      </c>
      <c r="LF35" s="40">
        <v>210</v>
      </c>
      <c r="LG35" s="40">
        <v>210</v>
      </c>
      <c r="LH35" s="40">
        <v>210</v>
      </c>
      <c r="LI35" s="40">
        <v>210</v>
      </c>
      <c r="LJ35" s="40">
        <v>215</v>
      </c>
      <c r="LM35" s="40">
        <v>215</v>
      </c>
      <c r="LN35" s="40">
        <v>215</v>
      </c>
      <c r="LO35" s="40">
        <v>215</v>
      </c>
      <c r="LP35" s="40">
        <v>215</v>
      </c>
      <c r="LQ35" s="40">
        <v>215</v>
      </c>
      <c r="LT35" s="40">
        <v>215</v>
      </c>
      <c r="LU35" s="40">
        <v>215</v>
      </c>
      <c r="LV35" s="40">
        <v>215</v>
      </c>
      <c r="LW35" s="40">
        <v>215</v>
      </c>
      <c r="LX35" s="40">
        <v>215</v>
      </c>
      <c r="MA35" s="40">
        <v>215</v>
      </c>
      <c r="MB35" s="40">
        <v>215</v>
      </c>
      <c r="MC35" s="40">
        <v>215</v>
      </c>
      <c r="MD35" s="40">
        <v>215</v>
      </c>
      <c r="ME35" s="40">
        <v>215</v>
      </c>
      <c r="MH35" s="40">
        <v>215</v>
      </c>
      <c r="MI35" s="40">
        <v>215</v>
      </c>
      <c r="MJ35" s="40">
        <v>210</v>
      </c>
      <c r="MK35" s="40">
        <v>210</v>
      </c>
      <c r="ML35" s="40">
        <v>210</v>
      </c>
      <c r="MO35" s="40">
        <v>210</v>
      </c>
      <c r="MP35" s="40">
        <v>210</v>
      </c>
      <c r="MQ35" s="40">
        <v>210</v>
      </c>
      <c r="MR35" s="40">
        <v>205</v>
      </c>
      <c r="MS35" s="40">
        <v>205</v>
      </c>
      <c r="MV35" s="40">
        <v>205</v>
      </c>
      <c r="MW35" s="40">
        <v>210</v>
      </c>
      <c r="MX35" s="40">
        <v>210</v>
      </c>
      <c r="MY35" s="40">
        <v>210</v>
      </c>
      <c r="MZ35" s="40">
        <v>210</v>
      </c>
    </row>
    <row r="36" spans="1:364" s="37" customFormat="1" x14ac:dyDescent="0.25">
      <c r="A36" s="26" t="s">
        <v>182</v>
      </c>
      <c r="C36" s="37">
        <v>286.85000000000002</v>
      </c>
      <c r="D36" s="37">
        <v>293.45</v>
      </c>
      <c r="E36" s="37">
        <v>288.2</v>
      </c>
      <c r="F36" s="37">
        <v>284.95</v>
      </c>
      <c r="G36" s="37">
        <v>289.75</v>
      </c>
      <c r="J36" s="37">
        <v>271.85000000000002</v>
      </c>
      <c r="K36" s="37">
        <v>287.5</v>
      </c>
      <c r="L36" s="37">
        <v>287.14999999999998</v>
      </c>
      <c r="M36" s="37">
        <v>289.8</v>
      </c>
      <c r="N36" s="37">
        <v>288.75</v>
      </c>
      <c r="Q36" s="37">
        <v>287.60000000000002</v>
      </c>
      <c r="R36" s="37">
        <v>279.5</v>
      </c>
      <c r="S36" s="37">
        <v>287</v>
      </c>
      <c r="T36" s="37">
        <v>284.89999999999998</v>
      </c>
      <c r="U36" s="37">
        <v>277.5</v>
      </c>
      <c r="X36" s="37">
        <v>286.7</v>
      </c>
      <c r="Y36" s="37">
        <v>276.95</v>
      </c>
      <c r="Z36" s="37">
        <v>284.7</v>
      </c>
      <c r="AA36" s="37">
        <v>290.05</v>
      </c>
      <c r="AB36" s="37">
        <v>290.2</v>
      </c>
      <c r="AE36" s="37">
        <v>289.35000000000002</v>
      </c>
      <c r="AF36" s="37">
        <v>288.7</v>
      </c>
      <c r="AG36" s="37">
        <v>291.10000000000002</v>
      </c>
      <c r="AH36" s="37">
        <v>290.10000000000002</v>
      </c>
      <c r="AI36" s="37">
        <v>286.39999999999998</v>
      </c>
      <c r="AL36" s="37">
        <v>293.10000000000002</v>
      </c>
      <c r="AM36" s="37">
        <v>289.25</v>
      </c>
      <c r="AN36" s="37">
        <v>296.60000000000002</v>
      </c>
      <c r="AO36" s="37">
        <v>295.14999999999998</v>
      </c>
      <c r="AP36" s="37">
        <v>295</v>
      </c>
      <c r="AS36" s="37">
        <v>302.7</v>
      </c>
      <c r="AT36" s="37">
        <v>300.89999999999998</v>
      </c>
      <c r="AU36" s="37">
        <v>296</v>
      </c>
      <c r="AV36" s="37">
        <v>302.95</v>
      </c>
      <c r="AW36" s="37">
        <v>294.60000000000002</v>
      </c>
      <c r="AZ36" s="37">
        <v>294.60000000000002</v>
      </c>
      <c r="BA36" s="37">
        <v>294.60000000000002</v>
      </c>
      <c r="BB36" s="37">
        <v>299.5</v>
      </c>
      <c r="BC36" s="37">
        <v>267.45</v>
      </c>
      <c r="BD36" s="37">
        <v>273.10000000000002</v>
      </c>
      <c r="BG36" s="37">
        <v>273.10000000000002</v>
      </c>
      <c r="BH36" s="37">
        <v>267.95</v>
      </c>
      <c r="BI36" s="37">
        <v>273.85000000000002</v>
      </c>
      <c r="BJ36" s="37">
        <v>273.85000000000002</v>
      </c>
      <c r="BK36" s="37">
        <v>273.85000000000002</v>
      </c>
      <c r="BN36" s="37">
        <v>273.85000000000002</v>
      </c>
      <c r="BO36" s="37">
        <v>266.95</v>
      </c>
      <c r="BP36" s="37">
        <v>266.95</v>
      </c>
      <c r="BQ36" s="37">
        <v>276.8</v>
      </c>
      <c r="BR36" s="37">
        <v>282.2</v>
      </c>
      <c r="BU36" s="37">
        <v>280.2</v>
      </c>
      <c r="BV36" s="37">
        <v>276.25</v>
      </c>
      <c r="BW36" s="37">
        <v>276.05</v>
      </c>
      <c r="BX36" s="37">
        <v>278.89999999999998</v>
      </c>
      <c r="BY36" s="37">
        <v>278.89999999999998</v>
      </c>
      <c r="CB36" s="37">
        <v>277.8</v>
      </c>
      <c r="CC36" s="37">
        <v>279.64999999999998</v>
      </c>
      <c r="CD36" s="37">
        <v>276.25</v>
      </c>
      <c r="CE36" s="37">
        <v>292.89999999999998</v>
      </c>
      <c r="CF36" s="37">
        <v>298.8</v>
      </c>
      <c r="CI36" s="37">
        <v>295.35000000000002</v>
      </c>
      <c r="CJ36" s="37">
        <v>295.2</v>
      </c>
      <c r="CK36" s="37">
        <v>295.75</v>
      </c>
      <c r="CL36" s="37">
        <v>295.10000000000002</v>
      </c>
      <c r="CM36" s="37">
        <v>295.95</v>
      </c>
      <c r="CP36" s="37">
        <v>296.85000000000002</v>
      </c>
      <c r="CQ36" s="37">
        <v>294.25</v>
      </c>
      <c r="CR36" s="37">
        <v>290.3</v>
      </c>
      <c r="CS36" s="37">
        <v>294.14999999999998</v>
      </c>
      <c r="CT36" s="37">
        <v>294.14999999999998</v>
      </c>
      <c r="CW36" s="37">
        <v>284.89999999999998</v>
      </c>
      <c r="CX36" s="37">
        <v>293</v>
      </c>
      <c r="CY36" s="37">
        <v>291.55</v>
      </c>
      <c r="CZ36" s="37">
        <v>285.35000000000002</v>
      </c>
      <c r="DA36" s="37">
        <v>285.89999999999998</v>
      </c>
      <c r="DD36" s="37">
        <v>286.8</v>
      </c>
      <c r="DE36" s="37">
        <v>284.39999999999998</v>
      </c>
      <c r="DF36" s="37">
        <v>278.39999999999998</v>
      </c>
      <c r="DG36" s="37">
        <v>285.39999999999998</v>
      </c>
      <c r="DH36" s="37">
        <v>285.39999999999998</v>
      </c>
      <c r="DK36" s="37">
        <v>282.89999999999998</v>
      </c>
      <c r="DL36" s="37">
        <v>281.60000000000002</v>
      </c>
      <c r="DM36" s="37">
        <v>279.14999999999998</v>
      </c>
      <c r="DN36" s="37">
        <v>278.2</v>
      </c>
      <c r="DO36" s="37">
        <v>271.39999999999998</v>
      </c>
      <c r="DR36" s="37">
        <v>271.39999999999998</v>
      </c>
      <c r="DS36" s="37">
        <v>273.35000000000002</v>
      </c>
      <c r="DT36" s="37">
        <v>262.3</v>
      </c>
      <c r="DU36" s="37">
        <v>260.45</v>
      </c>
      <c r="DV36" s="37">
        <v>269.60000000000002</v>
      </c>
      <c r="DY36" s="37">
        <v>274.35000000000002</v>
      </c>
      <c r="DZ36" s="37">
        <v>272.55</v>
      </c>
      <c r="EA36" s="37">
        <v>274.7</v>
      </c>
      <c r="EB36" s="37">
        <v>271.25</v>
      </c>
      <c r="EC36" s="37">
        <v>272.55</v>
      </c>
      <c r="EF36" s="37">
        <v>273.60000000000002</v>
      </c>
      <c r="EG36" s="37">
        <v>267.2</v>
      </c>
      <c r="EH36" s="37">
        <v>267.75</v>
      </c>
      <c r="EI36" s="37">
        <v>267.3</v>
      </c>
      <c r="EJ36" s="37">
        <v>263.60000000000002</v>
      </c>
      <c r="EM36" s="37">
        <v>263.55</v>
      </c>
      <c r="EN36" s="37">
        <v>261.85000000000002</v>
      </c>
      <c r="EO36" s="37">
        <v>257.3</v>
      </c>
      <c r="EP36" s="37">
        <v>255.85</v>
      </c>
      <c r="EQ36" s="37">
        <v>253.3</v>
      </c>
      <c r="ET36" s="37">
        <v>256.89999999999998</v>
      </c>
      <c r="EU36" s="37">
        <v>241.75</v>
      </c>
      <c r="EV36" s="37">
        <v>243.25</v>
      </c>
      <c r="EW36" s="37">
        <v>243.9</v>
      </c>
      <c r="EX36" s="37">
        <v>248.3</v>
      </c>
      <c r="FA36" s="37">
        <v>248.85</v>
      </c>
      <c r="FB36" s="37">
        <v>244.9</v>
      </c>
      <c r="FC36" s="37">
        <v>244.4</v>
      </c>
      <c r="FD36" s="37">
        <v>244.4</v>
      </c>
      <c r="FE36" s="37">
        <v>251.1</v>
      </c>
      <c r="FH36" s="37">
        <v>237.65</v>
      </c>
      <c r="FI36" s="37">
        <v>243.65</v>
      </c>
      <c r="FJ36" s="37">
        <v>249.4</v>
      </c>
      <c r="FK36" s="37">
        <v>236.15</v>
      </c>
      <c r="FL36" s="37">
        <v>244.2</v>
      </c>
      <c r="FO36" s="37">
        <v>243.15</v>
      </c>
      <c r="FP36" s="37">
        <v>251.6</v>
      </c>
      <c r="FQ36" s="37">
        <v>252.95</v>
      </c>
      <c r="FR36" s="37">
        <v>249.9</v>
      </c>
      <c r="FS36" s="37">
        <v>252.4</v>
      </c>
      <c r="FV36" s="37">
        <v>257.8</v>
      </c>
      <c r="FW36" s="37">
        <v>258</v>
      </c>
      <c r="FX36" s="37">
        <v>252.2</v>
      </c>
      <c r="FY36" s="37">
        <v>260</v>
      </c>
      <c r="FZ36" s="37">
        <v>254.2</v>
      </c>
      <c r="GC36" s="37">
        <v>259.05</v>
      </c>
      <c r="GD36" s="37">
        <v>258.64999999999998</v>
      </c>
      <c r="GE36" s="37">
        <v>244.7</v>
      </c>
      <c r="GF36" s="37">
        <v>257.3</v>
      </c>
      <c r="GG36" s="37">
        <v>256.25</v>
      </c>
      <c r="GJ36" s="37">
        <v>254.7</v>
      </c>
      <c r="GK36" s="37">
        <v>257.14999999999998</v>
      </c>
      <c r="GL36" s="37">
        <v>258</v>
      </c>
      <c r="GM36" s="37">
        <v>253.2</v>
      </c>
      <c r="GN36" s="37">
        <v>254.9</v>
      </c>
      <c r="GQ36" s="37">
        <v>257</v>
      </c>
      <c r="GR36" s="37">
        <v>248.2</v>
      </c>
      <c r="GS36" s="37">
        <v>246.15</v>
      </c>
      <c r="GT36" s="37">
        <v>250.9</v>
      </c>
      <c r="GU36" s="37">
        <v>246.35</v>
      </c>
      <c r="GX36" s="37">
        <v>241</v>
      </c>
      <c r="GY36" s="37">
        <v>243.6</v>
      </c>
      <c r="GZ36" s="37">
        <v>243.5</v>
      </c>
      <c r="HA36" s="37">
        <v>241.4</v>
      </c>
      <c r="HB36" s="37">
        <v>245.05</v>
      </c>
      <c r="HE36" s="37">
        <v>243.85</v>
      </c>
      <c r="HF36" s="37">
        <v>240.1</v>
      </c>
      <c r="HG36" s="37">
        <v>242.1</v>
      </c>
      <c r="HH36" s="37">
        <v>232.4</v>
      </c>
      <c r="HI36" s="37">
        <v>240.2</v>
      </c>
      <c r="HL36" s="37">
        <v>237.7</v>
      </c>
      <c r="HM36" s="37">
        <v>238</v>
      </c>
      <c r="HN36" s="37">
        <v>237.35</v>
      </c>
      <c r="HO36" s="37">
        <v>233.95</v>
      </c>
      <c r="HP36" s="37">
        <v>230.1</v>
      </c>
      <c r="HS36" s="37">
        <v>230.4</v>
      </c>
      <c r="HT36" s="37">
        <v>221.2</v>
      </c>
      <c r="HU36" s="37">
        <v>217.15</v>
      </c>
      <c r="HV36" s="37">
        <v>219.05</v>
      </c>
      <c r="HW36" s="37">
        <v>211.85</v>
      </c>
      <c r="HZ36" s="37">
        <v>215.1</v>
      </c>
      <c r="IA36" s="37">
        <v>214.95</v>
      </c>
      <c r="IB36" s="37">
        <v>205.3</v>
      </c>
      <c r="IC36" s="37">
        <v>199.75</v>
      </c>
      <c r="ID36" s="37">
        <v>199.9</v>
      </c>
      <c r="IG36" s="37">
        <v>199.25</v>
      </c>
      <c r="IH36" s="37">
        <v>202.95</v>
      </c>
      <c r="II36" s="37">
        <v>199.75</v>
      </c>
      <c r="IJ36" s="37">
        <v>199.8</v>
      </c>
      <c r="IK36" s="37">
        <v>199.65</v>
      </c>
      <c r="IN36" s="37">
        <v>199.2</v>
      </c>
      <c r="IO36" s="37">
        <v>201</v>
      </c>
      <c r="IP36" s="37">
        <v>200.35</v>
      </c>
      <c r="IQ36" s="37">
        <v>200.35</v>
      </c>
      <c r="IR36" s="37">
        <v>202.7</v>
      </c>
      <c r="IU36" s="37">
        <v>204.15</v>
      </c>
      <c r="IV36" s="37">
        <v>196.35</v>
      </c>
      <c r="IW36" s="37">
        <v>202</v>
      </c>
      <c r="IX36" s="37">
        <v>204</v>
      </c>
      <c r="IY36" s="37">
        <v>213.7</v>
      </c>
      <c r="JB36" s="37">
        <v>214.9</v>
      </c>
      <c r="JC36" s="37">
        <v>209.85</v>
      </c>
      <c r="JD36" s="37">
        <v>215.4</v>
      </c>
      <c r="JE36" s="37">
        <v>218.65</v>
      </c>
      <c r="JF36" s="37">
        <v>222.1</v>
      </c>
      <c r="JI36" s="37">
        <v>220.8</v>
      </c>
      <c r="JJ36" s="37">
        <v>226.55</v>
      </c>
      <c r="JK36" s="37">
        <v>228.3</v>
      </c>
      <c r="JL36" s="37">
        <v>234.5</v>
      </c>
      <c r="JM36" s="37">
        <v>236.15</v>
      </c>
      <c r="JP36" s="37">
        <v>236.05</v>
      </c>
      <c r="JQ36" s="37">
        <v>238.8</v>
      </c>
      <c r="JR36" s="37">
        <v>233.95</v>
      </c>
      <c r="JS36" s="37">
        <v>239.2</v>
      </c>
      <c r="JT36" s="37">
        <v>239.8</v>
      </c>
      <c r="JW36" s="37">
        <v>238</v>
      </c>
      <c r="JX36" s="37">
        <v>237.8</v>
      </c>
      <c r="JY36" s="37">
        <v>233.05</v>
      </c>
      <c r="JZ36" s="37">
        <v>233.05</v>
      </c>
      <c r="KA36" s="37">
        <v>231.9</v>
      </c>
      <c r="KD36" s="37">
        <v>243.45</v>
      </c>
      <c r="KE36" s="37">
        <v>241.7</v>
      </c>
      <c r="KF36" s="37">
        <v>230.8</v>
      </c>
      <c r="KG36" s="37">
        <v>242.1</v>
      </c>
      <c r="KH36" s="37">
        <v>241.1</v>
      </c>
      <c r="KK36" s="37">
        <v>237.4</v>
      </c>
      <c r="KL36" s="37">
        <v>239.45</v>
      </c>
      <c r="KM36" s="37">
        <v>240.05</v>
      </c>
      <c r="KN36" s="37">
        <v>240.75</v>
      </c>
      <c r="KO36" s="37">
        <v>230</v>
      </c>
      <c r="KR36" s="37">
        <v>241.7</v>
      </c>
      <c r="KS36" s="37">
        <v>237.5</v>
      </c>
      <c r="KT36" s="37">
        <v>232.85</v>
      </c>
      <c r="KU36" s="37">
        <v>232.85</v>
      </c>
      <c r="KV36" s="37">
        <v>234.95</v>
      </c>
      <c r="KY36" s="37">
        <v>240.6</v>
      </c>
      <c r="KZ36" s="37">
        <v>228.5</v>
      </c>
      <c r="LA36" s="37">
        <v>229.5</v>
      </c>
      <c r="LB36" s="37">
        <v>228.25</v>
      </c>
      <c r="LC36" s="37">
        <v>234.65</v>
      </c>
      <c r="LF36" s="37">
        <v>231.75</v>
      </c>
      <c r="LG36" s="37">
        <v>231.25</v>
      </c>
      <c r="LH36" s="37">
        <v>231.25</v>
      </c>
      <c r="LI36" s="37">
        <v>227.95</v>
      </c>
      <c r="LJ36" s="37">
        <v>235.6</v>
      </c>
      <c r="LM36" s="37">
        <v>235.6</v>
      </c>
      <c r="LN36" s="37">
        <v>235.65</v>
      </c>
      <c r="LO36" s="37">
        <v>232.8</v>
      </c>
      <c r="LP36" s="37">
        <v>237.8</v>
      </c>
      <c r="LQ36" s="37">
        <v>232.35</v>
      </c>
      <c r="LT36" s="37">
        <v>241.7</v>
      </c>
      <c r="LU36" s="37">
        <v>244.7</v>
      </c>
      <c r="LV36" s="37">
        <v>241.2</v>
      </c>
      <c r="LW36" s="37">
        <v>239.7</v>
      </c>
      <c r="LX36" s="37">
        <v>248.1</v>
      </c>
      <c r="MA36" s="37">
        <v>249.45</v>
      </c>
      <c r="MB36" s="37">
        <v>246.35</v>
      </c>
      <c r="MC36" s="37">
        <v>240.7</v>
      </c>
      <c r="MD36" s="37">
        <v>243.05</v>
      </c>
      <c r="ME36" s="37">
        <v>247.95</v>
      </c>
      <c r="MH36" s="37">
        <v>249.4</v>
      </c>
      <c r="MI36" s="37">
        <v>250.8</v>
      </c>
      <c r="MJ36" s="37">
        <v>248.65</v>
      </c>
      <c r="MK36" s="37">
        <v>249.4</v>
      </c>
      <c r="ML36" s="37">
        <v>249.15</v>
      </c>
      <c r="MO36" s="37">
        <v>250.35</v>
      </c>
      <c r="MP36" s="37">
        <v>242.8</v>
      </c>
      <c r="MQ36" s="37">
        <v>248.9</v>
      </c>
      <c r="MR36" s="37">
        <v>250.2</v>
      </c>
      <c r="MS36" s="37">
        <v>251.9</v>
      </c>
      <c r="MV36" s="37">
        <v>251.9</v>
      </c>
      <c r="MW36" s="37">
        <v>252.5</v>
      </c>
      <c r="MX36" s="37">
        <v>252.05</v>
      </c>
      <c r="MY36" s="37">
        <v>252.3</v>
      </c>
      <c r="MZ36" s="37">
        <v>252.3</v>
      </c>
    </row>
    <row r="37" spans="1:364" s="40" customFormat="1" x14ac:dyDescent="0.25">
      <c r="A37" s="29" t="s">
        <v>93</v>
      </c>
      <c r="C37" s="40">
        <f>30*9.05</f>
        <v>271.5</v>
      </c>
      <c r="D37" s="40">
        <f>30*9.05</f>
        <v>271.5</v>
      </c>
      <c r="E37" s="40">
        <f>30*9.05</f>
        <v>271.5</v>
      </c>
      <c r="F37" s="40">
        <f>30*9.05</f>
        <v>271.5</v>
      </c>
      <c r="G37" s="40">
        <f>30*9.05</f>
        <v>271.5</v>
      </c>
      <c r="J37" s="40">
        <f>30*9.05</f>
        <v>271.5</v>
      </c>
      <c r="K37" s="40">
        <f>30*9.05</f>
        <v>271.5</v>
      </c>
      <c r="L37" s="40">
        <f>30*9.05</f>
        <v>271.5</v>
      </c>
      <c r="M37" s="40">
        <f>30*9.05</f>
        <v>271.5</v>
      </c>
      <c r="N37" s="40">
        <f>30*8.95</f>
        <v>268.5</v>
      </c>
      <c r="Q37" s="40">
        <f>30*8.9</f>
        <v>267</v>
      </c>
      <c r="R37" s="40">
        <f>30*8.9</f>
        <v>267</v>
      </c>
      <c r="S37" s="40">
        <f>30*8.9</f>
        <v>267</v>
      </c>
      <c r="T37" s="40">
        <f>30*8.9</f>
        <v>267</v>
      </c>
      <c r="U37" s="40">
        <f>30*8.9</f>
        <v>267</v>
      </c>
      <c r="X37" s="40">
        <f>30*8.9</f>
        <v>267</v>
      </c>
      <c r="Y37" s="40">
        <f>30*8.9</f>
        <v>267</v>
      </c>
      <c r="Z37" s="40">
        <f>30*8.9</f>
        <v>267</v>
      </c>
      <c r="AA37" s="40">
        <f>30*8.9</f>
        <v>267</v>
      </c>
      <c r="AB37" s="40">
        <f>30*8.9</f>
        <v>267</v>
      </c>
      <c r="AE37" s="40">
        <f>30*8.9</f>
        <v>267</v>
      </c>
      <c r="AF37" s="40">
        <f>30*8.9</f>
        <v>267</v>
      </c>
      <c r="AG37" s="40">
        <f>30*8.8</f>
        <v>264</v>
      </c>
      <c r="AH37" s="40">
        <f>30*8.8</f>
        <v>264</v>
      </c>
      <c r="AI37" s="40">
        <f>30*8.8</f>
        <v>264</v>
      </c>
      <c r="AL37" s="40">
        <f>30*8.8</f>
        <v>264</v>
      </c>
      <c r="AM37" s="40">
        <f>30*8.8</f>
        <v>264</v>
      </c>
      <c r="AN37" s="40">
        <f>30*8.8</f>
        <v>264</v>
      </c>
      <c r="AO37" s="40">
        <f>30*8.8</f>
        <v>264</v>
      </c>
      <c r="AP37" s="40">
        <f>30*8.8</f>
        <v>264</v>
      </c>
      <c r="AS37" s="40">
        <f>30*8.8</f>
        <v>264</v>
      </c>
      <c r="AT37" s="40">
        <f>30*8.8</f>
        <v>264</v>
      </c>
      <c r="AU37" s="40">
        <f>30*8.8</f>
        <v>264</v>
      </c>
      <c r="AV37" s="40">
        <f>30*8.9</f>
        <v>267</v>
      </c>
      <c r="AW37" s="40">
        <f>30*8.9</f>
        <v>267</v>
      </c>
      <c r="AZ37" s="40">
        <f>30*8.9</f>
        <v>267</v>
      </c>
      <c r="BA37" s="40">
        <f>30*8.9</f>
        <v>267</v>
      </c>
      <c r="BB37" s="40">
        <f>30*8.9</f>
        <v>267</v>
      </c>
      <c r="BC37" s="40">
        <f>30*8.9</f>
        <v>267</v>
      </c>
      <c r="BD37" s="40">
        <f>30*8.9</f>
        <v>267</v>
      </c>
      <c r="BG37" s="40">
        <f>30*8.9</f>
        <v>267</v>
      </c>
      <c r="BH37" s="40">
        <f>30*8.9</f>
        <v>267</v>
      </c>
      <c r="BI37" s="40">
        <f>30*8.9</f>
        <v>267</v>
      </c>
      <c r="BJ37" s="40">
        <f>30*8.8</f>
        <v>264</v>
      </c>
      <c r="BK37" s="40">
        <f>30*8.8</f>
        <v>264</v>
      </c>
      <c r="BN37" s="40">
        <f>30*8.8</f>
        <v>264</v>
      </c>
      <c r="BO37" s="40">
        <f>30*8.8</f>
        <v>264</v>
      </c>
      <c r="BP37" s="40">
        <f>30*8.8</f>
        <v>264</v>
      </c>
      <c r="BQ37" s="40">
        <f>30*8.8</f>
        <v>264</v>
      </c>
      <c r="BR37" s="40">
        <f>30*8.8</f>
        <v>264</v>
      </c>
      <c r="BU37" s="40">
        <f>30*8.8</f>
        <v>264</v>
      </c>
      <c r="BV37" s="40">
        <f>30*8.8</f>
        <v>264</v>
      </c>
      <c r="BW37" s="40">
        <f>30*8.8</f>
        <v>264</v>
      </c>
      <c r="BX37" s="40">
        <f>30*9</f>
        <v>270</v>
      </c>
      <c r="BY37" s="40">
        <f>30*9</f>
        <v>270</v>
      </c>
      <c r="CB37" s="40">
        <f>30*9</f>
        <v>270</v>
      </c>
      <c r="CC37" s="40">
        <f>30*9.1</f>
        <v>273</v>
      </c>
      <c r="CD37" s="40">
        <f>30*9.1</f>
        <v>273</v>
      </c>
      <c r="CE37" s="40">
        <f>30*9.1</f>
        <v>273</v>
      </c>
      <c r="CF37" s="40">
        <f>30*9.1</f>
        <v>273</v>
      </c>
      <c r="CI37" s="40">
        <f>30*9.1</f>
        <v>273</v>
      </c>
      <c r="CJ37" s="40">
        <f>30*9.1</f>
        <v>273</v>
      </c>
      <c r="CK37" s="40">
        <f>30*9.1</f>
        <v>273</v>
      </c>
      <c r="CL37" s="40">
        <f>30*9.1</f>
        <v>273</v>
      </c>
      <c r="CM37" s="40">
        <f>30*9.1</f>
        <v>273</v>
      </c>
      <c r="CP37" s="40">
        <f>30*9.1</f>
        <v>273</v>
      </c>
      <c r="CQ37" s="40">
        <f>30*9.1</f>
        <v>273</v>
      </c>
      <c r="CR37" s="40">
        <f>30*9.1</f>
        <v>273</v>
      </c>
      <c r="CS37" s="40">
        <f>30*9.1</f>
        <v>273</v>
      </c>
      <c r="CT37" s="40">
        <f>30*9.1</f>
        <v>273</v>
      </c>
      <c r="CW37" s="40">
        <f>30*9.25</f>
        <v>277.5</v>
      </c>
      <c r="CX37" s="40">
        <f>30*9.25</f>
        <v>277.5</v>
      </c>
      <c r="CY37" s="40">
        <f>30*9.25</f>
        <v>277.5</v>
      </c>
      <c r="CZ37" s="40">
        <f>30*9.25</f>
        <v>277.5</v>
      </c>
      <c r="DA37" s="40">
        <f>30*9.25</f>
        <v>277.5</v>
      </c>
      <c r="DD37" s="40">
        <f>30*9.25</f>
        <v>277.5</v>
      </c>
      <c r="DE37" s="40">
        <f>30*9.25</f>
        <v>277.5</v>
      </c>
      <c r="DF37" s="40">
        <f>30*9.25</f>
        <v>277.5</v>
      </c>
      <c r="DG37" s="40">
        <f>30*9.25</f>
        <v>277.5</v>
      </c>
      <c r="DH37" s="40">
        <f>30*9.25</f>
        <v>277.5</v>
      </c>
      <c r="DK37" s="40">
        <f>30*9.25</f>
        <v>277.5</v>
      </c>
      <c r="DL37" s="40">
        <f>30*9.25</f>
        <v>277.5</v>
      </c>
      <c r="DM37" s="40">
        <f>30*9.25</f>
        <v>277.5</v>
      </c>
      <c r="DN37" s="40">
        <f>30*9.25</f>
        <v>277.5</v>
      </c>
      <c r="DO37" s="40">
        <f>30*9.25</f>
        <v>277.5</v>
      </c>
      <c r="DR37" s="40">
        <f>30*9.25</f>
        <v>277.5</v>
      </c>
      <c r="DS37" s="40">
        <f>30*9.25</f>
        <v>277.5</v>
      </c>
      <c r="DT37" s="40">
        <f>30*9.25</f>
        <v>277.5</v>
      </c>
      <c r="DU37" s="40">
        <f>30*9.25</f>
        <v>277.5</v>
      </c>
      <c r="DV37" s="40">
        <f>30*9.25</f>
        <v>277.5</v>
      </c>
      <c r="DY37" s="40">
        <f>30*9.25</f>
        <v>277.5</v>
      </c>
      <c r="DZ37" s="40">
        <f>30*9.25</f>
        <v>277.5</v>
      </c>
      <c r="EA37" s="40">
        <f>30*9.25</f>
        <v>277.5</v>
      </c>
      <c r="EB37" s="40">
        <f>30*9.25</f>
        <v>277.5</v>
      </c>
      <c r="EC37" s="40">
        <f>30*9.25</f>
        <v>277.5</v>
      </c>
      <c r="EF37" s="40">
        <f>30*9.25</f>
        <v>277.5</v>
      </c>
      <c r="EG37" s="40">
        <f>30*9.25</f>
        <v>277.5</v>
      </c>
      <c r="EH37" s="40">
        <f>30*9.25</f>
        <v>277.5</v>
      </c>
      <c r="EI37" s="40">
        <f>30*9.2</f>
        <v>276</v>
      </c>
      <c r="EJ37" s="40">
        <f>30*9.2</f>
        <v>276</v>
      </c>
      <c r="EM37" s="40">
        <f>30*9.2</f>
        <v>276</v>
      </c>
      <c r="EN37" s="40">
        <f>30*9.2</f>
        <v>276</v>
      </c>
      <c r="EO37" s="40">
        <f>30*9.2</f>
        <v>276</v>
      </c>
      <c r="EP37" s="40">
        <f>30*9.2</f>
        <v>276</v>
      </c>
      <c r="EQ37" s="40">
        <f>30*9</f>
        <v>270</v>
      </c>
      <c r="ET37" s="40">
        <f>30*9</f>
        <v>270</v>
      </c>
      <c r="EU37" s="40">
        <f>30*9</f>
        <v>270</v>
      </c>
      <c r="EV37" s="40">
        <f>30*8.75</f>
        <v>262.5</v>
      </c>
      <c r="EW37" s="40">
        <f>30*8.75</f>
        <v>262.5</v>
      </c>
      <c r="EX37" s="40">
        <f>30*8.75</f>
        <v>262.5</v>
      </c>
      <c r="FA37" s="40">
        <f>30*8.75</f>
        <v>262.5</v>
      </c>
      <c r="FB37" s="40">
        <f>30*8.75</f>
        <v>262.5</v>
      </c>
      <c r="FC37" s="40">
        <f>30*8.75</f>
        <v>262.5</v>
      </c>
      <c r="FD37" s="40">
        <f>30*8.75</f>
        <v>262.5</v>
      </c>
      <c r="FE37" s="40">
        <f>30*8.75</f>
        <v>262.5</v>
      </c>
      <c r="FH37" s="40">
        <f>30*8.75</f>
        <v>262.5</v>
      </c>
      <c r="FI37" s="40">
        <f>30*8.75</f>
        <v>262.5</v>
      </c>
      <c r="FJ37" s="40">
        <f>30*8.75</f>
        <v>262.5</v>
      </c>
      <c r="FK37" s="40">
        <f>30*8.75</f>
        <v>262.5</v>
      </c>
      <c r="FL37" s="40">
        <f>30*8.75</f>
        <v>262.5</v>
      </c>
      <c r="FO37" s="40">
        <f>30*8.75</f>
        <v>262.5</v>
      </c>
      <c r="FP37" s="40">
        <f>30*8.8</f>
        <v>264</v>
      </c>
      <c r="FQ37" s="40">
        <f>30*8.8</f>
        <v>264</v>
      </c>
      <c r="FR37" s="40">
        <f>30*8.8</f>
        <v>264</v>
      </c>
      <c r="FS37" s="40">
        <f>30*8.85</f>
        <v>265.5</v>
      </c>
      <c r="FV37" s="40">
        <f>30*8.85</f>
        <v>265.5</v>
      </c>
      <c r="FW37" s="40">
        <f>30*8.95</f>
        <v>268.5</v>
      </c>
      <c r="FX37" s="40">
        <f>30*8.95</f>
        <v>268.5</v>
      </c>
      <c r="FY37" s="40">
        <f>30*8.95</f>
        <v>268.5</v>
      </c>
      <c r="FZ37" s="40">
        <f>30*8.95</f>
        <v>268.5</v>
      </c>
      <c r="GC37" s="40">
        <f>30*8.95</f>
        <v>268.5</v>
      </c>
      <c r="GD37" s="40">
        <f>30*8.95</f>
        <v>268.5</v>
      </c>
      <c r="GE37" s="40">
        <f>30*8.95</f>
        <v>268.5</v>
      </c>
      <c r="GF37" s="40">
        <f>30*8.95</f>
        <v>268.5</v>
      </c>
      <c r="GG37" s="40">
        <f>30*8.95</f>
        <v>268.5</v>
      </c>
      <c r="GJ37" s="40">
        <f>30*8.95</f>
        <v>268.5</v>
      </c>
      <c r="GK37" s="40">
        <f>30*8.95</f>
        <v>268.5</v>
      </c>
      <c r="GL37" s="40">
        <f>30*8.95</f>
        <v>268.5</v>
      </c>
      <c r="GM37" s="40">
        <f>30*8.95</f>
        <v>268.5</v>
      </c>
      <c r="GN37" s="40">
        <f>30*8.95</f>
        <v>268.5</v>
      </c>
      <c r="GQ37" s="40">
        <f>30*8.85</f>
        <v>265.5</v>
      </c>
      <c r="GR37" s="40">
        <f>30*8.85</f>
        <v>265.5</v>
      </c>
      <c r="GS37" s="40">
        <f>30*8.75</f>
        <v>262.5</v>
      </c>
      <c r="GT37" s="40">
        <f>30*8.75</f>
        <v>262.5</v>
      </c>
      <c r="GU37" s="40">
        <f>30*8.75</f>
        <v>262.5</v>
      </c>
      <c r="GX37" s="40">
        <f>30*8.75</f>
        <v>262.5</v>
      </c>
      <c r="GY37" s="40">
        <f>30*8.75</f>
        <v>262.5</v>
      </c>
      <c r="GZ37" s="40">
        <f>30*8.75</f>
        <v>262.5</v>
      </c>
      <c r="HA37" s="40">
        <f>30*8.75</f>
        <v>262.5</v>
      </c>
      <c r="HB37" s="40">
        <f>30*8.75</f>
        <v>262.5</v>
      </c>
      <c r="HE37" s="40">
        <f>30*8.75</f>
        <v>262.5</v>
      </c>
      <c r="HF37" s="40">
        <f>30*8.75</f>
        <v>262.5</v>
      </c>
      <c r="HG37" s="40">
        <f>30*8.7</f>
        <v>261</v>
      </c>
      <c r="HH37" s="40">
        <f>30*8.7</f>
        <v>261</v>
      </c>
      <c r="HI37" s="40">
        <f>30*8.7</f>
        <v>261</v>
      </c>
      <c r="HL37" s="40">
        <f>30*8.7</f>
        <v>261</v>
      </c>
      <c r="HM37" s="40">
        <f>30*8.5</f>
        <v>255</v>
      </c>
      <c r="HN37" s="40">
        <f>30*8.5</f>
        <v>255</v>
      </c>
      <c r="HO37" s="40">
        <f>30*8.3</f>
        <v>249.00000000000003</v>
      </c>
      <c r="HP37" s="40">
        <f>30*8.2</f>
        <v>245.99999999999997</v>
      </c>
      <c r="HS37" s="40">
        <f>30*8.2</f>
        <v>245.99999999999997</v>
      </c>
      <c r="HT37" s="40">
        <f>30*8.2</f>
        <v>245.99999999999997</v>
      </c>
      <c r="HU37" s="40">
        <f>30*8.1</f>
        <v>243</v>
      </c>
      <c r="HV37" s="40">
        <f>30*8.1</f>
        <v>243</v>
      </c>
      <c r="HW37" s="40">
        <f>30*7.6</f>
        <v>228</v>
      </c>
      <c r="HZ37" s="40">
        <f>30*7.6</f>
        <v>228</v>
      </c>
      <c r="IA37" s="40">
        <f>30*7.5</f>
        <v>225</v>
      </c>
      <c r="IB37" s="40">
        <f>30*7.5</f>
        <v>225</v>
      </c>
      <c r="IC37" s="40">
        <f>30*7.5</f>
        <v>225</v>
      </c>
      <c r="ID37" s="40">
        <f>30*7</f>
        <v>210</v>
      </c>
      <c r="IG37" s="40">
        <f>30*6.95</f>
        <v>208.5</v>
      </c>
      <c r="IH37" s="40">
        <f>30*6.95</f>
        <v>208.5</v>
      </c>
      <c r="II37" s="40">
        <f>30*6.95</f>
        <v>208.5</v>
      </c>
      <c r="IJ37" s="40">
        <f>30*6.95</f>
        <v>208.5</v>
      </c>
      <c r="IK37" s="40">
        <f>30*6.95</f>
        <v>208.5</v>
      </c>
      <c r="IN37" s="40">
        <f>30*6.85</f>
        <v>205.5</v>
      </c>
      <c r="IO37" s="40">
        <f>30*6.85</f>
        <v>205.5</v>
      </c>
      <c r="IP37" s="40">
        <f>30*6.85</f>
        <v>205.5</v>
      </c>
      <c r="IQ37" s="40">
        <f>30*6.85</f>
        <v>205.5</v>
      </c>
      <c r="IR37" s="40">
        <f>30*6.85</f>
        <v>205.5</v>
      </c>
      <c r="IU37" s="40">
        <f>30*6.85</f>
        <v>205.5</v>
      </c>
      <c r="IV37" s="40">
        <f>30*6.85</f>
        <v>205.5</v>
      </c>
      <c r="IW37" s="40">
        <f>30*6.85</f>
        <v>205.5</v>
      </c>
      <c r="IX37" s="40">
        <f>30*6.85</f>
        <v>205.5</v>
      </c>
      <c r="IY37" s="40">
        <f>30*6.85</f>
        <v>205.5</v>
      </c>
      <c r="JB37" s="40">
        <f>30*6.85</f>
        <v>205.5</v>
      </c>
      <c r="JC37" s="40">
        <f>30*6.85</f>
        <v>205.5</v>
      </c>
      <c r="JD37" s="40">
        <f>30*6.85</f>
        <v>205.5</v>
      </c>
      <c r="JE37" s="40">
        <f>30*6.85</f>
        <v>205.5</v>
      </c>
      <c r="JF37" s="40">
        <f>30*6.85</f>
        <v>205.5</v>
      </c>
      <c r="JI37" s="40">
        <f>30*6.85</f>
        <v>205.5</v>
      </c>
      <c r="JJ37" s="40">
        <f>30*6.85</f>
        <v>205.5</v>
      </c>
      <c r="JK37" s="40">
        <f>30*6.85</f>
        <v>205.5</v>
      </c>
      <c r="JL37" s="40">
        <f>30*6.85</f>
        <v>205.5</v>
      </c>
      <c r="JM37" s="40">
        <f>30*6.85</f>
        <v>205.5</v>
      </c>
      <c r="JP37" s="40">
        <f>30*6.85</f>
        <v>205.5</v>
      </c>
      <c r="JQ37" s="40">
        <f>30*6.85</f>
        <v>205.5</v>
      </c>
      <c r="JR37" s="40">
        <f>30*7.05</f>
        <v>211.5</v>
      </c>
      <c r="JS37" s="40">
        <f>30*7.05</f>
        <v>211.5</v>
      </c>
      <c r="JT37" s="40">
        <f>30*7.05</f>
        <v>211.5</v>
      </c>
      <c r="JW37" s="40">
        <f>30*7.15</f>
        <v>214.5</v>
      </c>
      <c r="JX37" s="40">
        <f>30*7.35</f>
        <v>220.5</v>
      </c>
      <c r="JY37" s="40">
        <f>30*7.35</f>
        <v>220.5</v>
      </c>
      <c r="JZ37" s="40">
        <f>30*7.35</f>
        <v>220.5</v>
      </c>
      <c r="KA37" s="40">
        <f>30*7.35</f>
        <v>220.5</v>
      </c>
      <c r="KD37" s="40">
        <f>30*7.5</f>
        <v>225</v>
      </c>
      <c r="KE37" s="40">
        <f>30*7.5</f>
        <v>225</v>
      </c>
      <c r="KF37" s="40">
        <f>30*7.5</f>
        <v>225</v>
      </c>
      <c r="KG37" s="40">
        <f>30*7.5</f>
        <v>225</v>
      </c>
      <c r="KH37" s="40">
        <f>30*7.5</f>
        <v>225</v>
      </c>
      <c r="KK37" s="40">
        <f>30*7.5</f>
        <v>225</v>
      </c>
      <c r="KL37" s="40">
        <f>30*7.5</f>
        <v>225</v>
      </c>
      <c r="KM37" s="40">
        <f>30*7.5</f>
        <v>225</v>
      </c>
      <c r="KN37" s="40">
        <f>30*7.5</f>
        <v>225</v>
      </c>
      <c r="KO37" s="40">
        <f>30*7.5</f>
        <v>225</v>
      </c>
      <c r="KR37" s="40">
        <f>30*7.5</f>
        <v>225</v>
      </c>
      <c r="KS37" s="40">
        <f>30*7.45</f>
        <v>223.5</v>
      </c>
      <c r="KT37" s="40">
        <f>30*7.45</f>
        <v>223.5</v>
      </c>
      <c r="KU37" s="40">
        <f>30*7.45</f>
        <v>223.5</v>
      </c>
      <c r="KV37" s="40">
        <f>30*7.45</f>
        <v>223.5</v>
      </c>
      <c r="KY37" s="40">
        <f>30*7.45</f>
        <v>223.5</v>
      </c>
      <c r="KZ37" s="40">
        <f>30*7.45</f>
        <v>223.5</v>
      </c>
      <c r="LA37" s="40">
        <f>30*7.4</f>
        <v>222</v>
      </c>
      <c r="LB37" s="40">
        <f>30*7.4</f>
        <v>222</v>
      </c>
      <c r="LC37" s="40">
        <f>30*7.4</f>
        <v>222</v>
      </c>
      <c r="LF37" s="40">
        <f>30*7.4</f>
        <v>222</v>
      </c>
      <c r="LG37" s="40">
        <f>30*7.35</f>
        <v>220.5</v>
      </c>
      <c r="LH37" s="40">
        <f>30*7.35</f>
        <v>220.5</v>
      </c>
      <c r="LI37" s="40">
        <f>30*7.35</f>
        <v>220.5</v>
      </c>
      <c r="LJ37" s="40">
        <f>30*7.35</f>
        <v>220.5</v>
      </c>
      <c r="LM37" s="40">
        <f>30*7.4</f>
        <v>222</v>
      </c>
      <c r="LN37" s="40">
        <f>30*7.4</f>
        <v>222</v>
      </c>
      <c r="LO37" s="40">
        <f>30*7.4</f>
        <v>222</v>
      </c>
      <c r="LP37" s="40">
        <f>30*7.4</f>
        <v>222</v>
      </c>
      <c r="LQ37" s="40">
        <f>30*7.45</f>
        <v>223.5</v>
      </c>
      <c r="LT37" s="40">
        <f>30*7.45</f>
        <v>223.5</v>
      </c>
      <c r="LU37" s="40">
        <f>30*7.45</f>
        <v>223.5</v>
      </c>
      <c r="LV37" s="40">
        <f>30*7.45</f>
        <v>223.5</v>
      </c>
      <c r="LW37" s="40">
        <f>30*7.45</f>
        <v>223.5</v>
      </c>
      <c r="LX37" s="40">
        <f>30*7.45</f>
        <v>223.5</v>
      </c>
      <c r="MA37" s="40">
        <f>30*7.45</f>
        <v>223.5</v>
      </c>
      <c r="MB37" s="40">
        <f>30*7.6</f>
        <v>228</v>
      </c>
      <c r="MC37" s="40">
        <f>30*7.9</f>
        <v>237</v>
      </c>
      <c r="MD37" s="40">
        <f>30*7.9</f>
        <v>237</v>
      </c>
      <c r="ME37" s="40">
        <f>30*7.9</f>
        <v>237</v>
      </c>
      <c r="MH37" s="40">
        <f>30*7.9</f>
        <v>237</v>
      </c>
      <c r="MI37" s="40">
        <f>30*8</f>
        <v>240</v>
      </c>
      <c r="MJ37" s="40">
        <f>30*8</f>
        <v>240</v>
      </c>
      <c r="MK37" s="40">
        <f>30*8</f>
        <v>240</v>
      </c>
      <c r="ML37" s="40">
        <f>30*8</f>
        <v>240</v>
      </c>
      <c r="MO37" s="40">
        <f>30*8</f>
        <v>240</v>
      </c>
      <c r="MP37" s="40">
        <f>30*8</f>
        <v>240</v>
      </c>
      <c r="MQ37" s="40">
        <f>30*8</f>
        <v>240</v>
      </c>
      <c r="MR37" s="40">
        <f>30*8</f>
        <v>240</v>
      </c>
      <c r="MS37" s="40">
        <f>30*8</f>
        <v>240</v>
      </c>
      <c r="MV37" s="40">
        <f>30*8</f>
        <v>240</v>
      </c>
      <c r="MW37" s="40">
        <f>30*8</f>
        <v>240</v>
      </c>
      <c r="MX37" s="40">
        <f>30*8</f>
        <v>240</v>
      </c>
      <c r="MY37" s="40">
        <f>30*8</f>
        <v>240</v>
      </c>
      <c r="MZ37" s="40">
        <v>240</v>
      </c>
    </row>
    <row r="38" spans="1:364" s="37" customFormat="1" x14ac:dyDescent="0.25">
      <c r="A38" s="21" t="s">
        <v>94</v>
      </c>
      <c r="C38" s="37">
        <v>6300</v>
      </c>
      <c r="D38" s="37">
        <v>6300</v>
      </c>
      <c r="E38" s="37">
        <v>6300</v>
      </c>
      <c r="F38" s="37">
        <v>6300</v>
      </c>
      <c r="G38" s="37">
        <v>6300</v>
      </c>
      <c r="J38" s="37">
        <v>6300</v>
      </c>
      <c r="K38" s="37">
        <v>6300</v>
      </c>
      <c r="L38" s="37">
        <v>6300</v>
      </c>
      <c r="M38" s="37">
        <v>5750</v>
      </c>
      <c r="N38" s="37">
        <v>5750</v>
      </c>
      <c r="Q38" s="37">
        <v>5750</v>
      </c>
      <c r="R38" s="37">
        <v>5750</v>
      </c>
      <c r="S38" s="37">
        <v>5750</v>
      </c>
      <c r="T38" s="37">
        <v>5750</v>
      </c>
      <c r="U38" s="37">
        <v>5750</v>
      </c>
      <c r="X38" s="37">
        <v>5750</v>
      </c>
      <c r="Y38" s="37">
        <v>5750</v>
      </c>
      <c r="Z38" s="37">
        <v>5750</v>
      </c>
      <c r="AA38" s="37">
        <v>5750</v>
      </c>
      <c r="AB38" s="37">
        <v>5750</v>
      </c>
      <c r="AE38" s="37">
        <v>5750</v>
      </c>
      <c r="AF38" s="37">
        <v>5750</v>
      </c>
      <c r="AG38" s="37">
        <v>5750</v>
      </c>
      <c r="AH38" s="37">
        <v>5750</v>
      </c>
      <c r="AI38" s="37">
        <v>5750</v>
      </c>
      <c r="AL38" s="37">
        <v>5800</v>
      </c>
      <c r="AM38" s="37">
        <v>5800</v>
      </c>
      <c r="AN38" s="37">
        <v>5800</v>
      </c>
      <c r="AO38" s="37">
        <v>5800</v>
      </c>
      <c r="AP38" s="37">
        <v>5800</v>
      </c>
      <c r="AS38" s="37">
        <v>5800</v>
      </c>
      <c r="AT38" s="37">
        <v>5800</v>
      </c>
      <c r="AU38" s="37">
        <v>5800</v>
      </c>
      <c r="AV38" s="37">
        <v>5800</v>
      </c>
      <c r="AW38" s="37">
        <v>5800</v>
      </c>
      <c r="AZ38" s="37">
        <v>5800</v>
      </c>
      <c r="BA38" s="37">
        <v>5800</v>
      </c>
      <c r="BB38" s="37">
        <v>5800</v>
      </c>
      <c r="BC38" s="37">
        <v>5800</v>
      </c>
      <c r="BD38" s="37">
        <v>5800</v>
      </c>
      <c r="BG38" s="37">
        <v>5800</v>
      </c>
      <c r="BH38" s="37">
        <v>5800</v>
      </c>
      <c r="BI38" s="37">
        <v>5800</v>
      </c>
      <c r="BJ38" s="37">
        <v>5800</v>
      </c>
      <c r="BK38" s="37">
        <v>5800</v>
      </c>
      <c r="BN38" s="37">
        <v>5800</v>
      </c>
      <c r="BO38" s="37">
        <v>5800</v>
      </c>
      <c r="BP38" s="37">
        <v>5800</v>
      </c>
      <c r="BQ38" s="37">
        <v>5800</v>
      </c>
      <c r="BR38" s="37">
        <v>6000</v>
      </c>
      <c r="BU38" s="37">
        <v>6000</v>
      </c>
      <c r="BV38" s="37">
        <v>6000</v>
      </c>
      <c r="BW38" s="37">
        <v>6000</v>
      </c>
      <c r="BX38" s="37">
        <v>6000</v>
      </c>
      <c r="BY38" s="37">
        <v>6000</v>
      </c>
      <c r="CB38" s="37">
        <v>6000</v>
      </c>
      <c r="CC38" s="37">
        <v>6000</v>
      </c>
      <c r="CD38" s="37">
        <v>6000</v>
      </c>
      <c r="CE38" s="37">
        <v>6000</v>
      </c>
      <c r="CF38" s="37">
        <v>6000</v>
      </c>
      <c r="CI38" s="37">
        <v>6000</v>
      </c>
      <c r="CJ38" s="37">
        <v>6000</v>
      </c>
      <c r="CK38" s="37">
        <v>6000</v>
      </c>
      <c r="CL38" s="37">
        <v>6000</v>
      </c>
      <c r="CM38" s="37">
        <v>6000</v>
      </c>
      <c r="CP38" s="37">
        <v>6000</v>
      </c>
      <c r="CQ38" s="37">
        <v>5900</v>
      </c>
      <c r="CR38" s="37">
        <v>5900</v>
      </c>
      <c r="CS38" s="37">
        <v>5900</v>
      </c>
      <c r="CT38" s="37">
        <v>5900</v>
      </c>
      <c r="CW38" s="37">
        <v>5900</v>
      </c>
      <c r="CX38" s="37">
        <v>5900</v>
      </c>
      <c r="CY38" s="37">
        <v>5900</v>
      </c>
      <c r="CZ38" s="37">
        <v>5900</v>
      </c>
      <c r="DA38" s="37">
        <v>5900</v>
      </c>
      <c r="DD38" s="37">
        <v>5700</v>
      </c>
      <c r="DE38" s="37">
        <v>5700</v>
      </c>
      <c r="DF38" s="37">
        <v>5400</v>
      </c>
      <c r="DG38" s="37">
        <v>5400</v>
      </c>
      <c r="DH38" s="37">
        <v>5400</v>
      </c>
      <c r="DK38" s="37">
        <v>5300</v>
      </c>
      <c r="DL38" s="37">
        <v>5300</v>
      </c>
      <c r="DM38" s="37">
        <v>5200</v>
      </c>
      <c r="DN38" s="37">
        <v>5100</v>
      </c>
      <c r="DO38" s="37">
        <v>5100</v>
      </c>
      <c r="DR38" s="37">
        <v>5100</v>
      </c>
      <c r="DS38" s="37">
        <v>5000</v>
      </c>
      <c r="DT38" s="37">
        <v>5000</v>
      </c>
      <c r="DU38" s="37">
        <v>5000</v>
      </c>
      <c r="DV38" s="37">
        <v>4800</v>
      </c>
      <c r="DY38" s="37">
        <v>4800</v>
      </c>
      <c r="DZ38" s="37">
        <v>4800</v>
      </c>
      <c r="EA38" s="37">
        <v>4800</v>
      </c>
      <c r="EB38" s="37">
        <v>4800</v>
      </c>
      <c r="EC38" s="37">
        <v>4700</v>
      </c>
      <c r="EF38" s="37">
        <v>4700</v>
      </c>
      <c r="EG38" s="37">
        <v>4700</v>
      </c>
      <c r="EH38" s="37">
        <v>4700</v>
      </c>
      <c r="EI38" s="37">
        <v>4600</v>
      </c>
      <c r="EJ38" s="37">
        <v>4600</v>
      </c>
      <c r="EM38" s="37">
        <v>4600</v>
      </c>
      <c r="EN38" s="37">
        <v>4600</v>
      </c>
      <c r="EO38" s="37">
        <v>4600</v>
      </c>
      <c r="EP38" s="37">
        <v>4600</v>
      </c>
      <c r="EQ38" s="37">
        <v>4300</v>
      </c>
      <c r="ET38" s="37">
        <v>4300</v>
      </c>
      <c r="EU38" s="37">
        <v>4300</v>
      </c>
      <c r="EV38" s="37">
        <v>4300</v>
      </c>
      <c r="EW38" s="37">
        <v>4300</v>
      </c>
      <c r="EX38" s="37">
        <v>4300</v>
      </c>
      <c r="FA38" s="37">
        <v>4100</v>
      </c>
      <c r="FB38" s="37">
        <v>4100</v>
      </c>
      <c r="FC38" s="37">
        <v>4100</v>
      </c>
      <c r="FD38" s="37">
        <v>4100</v>
      </c>
      <c r="FE38" s="37">
        <v>4100</v>
      </c>
      <c r="FH38" s="37">
        <v>4100</v>
      </c>
      <c r="FI38" s="37">
        <v>4100</v>
      </c>
      <c r="FJ38" s="37">
        <v>4100</v>
      </c>
      <c r="FK38" s="37">
        <v>4100</v>
      </c>
      <c r="FL38" s="37">
        <v>4300</v>
      </c>
      <c r="FO38" s="37">
        <v>4300</v>
      </c>
      <c r="FP38" s="37">
        <v>4300</v>
      </c>
      <c r="FQ38" s="37">
        <v>4300</v>
      </c>
      <c r="FR38" s="37">
        <v>4300</v>
      </c>
      <c r="FS38" s="37">
        <v>4300</v>
      </c>
      <c r="FV38" s="37">
        <v>4300</v>
      </c>
      <c r="FW38" s="37">
        <v>4300</v>
      </c>
      <c r="FX38" s="37">
        <v>4300</v>
      </c>
      <c r="FY38" s="37">
        <v>4300</v>
      </c>
      <c r="FZ38" s="37">
        <v>4500</v>
      </c>
      <c r="GC38" s="37">
        <v>4500</v>
      </c>
      <c r="GD38" s="37">
        <v>4500</v>
      </c>
      <c r="GE38" s="37">
        <v>4500</v>
      </c>
      <c r="GF38" s="37">
        <v>4500</v>
      </c>
      <c r="GG38" s="37">
        <v>4500</v>
      </c>
      <c r="GJ38" s="37">
        <v>4500</v>
      </c>
      <c r="GK38" s="37">
        <v>4500</v>
      </c>
      <c r="GL38" s="37">
        <v>4500</v>
      </c>
      <c r="GM38" s="37">
        <v>4500</v>
      </c>
      <c r="GN38" s="37">
        <v>4500</v>
      </c>
      <c r="GQ38" s="37">
        <v>4600</v>
      </c>
      <c r="GR38" s="37">
        <v>4600</v>
      </c>
      <c r="GS38" s="37">
        <v>4600</v>
      </c>
      <c r="GT38" s="37">
        <v>4600</v>
      </c>
      <c r="GU38" s="37">
        <v>4600</v>
      </c>
      <c r="GX38" s="37">
        <v>4600</v>
      </c>
      <c r="GY38" s="37">
        <v>4600</v>
      </c>
      <c r="GZ38" s="37">
        <v>4600</v>
      </c>
      <c r="HA38" s="37">
        <v>4600</v>
      </c>
      <c r="HB38" s="37">
        <v>4600</v>
      </c>
      <c r="HE38" s="37">
        <v>4600</v>
      </c>
      <c r="HF38" s="37">
        <v>4600</v>
      </c>
      <c r="HG38" s="37">
        <v>4600</v>
      </c>
      <c r="HH38" s="37">
        <v>4600</v>
      </c>
      <c r="HI38" s="37">
        <v>4600</v>
      </c>
      <c r="HL38" s="37">
        <v>4600</v>
      </c>
      <c r="HM38" s="37">
        <v>4600</v>
      </c>
      <c r="HN38" s="37">
        <v>4600</v>
      </c>
      <c r="HO38" s="37">
        <v>4600</v>
      </c>
      <c r="HP38" s="37">
        <v>4600</v>
      </c>
      <c r="HS38" s="37">
        <v>4600</v>
      </c>
      <c r="HT38" s="37">
        <v>4600</v>
      </c>
      <c r="HU38" s="37">
        <v>4700</v>
      </c>
      <c r="HV38" s="37">
        <v>4700</v>
      </c>
      <c r="HW38" s="37">
        <v>4700</v>
      </c>
      <c r="HZ38" s="37">
        <v>4700</v>
      </c>
      <c r="IA38" s="37">
        <v>4900</v>
      </c>
      <c r="IB38" s="37">
        <v>4900</v>
      </c>
      <c r="IC38" s="37">
        <v>4900</v>
      </c>
      <c r="ID38" s="37">
        <v>4900</v>
      </c>
      <c r="IG38" s="37">
        <v>4900</v>
      </c>
      <c r="IH38" s="37">
        <v>4900</v>
      </c>
      <c r="II38" s="37">
        <v>4900</v>
      </c>
      <c r="IJ38" s="37">
        <v>4900</v>
      </c>
      <c r="IK38" s="37">
        <v>4900</v>
      </c>
      <c r="IN38" s="37">
        <v>4900</v>
      </c>
      <c r="IO38" s="37">
        <v>4900</v>
      </c>
      <c r="IP38" s="37">
        <v>4900</v>
      </c>
      <c r="IQ38" s="37">
        <v>4900</v>
      </c>
      <c r="IR38" s="37">
        <v>5000</v>
      </c>
      <c r="IU38" s="37">
        <v>5000</v>
      </c>
      <c r="IV38" s="37">
        <v>5000</v>
      </c>
      <c r="IW38" s="37">
        <v>5100</v>
      </c>
      <c r="IX38" s="37">
        <v>5100</v>
      </c>
      <c r="IY38" s="37">
        <v>5100</v>
      </c>
      <c r="JB38" s="37">
        <v>5100</v>
      </c>
      <c r="JC38" s="37">
        <v>5100</v>
      </c>
      <c r="JD38" s="37">
        <v>5100</v>
      </c>
      <c r="JE38" s="37">
        <v>5100</v>
      </c>
      <c r="JF38" s="37">
        <v>5100</v>
      </c>
      <c r="JI38" s="37">
        <v>5100</v>
      </c>
      <c r="JJ38" s="37">
        <v>5100</v>
      </c>
      <c r="JK38" s="37">
        <v>5100</v>
      </c>
      <c r="JL38" s="37">
        <v>5100</v>
      </c>
      <c r="JM38" s="37">
        <v>5100</v>
      </c>
      <c r="JP38" s="37">
        <v>5150</v>
      </c>
      <c r="JQ38" s="37">
        <v>5150</v>
      </c>
      <c r="JR38" s="37">
        <v>5150</v>
      </c>
      <c r="JS38" s="37">
        <v>5150</v>
      </c>
      <c r="JT38" s="37">
        <v>5150</v>
      </c>
      <c r="JW38" s="37">
        <v>5150</v>
      </c>
      <c r="JX38" s="37">
        <v>5150</v>
      </c>
      <c r="JY38" s="37">
        <v>5150</v>
      </c>
      <c r="JZ38" s="37">
        <v>5150</v>
      </c>
      <c r="KA38" s="37">
        <v>5150</v>
      </c>
      <c r="KD38" s="37">
        <v>5150</v>
      </c>
      <c r="KE38" s="37">
        <v>5150</v>
      </c>
      <c r="KF38" s="37">
        <v>5150</v>
      </c>
      <c r="KG38" s="37">
        <v>5150</v>
      </c>
      <c r="KH38" s="37">
        <v>5150</v>
      </c>
      <c r="KK38" s="37">
        <v>5150</v>
      </c>
      <c r="KL38" s="37">
        <v>5050</v>
      </c>
      <c r="KM38" s="37">
        <v>5050</v>
      </c>
      <c r="KN38" s="37">
        <v>5050</v>
      </c>
      <c r="KO38" s="37">
        <v>5050</v>
      </c>
      <c r="KR38" s="37">
        <v>5050</v>
      </c>
      <c r="KS38" s="37">
        <v>5050</v>
      </c>
      <c r="KT38" s="37">
        <v>5050</v>
      </c>
      <c r="KU38" s="37">
        <v>5050</v>
      </c>
      <c r="KV38" s="37">
        <v>5050</v>
      </c>
      <c r="KY38" s="37">
        <v>5050</v>
      </c>
      <c r="KZ38" s="37">
        <v>5050</v>
      </c>
      <c r="LA38" s="37">
        <v>5050</v>
      </c>
      <c r="LB38" s="37">
        <v>5050</v>
      </c>
      <c r="LC38" s="37">
        <v>5050</v>
      </c>
      <c r="LF38" s="37">
        <v>5050</v>
      </c>
      <c r="LG38" s="37">
        <v>5100</v>
      </c>
      <c r="LH38" s="37">
        <v>5100</v>
      </c>
      <c r="LI38" s="37">
        <v>5000</v>
      </c>
      <c r="LJ38" s="37">
        <v>5000</v>
      </c>
      <c r="LM38" s="37">
        <v>5000</v>
      </c>
      <c r="LN38" s="37">
        <v>5000</v>
      </c>
      <c r="LO38" s="37">
        <v>5000</v>
      </c>
      <c r="LP38" s="37">
        <v>5000</v>
      </c>
      <c r="LQ38" s="37">
        <v>5000</v>
      </c>
      <c r="LT38" s="37">
        <v>5000</v>
      </c>
      <c r="LU38" s="37">
        <v>5000</v>
      </c>
      <c r="LV38" s="37">
        <v>5000</v>
      </c>
      <c r="LW38" s="37">
        <v>5000</v>
      </c>
      <c r="LX38" s="37">
        <v>5000</v>
      </c>
      <c r="MA38" s="37">
        <v>5000</v>
      </c>
      <c r="MB38" s="37">
        <v>5000</v>
      </c>
      <c r="MC38" s="37">
        <v>5000</v>
      </c>
      <c r="MD38" s="37">
        <v>5000</v>
      </c>
      <c r="ME38" s="37">
        <v>5000</v>
      </c>
      <c r="MH38" s="37">
        <v>5000</v>
      </c>
      <c r="MI38" s="37">
        <v>5000</v>
      </c>
      <c r="MJ38" s="37">
        <v>5000</v>
      </c>
      <c r="MK38" s="37">
        <v>5000</v>
      </c>
      <c r="ML38" s="37">
        <v>5000</v>
      </c>
      <c r="MO38" s="37">
        <v>5000</v>
      </c>
      <c r="MP38" s="37">
        <v>5000</v>
      </c>
      <c r="MQ38" s="37">
        <v>5050</v>
      </c>
      <c r="MR38" s="37">
        <v>5050</v>
      </c>
      <c r="MS38" s="37">
        <v>5050</v>
      </c>
      <c r="MV38" s="37">
        <v>5050</v>
      </c>
      <c r="MW38" s="37">
        <v>5050</v>
      </c>
      <c r="MX38" s="37">
        <v>5050</v>
      </c>
      <c r="MY38" s="37">
        <v>5050</v>
      </c>
      <c r="MZ38" s="37">
        <v>5050</v>
      </c>
    </row>
    <row r="39" spans="1:364" s="40" customFormat="1" x14ac:dyDescent="0.25">
      <c r="A39" s="31" t="s">
        <v>181</v>
      </c>
      <c r="C39" s="40">
        <v>240</v>
      </c>
      <c r="D39" s="40">
        <v>240</v>
      </c>
      <c r="E39" s="40">
        <v>240</v>
      </c>
      <c r="F39" s="40">
        <v>240</v>
      </c>
      <c r="G39" s="40">
        <v>240</v>
      </c>
      <c r="J39" s="40">
        <v>242</v>
      </c>
      <c r="K39" s="40">
        <v>240</v>
      </c>
      <c r="L39" s="40">
        <v>240</v>
      </c>
      <c r="M39" s="40">
        <v>240</v>
      </c>
      <c r="N39" s="40">
        <v>240</v>
      </c>
      <c r="Q39" s="40">
        <v>240</v>
      </c>
      <c r="R39" s="40">
        <v>239</v>
      </c>
      <c r="S39" s="40">
        <v>237</v>
      </c>
      <c r="T39" s="40">
        <v>237</v>
      </c>
      <c r="U39" s="40">
        <v>237</v>
      </c>
      <c r="X39" s="40">
        <v>237</v>
      </c>
      <c r="Y39" s="40">
        <v>237</v>
      </c>
      <c r="Z39" s="40">
        <v>237</v>
      </c>
      <c r="AA39" s="40">
        <v>233</v>
      </c>
      <c r="AB39" s="40">
        <v>232</v>
      </c>
      <c r="AE39" s="40">
        <v>232</v>
      </c>
      <c r="AF39" s="40">
        <v>232</v>
      </c>
      <c r="AG39" s="40">
        <v>232</v>
      </c>
      <c r="AH39" s="40">
        <v>232</v>
      </c>
      <c r="AI39" s="40">
        <v>232</v>
      </c>
      <c r="AL39" s="40">
        <v>232</v>
      </c>
      <c r="AM39" s="40">
        <v>232</v>
      </c>
      <c r="AN39" s="40">
        <v>232</v>
      </c>
      <c r="AO39" s="40">
        <v>232</v>
      </c>
      <c r="AP39" s="40">
        <v>232</v>
      </c>
      <c r="AS39" s="40">
        <v>232</v>
      </c>
      <c r="AT39" s="40">
        <v>232</v>
      </c>
      <c r="AU39" s="40">
        <v>232</v>
      </c>
      <c r="AV39" s="40">
        <v>232</v>
      </c>
      <c r="AW39" s="40">
        <v>232</v>
      </c>
      <c r="AZ39" s="40">
        <v>232</v>
      </c>
      <c r="BA39" s="40">
        <v>232</v>
      </c>
      <c r="BB39" s="40">
        <v>232</v>
      </c>
      <c r="BC39" s="40">
        <v>222</v>
      </c>
      <c r="BD39" s="40">
        <v>222</v>
      </c>
      <c r="BG39" s="40">
        <v>222</v>
      </c>
      <c r="BH39" s="40">
        <v>222</v>
      </c>
      <c r="BI39" s="40">
        <v>222</v>
      </c>
      <c r="BJ39" s="40">
        <v>222</v>
      </c>
      <c r="BK39" s="40">
        <v>222</v>
      </c>
      <c r="BN39" s="40">
        <v>222</v>
      </c>
      <c r="BO39" s="40">
        <v>222</v>
      </c>
      <c r="BP39" s="40">
        <v>222</v>
      </c>
      <c r="BQ39" s="40">
        <v>225</v>
      </c>
      <c r="BR39" s="40">
        <v>225</v>
      </c>
      <c r="BU39" s="40">
        <v>225</v>
      </c>
      <c r="BV39" s="40">
        <v>225</v>
      </c>
      <c r="BW39" s="40">
        <v>227</v>
      </c>
      <c r="BX39" s="40">
        <v>227</v>
      </c>
      <c r="BY39" s="40">
        <v>227</v>
      </c>
      <c r="CB39" s="40">
        <v>227</v>
      </c>
      <c r="CC39" s="40">
        <v>227</v>
      </c>
      <c r="CD39" s="40">
        <v>227</v>
      </c>
      <c r="CE39" s="40">
        <v>230</v>
      </c>
      <c r="CF39" s="40">
        <v>230</v>
      </c>
      <c r="CI39" s="40">
        <v>230</v>
      </c>
      <c r="CJ39" s="40">
        <v>230</v>
      </c>
      <c r="CK39" s="40">
        <v>230</v>
      </c>
      <c r="CL39" s="40">
        <v>230</v>
      </c>
      <c r="CM39" s="40">
        <v>235</v>
      </c>
      <c r="CP39" s="40">
        <v>235</v>
      </c>
      <c r="CQ39" s="40">
        <v>235</v>
      </c>
      <c r="CR39" s="40">
        <v>235</v>
      </c>
      <c r="CS39" s="40">
        <v>235</v>
      </c>
      <c r="CT39" s="40">
        <v>235</v>
      </c>
      <c r="CW39" s="40">
        <v>235</v>
      </c>
      <c r="CX39" s="40">
        <v>240</v>
      </c>
      <c r="CY39" s="40">
        <v>235</v>
      </c>
      <c r="CZ39" s="40">
        <v>235</v>
      </c>
      <c r="DA39" s="40">
        <v>235</v>
      </c>
      <c r="DD39" s="40">
        <v>235</v>
      </c>
      <c r="DE39" s="40">
        <v>230</v>
      </c>
      <c r="DF39" s="40">
        <v>230</v>
      </c>
      <c r="DG39" s="40">
        <v>230</v>
      </c>
      <c r="DH39" s="40">
        <v>230</v>
      </c>
      <c r="DK39" s="40">
        <v>229</v>
      </c>
      <c r="DL39" s="40">
        <v>229</v>
      </c>
      <c r="DM39" s="40">
        <v>224</v>
      </c>
      <c r="DN39" s="40">
        <v>224</v>
      </c>
      <c r="DO39" s="40">
        <v>224</v>
      </c>
      <c r="DR39" s="40">
        <v>224</v>
      </c>
      <c r="DS39" s="40">
        <v>224</v>
      </c>
      <c r="DT39" s="40">
        <v>224</v>
      </c>
      <c r="DU39" s="40">
        <v>223</v>
      </c>
      <c r="DV39" s="40">
        <v>223</v>
      </c>
      <c r="DY39" s="40">
        <v>223</v>
      </c>
      <c r="DZ39" s="40">
        <v>223</v>
      </c>
      <c r="EA39" s="40">
        <v>223</v>
      </c>
      <c r="EB39" s="40">
        <v>223</v>
      </c>
      <c r="EC39" s="40">
        <v>217</v>
      </c>
      <c r="EF39" s="40">
        <v>217</v>
      </c>
      <c r="EG39" s="40">
        <v>212</v>
      </c>
      <c r="EH39" s="40">
        <v>212</v>
      </c>
      <c r="EI39" s="40">
        <v>212</v>
      </c>
      <c r="EJ39" s="40">
        <v>212</v>
      </c>
      <c r="EM39" s="40">
        <v>210</v>
      </c>
      <c r="EN39" s="40">
        <v>210</v>
      </c>
      <c r="EO39" s="40">
        <v>210</v>
      </c>
      <c r="EP39" s="40">
        <v>210</v>
      </c>
      <c r="EQ39" s="40">
        <v>210</v>
      </c>
      <c r="ET39" s="40">
        <v>210</v>
      </c>
      <c r="EU39" s="40">
        <v>205</v>
      </c>
      <c r="EV39" s="40">
        <v>205</v>
      </c>
      <c r="EW39" s="40">
        <v>200</v>
      </c>
      <c r="EX39" s="40">
        <v>200</v>
      </c>
      <c r="FA39" s="40">
        <v>200</v>
      </c>
      <c r="FB39" s="40">
        <v>200</v>
      </c>
      <c r="FC39" s="40">
        <v>200</v>
      </c>
      <c r="FD39" s="40">
        <v>200</v>
      </c>
      <c r="FE39" s="40">
        <v>200</v>
      </c>
      <c r="FH39" s="40">
        <v>200</v>
      </c>
      <c r="FI39" s="40">
        <v>195</v>
      </c>
      <c r="FJ39" s="40">
        <v>195</v>
      </c>
      <c r="FK39" s="40">
        <v>195</v>
      </c>
      <c r="FL39" s="40">
        <v>195</v>
      </c>
      <c r="FO39" s="40">
        <v>195</v>
      </c>
      <c r="FP39" s="40">
        <v>195</v>
      </c>
      <c r="FQ39" s="40">
        <v>200</v>
      </c>
      <c r="FR39" s="40">
        <v>200</v>
      </c>
      <c r="FS39" s="40">
        <v>200</v>
      </c>
      <c r="FV39" s="40">
        <v>200</v>
      </c>
      <c r="FW39" s="40">
        <v>204</v>
      </c>
      <c r="FX39" s="40">
        <v>204</v>
      </c>
      <c r="FY39" s="40">
        <v>204</v>
      </c>
      <c r="FZ39" s="40">
        <v>204</v>
      </c>
      <c r="GC39" s="40">
        <v>204</v>
      </c>
      <c r="GD39" s="40">
        <v>204</v>
      </c>
      <c r="GE39" s="40">
        <v>207</v>
      </c>
      <c r="GF39" s="40">
        <v>207</v>
      </c>
      <c r="GG39" s="40">
        <v>207</v>
      </c>
      <c r="GJ39" s="40">
        <v>207</v>
      </c>
      <c r="GK39" s="40">
        <v>207</v>
      </c>
      <c r="GL39" s="40">
        <v>204</v>
      </c>
      <c r="GM39" s="40">
        <v>204</v>
      </c>
      <c r="GN39" s="40">
        <v>204</v>
      </c>
      <c r="GQ39" s="40">
        <v>207</v>
      </c>
      <c r="GR39" s="40">
        <v>207</v>
      </c>
      <c r="GS39" s="40">
        <v>205</v>
      </c>
      <c r="GT39" s="40">
        <v>205</v>
      </c>
      <c r="GU39" s="40">
        <v>205</v>
      </c>
      <c r="GX39" s="40">
        <v>204</v>
      </c>
      <c r="GY39" s="40">
        <v>204</v>
      </c>
      <c r="GZ39" s="40">
        <v>204</v>
      </c>
      <c r="HA39" s="40">
        <v>203</v>
      </c>
      <c r="HB39" s="40">
        <v>204</v>
      </c>
      <c r="HE39" s="40">
        <v>204</v>
      </c>
      <c r="HF39" s="40">
        <v>204</v>
      </c>
      <c r="HG39" s="40">
        <v>200</v>
      </c>
      <c r="HH39" s="40">
        <v>200</v>
      </c>
      <c r="HI39" s="40">
        <v>200</v>
      </c>
      <c r="HL39" s="40">
        <v>195</v>
      </c>
      <c r="HM39" s="40">
        <v>195</v>
      </c>
      <c r="HN39" s="40">
        <v>195</v>
      </c>
      <c r="HO39" s="40">
        <v>195</v>
      </c>
      <c r="HP39" s="40">
        <v>195</v>
      </c>
      <c r="HS39" s="40">
        <v>190</v>
      </c>
      <c r="HT39" s="40">
        <v>190</v>
      </c>
      <c r="HU39" s="40">
        <v>190</v>
      </c>
      <c r="HV39" s="40">
        <v>190</v>
      </c>
      <c r="HW39" s="40">
        <v>187</v>
      </c>
      <c r="HZ39" s="40">
        <v>187</v>
      </c>
      <c r="IA39" s="40">
        <v>185</v>
      </c>
      <c r="IB39" s="40">
        <v>180</v>
      </c>
      <c r="IC39" s="40">
        <v>180</v>
      </c>
      <c r="ID39" s="40">
        <v>180</v>
      </c>
      <c r="IG39" s="40">
        <v>180</v>
      </c>
      <c r="IH39" s="40">
        <v>175</v>
      </c>
      <c r="II39" s="40">
        <v>175</v>
      </c>
      <c r="IJ39" s="40">
        <v>175</v>
      </c>
      <c r="IK39" s="40">
        <v>175</v>
      </c>
      <c r="IN39" s="40">
        <v>175</v>
      </c>
      <c r="IO39" s="40">
        <v>175</v>
      </c>
      <c r="IP39" s="40">
        <v>175</v>
      </c>
      <c r="IQ39" s="40">
        <v>175</v>
      </c>
      <c r="IR39" s="40">
        <v>175</v>
      </c>
      <c r="IU39" s="40">
        <v>180</v>
      </c>
      <c r="IV39" s="40">
        <v>180</v>
      </c>
      <c r="IW39" s="40">
        <v>180</v>
      </c>
      <c r="IX39" s="40">
        <v>185</v>
      </c>
      <c r="IY39" s="40">
        <v>185</v>
      </c>
      <c r="JB39" s="40">
        <v>190</v>
      </c>
      <c r="JC39" s="40">
        <v>195</v>
      </c>
      <c r="JD39" s="40">
        <v>195</v>
      </c>
      <c r="JE39" s="40">
        <v>195</v>
      </c>
      <c r="JF39" s="40">
        <v>200</v>
      </c>
      <c r="JI39" s="40">
        <v>200</v>
      </c>
      <c r="JJ39" s="40">
        <v>205</v>
      </c>
      <c r="JK39" s="40">
        <v>205</v>
      </c>
      <c r="JL39" s="40">
        <v>205</v>
      </c>
      <c r="JM39" s="40">
        <v>205</v>
      </c>
      <c r="JP39" s="40">
        <v>205</v>
      </c>
      <c r="JQ39" s="40">
        <v>205</v>
      </c>
      <c r="JR39" s="40">
        <v>205</v>
      </c>
      <c r="JS39" s="40">
        <v>205</v>
      </c>
      <c r="JT39" s="40">
        <v>205</v>
      </c>
      <c r="JW39" s="40">
        <v>205</v>
      </c>
      <c r="JX39" s="40">
        <v>210</v>
      </c>
      <c r="JY39" s="40">
        <v>210</v>
      </c>
      <c r="JZ39" s="40">
        <v>210</v>
      </c>
      <c r="KA39" s="40">
        <v>210</v>
      </c>
      <c r="KD39" s="40">
        <v>210</v>
      </c>
      <c r="KE39" s="40">
        <v>210</v>
      </c>
      <c r="KF39" s="40">
        <v>210</v>
      </c>
      <c r="KG39" s="40">
        <v>210</v>
      </c>
      <c r="KH39" s="40">
        <v>210</v>
      </c>
      <c r="KK39" s="40">
        <v>210</v>
      </c>
      <c r="KL39" s="40">
        <v>210</v>
      </c>
      <c r="KM39" s="40">
        <v>210</v>
      </c>
      <c r="KN39" s="40">
        <v>210</v>
      </c>
      <c r="KO39" s="40">
        <v>210</v>
      </c>
      <c r="KR39" s="40">
        <v>210</v>
      </c>
      <c r="KS39" s="40">
        <v>210</v>
      </c>
      <c r="KT39" s="40">
        <v>210</v>
      </c>
      <c r="KU39" s="40">
        <v>210</v>
      </c>
      <c r="KV39" s="40">
        <v>205</v>
      </c>
      <c r="KY39" s="40">
        <v>205</v>
      </c>
      <c r="KZ39" s="40">
        <v>205</v>
      </c>
      <c r="LA39" s="40">
        <v>205</v>
      </c>
      <c r="LB39" s="40">
        <v>205</v>
      </c>
      <c r="LC39" s="40">
        <v>205</v>
      </c>
      <c r="LF39" s="40">
        <v>205</v>
      </c>
      <c r="LG39" s="40">
        <v>205</v>
      </c>
      <c r="LH39" s="40">
        <v>205</v>
      </c>
      <c r="LI39" s="40">
        <v>210</v>
      </c>
      <c r="LJ39" s="40">
        <v>210</v>
      </c>
      <c r="LM39" s="40">
        <v>210</v>
      </c>
      <c r="LN39" s="40">
        <v>210</v>
      </c>
      <c r="LO39" s="40">
        <v>212</v>
      </c>
      <c r="LP39" s="40">
        <v>212</v>
      </c>
      <c r="LQ39" s="40">
        <v>212</v>
      </c>
      <c r="LT39" s="40">
        <v>212</v>
      </c>
      <c r="LU39" s="40">
        <v>212</v>
      </c>
      <c r="LV39" s="40">
        <v>212</v>
      </c>
      <c r="LW39" s="40">
        <v>212</v>
      </c>
      <c r="LX39" s="40">
        <v>212</v>
      </c>
      <c r="MA39" s="40">
        <v>212</v>
      </c>
      <c r="MB39" s="40">
        <v>212</v>
      </c>
      <c r="MC39" s="40">
        <v>212</v>
      </c>
      <c r="MD39" s="40">
        <v>212</v>
      </c>
      <c r="ME39" s="40">
        <v>212</v>
      </c>
      <c r="MH39" s="40">
        <v>212</v>
      </c>
      <c r="MI39" s="40">
        <v>210</v>
      </c>
      <c r="MJ39" s="40">
        <v>210</v>
      </c>
      <c r="MK39" s="40">
        <v>210</v>
      </c>
      <c r="ML39" s="40">
        <v>210</v>
      </c>
      <c r="MO39" s="40">
        <v>210</v>
      </c>
      <c r="MP39" s="40">
        <v>210</v>
      </c>
      <c r="MQ39" s="40">
        <v>210</v>
      </c>
      <c r="MR39" s="40">
        <v>210</v>
      </c>
      <c r="MS39" s="40">
        <v>210</v>
      </c>
      <c r="MV39" s="40">
        <v>210</v>
      </c>
      <c r="MW39" s="40">
        <v>210</v>
      </c>
      <c r="MX39" s="40">
        <v>210</v>
      </c>
      <c r="MY39" s="40">
        <v>210</v>
      </c>
      <c r="MZ39" s="40">
        <v>210</v>
      </c>
    </row>
    <row r="40" spans="1:364" s="37" customFormat="1" x14ac:dyDescent="0.25">
      <c r="A40" s="21" t="s">
        <v>176</v>
      </c>
      <c r="G40" s="37">
        <v>5520.8319702383951</v>
      </c>
      <c r="Q40" s="37">
        <v>5630.9126508930485</v>
      </c>
      <c r="S40" s="37">
        <v>5596.883870036324</v>
      </c>
      <c r="AA40" s="37">
        <v>5343.65</v>
      </c>
      <c r="AH40" s="37">
        <v>5078.2953199224139</v>
      </c>
      <c r="AI40" s="37">
        <v>4709.1891891891892</v>
      </c>
      <c r="AS40" s="37">
        <v>4897.0014748250787</v>
      </c>
      <c r="BG40" s="37">
        <v>4954.4594594594591</v>
      </c>
      <c r="BH40" s="37">
        <v>4954.4594594594591</v>
      </c>
      <c r="BI40" s="37">
        <v>4975.1269035532996</v>
      </c>
      <c r="BK40" s="37">
        <v>5111.9419276947947</v>
      </c>
      <c r="BU40" s="37">
        <v>4905.405405405405</v>
      </c>
      <c r="BX40" s="37">
        <v>5294.2606763051626</v>
      </c>
      <c r="CM40" s="37">
        <v>4606.5989847715737</v>
      </c>
      <c r="DD40" s="37">
        <v>4352.4578988887361</v>
      </c>
      <c r="DF40" s="37">
        <v>4766.2404092071611</v>
      </c>
      <c r="EB40" s="37">
        <v>4218.6486486486483</v>
      </c>
      <c r="EG40" s="37">
        <v>4021.875</v>
      </c>
      <c r="EH40" s="37">
        <v>4071.5956125192884</v>
      </c>
      <c r="ET40" s="37">
        <v>4120.54054054054</v>
      </c>
      <c r="FI40" s="37">
        <v>4120.54054054054</v>
      </c>
      <c r="FL40" s="37">
        <v>3924.3243243243246</v>
      </c>
      <c r="FW40" s="37">
        <v>4238.0710659898477</v>
      </c>
      <c r="GF40" s="37">
        <v>4463.9189189189183</v>
      </c>
      <c r="GK40" s="37">
        <v>4200.54054054054</v>
      </c>
      <c r="GT40" s="37">
        <v>4256.723195751375</v>
      </c>
      <c r="GX40" s="37">
        <v>4414.864864864865</v>
      </c>
      <c r="GY40" s="37">
        <v>4514.4670050761424</v>
      </c>
      <c r="GZ40" s="37">
        <v>4505.8853591531251</v>
      </c>
      <c r="HA40" s="37">
        <v>4467.0050761421317</v>
      </c>
      <c r="HF40" s="37">
        <v>4481.3948908216489</v>
      </c>
      <c r="HG40" s="37">
        <v>4604.1639182058052</v>
      </c>
      <c r="HH40" s="37">
        <v>4562.0270270270266</v>
      </c>
      <c r="HI40" s="37">
        <v>4619.2893401015226</v>
      </c>
      <c r="HN40" s="37">
        <v>4619.2893401015226</v>
      </c>
      <c r="HS40" s="37">
        <v>4683.9368268120852</v>
      </c>
      <c r="HV40" s="37">
        <v>4660.135135135135</v>
      </c>
      <c r="HW40" s="37">
        <v>4585.7712765957449</v>
      </c>
      <c r="IN40" s="37">
        <v>4514.4670050761424</v>
      </c>
      <c r="IU40" s="37">
        <v>4611.0810810810808</v>
      </c>
      <c r="JB40" s="37">
        <v>4927.2793986039014</v>
      </c>
      <c r="JM40" s="37">
        <v>4898.4399999999996</v>
      </c>
      <c r="KA40" s="37">
        <v>4807.2972972972984</v>
      </c>
      <c r="KF40" s="37">
        <v>4709.1891891891892</v>
      </c>
      <c r="KM40" s="37">
        <v>4846.875</v>
      </c>
      <c r="LA40" s="37">
        <v>4778.9968814968815</v>
      </c>
      <c r="LB40" s="37">
        <v>4606.5989847715737</v>
      </c>
      <c r="LC40" s="37">
        <v>4910.1963620981387</v>
      </c>
      <c r="LT40" s="37">
        <v>5338.2352941176468</v>
      </c>
      <c r="LX40" s="37">
        <v>5308.0378600214444</v>
      </c>
      <c r="MK40" s="37">
        <v>4660.8220720720728</v>
      </c>
      <c r="MS40" s="37">
        <v>4486.2463986829462</v>
      </c>
    </row>
    <row r="41" spans="1:364" s="40" customFormat="1" x14ac:dyDescent="0.25">
      <c r="A41" s="29" t="s">
        <v>177</v>
      </c>
      <c r="G41" s="40">
        <v>6450.2628117913837</v>
      </c>
      <c r="U41" s="40">
        <v>6021.5053763440865</v>
      </c>
      <c r="Z41" s="40">
        <v>5906.72</v>
      </c>
      <c r="AH41" s="40">
        <v>5788.8204259259255</v>
      </c>
      <c r="BH41" s="40">
        <v>6199.1421610810812</v>
      </c>
      <c r="BK41" s="40">
        <v>5655.6277777777777</v>
      </c>
      <c r="CD41" s="40">
        <v>5591.3978494623661</v>
      </c>
      <c r="CQ41" s="40">
        <v>6043.1415610810809</v>
      </c>
      <c r="CY41" s="40">
        <v>6043.1415610810809</v>
      </c>
      <c r="DE41" s="30">
        <v>4891.304347826087</v>
      </c>
      <c r="DM41" s="40">
        <v>5135.135135135135</v>
      </c>
      <c r="DV41" s="30">
        <v>5135.1400000000003</v>
      </c>
      <c r="DY41" s="40">
        <v>4838.7096774193551</v>
      </c>
      <c r="DZ41" s="40">
        <v>4715.909090909091</v>
      </c>
      <c r="EB41" s="40">
        <v>5164.8351648351645</v>
      </c>
      <c r="EF41" s="40">
        <v>4763.725070044532</v>
      </c>
      <c r="EG41" s="40">
        <v>4749.3403693931396</v>
      </c>
      <c r="EI41" s="40">
        <v>4756.7567567567567</v>
      </c>
      <c r="EM41" s="40">
        <v>4221.6358839050135</v>
      </c>
      <c r="EW41" s="40">
        <v>4010.55</v>
      </c>
      <c r="FB41" s="40">
        <v>4615.38</v>
      </c>
      <c r="FE41" s="40">
        <v>4518.9189189189183</v>
      </c>
      <c r="FI41" s="40">
        <v>4906.2537442665789</v>
      </c>
      <c r="FJ41" s="40">
        <v>4675.3246753246749</v>
      </c>
      <c r="FL41" s="40">
        <v>4485.4881266490765</v>
      </c>
      <c r="FP41" s="40">
        <v>4702.7027027027025</v>
      </c>
      <c r="FW41" s="40">
        <v>4752.5178108051705</v>
      </c>
      <c r="FX41" s="40">
        <v>4942.9980588377148</v>
      </c>
      <c r="GF41" s="40">
        <v>4960.4221635883914</v>
      </c>
      <c r="GK41" s="40">
        <v>4702.7027027027025</v>
      </c>
      <c r="GN41" s="40">
        <v>4691.4455540414492</v>
      </c>
      <c r="GQ41" s="40">
        <v>4854.8812664907655</v>
      </c>
      <c r="GR41" s="40">
        <v>4562.0270270270266</v>
      </c>
      <c r="GX41" s="40">
        <v>430</v>
      </c>
      <c r="HB41" s="40">
        <v>4591.0290237467016</v>
      </c>
      <c r="HE41" s="40">
        <v>5113.5135135135133</v>
      </c>
      <c r="HF41" s="40">
        <v>4749.34</v>
      </c>
      <c r="HI41" s="40">
        <v>4854.8812664907655</v>
      </c>
      <c r="HL41" s="40">
        <v>5000</v>
      </c>
      <c r="HN41" s="40">
        <v>4973.4613212874083</v>
      </c>
      <c r="HS41" s="40">
        <v>5010.3665670947994</v>
      </c>
      <c r="HT41" s="40">
        <v>5143.1211431211423</v>
      </c>
      <c r="HU41" s="40">
        <v>4983.7837837837833</v>
      </c>
      <c r="IN41" s="40">
        <v>4960.4221635883905</v>
      </c>
      <c r="IP41" s="40">
        <v>5081.0810810810808</v>
      </c>
      <c r="IU41" s="40">
        <v>4854.8812664907655</v>
      </c>
      <c r="IX41" s="40">
        <v>5402.5974025974028</v>
      </c>
      <c r="IY41" s="40">
        <v>5413.62</v>
      </c>
      <c r="JC41" s="40">
        <v>5063.5368492511343</v>
      </c>
      <c r="JE41" s="40">
        <v>5153.7886708908845</v>
      </c>
      <c r="JI41" s="40">
        <v>4781.1929469908146</v>
      </c>
      <c r="JJ41" s="40">
        <v>5297.2972972972966</v>
      </c>
      <c r="JK41" s="40">
        <v>5297.2972972972966</v>
      </c>
      <c r="JL41" s="40">
        <v>4816.75</v>
      </c>
      <c r="JM41" s="40">
        <v>5037</v>
      </c>
      <c r="JR41" s="40">
        <v>4945.135135135135</v>
      </c>
      <c r="KA41" s="40">
        <v>5297.2972972972966</v>
      </c>
      <c r="KG41" s="40">
        <v>5302.0894245168647</v>
      </c>
      <c r="KH41" s="40">
        <v>5087.0712401055407</v>
      </c>
      <c r="KM41" s="40">
        <v>4680.1351452610625</v>
      </c>
      <c r="KR41" s="40">
        <v>5120.6700394568034</v>
      </c>
      <c r="KV41" s="40">
        <v>5382.5857519788915</v>
      </c>
      <c r="KZ41" s="40">
        <v>5199.7297297297291</v>
      </c>
      <c r="LC41" s="40">
        <v>5074.3654059014852</v>
      </c>
      <c r="LI41" s="40">
        <v>5274.7252747252742</v>
      </c>
      <c r="LP41" s="40">
        <v>4935.4570445785967</v>
      </c>
      <c r="LQ41" s="40">
        <v>5204.2271604047437</v>
      </c>
      <c r="LT41" s="40">
        <v>5329.6703296703299</v>
      </c>
      <c r="LU41" s="40">
        <v>5081.0810810810808</v>
      </c>
      <c r="LW41" s="40">
        <v>5139.6648044692738</v>
      </c>
      <c r="MC41" s="40">
        <v>4606.4864864864867</v>
      </c>
      <c r="ME41" s="40">
        <v>4907.6517150395775</v>
      </c>
      <c r="MJ41" s="40">
        <v>5427.0270270270266</v>
      </c>
      <c r="MK41" s="40">
        <v>5126.8316509280367</v>
      </c>
      <c r="ML41" s="40">
        <v>5274.7252747252742</v>
      </c>
      <c r="MP41" s="40">
        <v>5035.9305312559245</v>
      </c>
      <c r="MQ41" s="40">
        <v>4963.8547486033522</v>
      </c>
    </row>
    <row r="42" spans="1:364" s="37" customFormat="1" x14ac:dyDescent="0.25">
      <c r="A42" s="21" t="s">
        <v>178</v>
      </c>
      <c r="AW42" s="37">
        <v>3455.3571428571431</v>
      </c>
      <c r="CM42" s="37">
        <v>5268.8172043010754</v>
      </c>
      <c r="LP42" s="37">
        <v>3053.5714285714284</v>
      </c>
      <c r="LQ42" s="37">
        <v>2962.0606000145103</v>
      </c>
      <c r="MA42" s="37">
        <v>3053.5714285714284</v>
      </c>
      <c r="MS42" s="37">
        <v>3053.5714285714284</v>
      </c>
    </row>
    <row r="43" spans="1:364" s="30" customFormat="1" x14ac:dyDescent="0.25">
      <c r="A43" s="29" t="s">
        <v>179</v>
      </c>
      <c r="U43" s="30">
        <v>3109.0659898477156</v>
      </c>
      <c r="Z43" s="30">
        <v>4285.6163265306122</v>
      </c>
      <c r="AS43" s="30">
        <v>4285.6163265306122</v>
      </c>
      <c r="AT43" s="30">
        <v>4030.7265306122449</v>
      </c>
      <c r="AW43" s="30">
        <v>4442.6499999999996</v>
      </c>
      <c r="BJ43" s="30">
        <v>4442.6499999999996</v>
      </c>
      <c r="BR43" s="30">
        <v>4030.73</v>
      </c>
      <c r="CM43" s="30">
        <v>4215.9841836734695</v>
      </c>
      <c r="CY43" s="30">
        <v>3930.6581632653065</v>
      </c>
      <c r="DE43" s="30">
        <v>3819.7096446700511</v>
      </c>
      <c r="DN43" s="30">
        <v>3426.2755102040819</v>
      </c>
      <c r="DT43" s="30">
        <v>4004.575255102041</v>
      </c>
      <c r="EO43" s="30">
        <v>3375.56</v>
      </c>
      <c r="FC43" s="40">
        <v>2870.6632653061224</v>
      </c>
      <c r="GK43" s="30">
        <v>3418.0494405884183</v>
      </c>
      <c r="GS43" s="40"/>
      <c r="GU43" s="40"/>
      <c r="HF43" s="40"/>
      <c r="HG43" s="40"/>
      <c r="HL43" s="40"/>
      <c r="HN43" s="40"/>
      <c r="HS43" s="40"/>
      <c r="HT43" s="40"/>
      <c r="HU43" s="40"/>
      <c r="HV43" s="40"/>
      <c r="HW43" s="40"/>
      <c r="HZ43" s="40"/>
      <c r="IA43" s="40"/>
      <c r="IB43" s="40"/>
      <c r="IC43" s="40"/>
      <c r="IG43" s="40"/>
      <c r="IH43" s="40"/>
      <c r="II43" s="40"/>
      <c r="IJ43" s="40"/>
      <c r="IK43" s="40"/>
      <c r="IN43" s="30">
        <v>3518.8775510204082</v>
      </c>
      <c r="IU43" s="40"/>
      <c r="IV43" s="40"/>
      <c r="IW43" s="40"/>
      <c r="IX43" s="40"/>
      <c r="JC43" s="30">
        <v>3426.2755102040819</v>
      </c>
      <c r="JE43" s="40"/>
      <c r="JF43" s="40"/>
      <c r="JL43" s="30">
        <v>3518.88</v>
      </c>
      <c r="KM43" s="30">
        <v>3379.97</v>
      </c>
      <c r="MO43" s="30">
        <v>3518.8775510204082</v>
      </c>
    </row>
    <row r="44" spans="1:364" s="20" customFormat="1" x14ac:dyDescent="0.25">
      <c r="A44" s="16"/>
      <c r="GS44" s="39"/>
      <c r="GU44" s="39"/>
      <c r="HF44" s="39"/>
      <c r="HG44" s="39"/>
      <c r="HL44" s="39"/>
      <c r="HN44" s="39"/>
      <c r="HS44" s="39"/>
      <c r="HT44" s="39"/>
      <c r="HU44" s="39"/>
      <c r="HV44" s="39"/>
      <c r="HW44" s="39"/>
      <c r="HZ44" s="39"/>
      <c r="IA44" s="39"/>
      <c r="IB44" s="39"/>
      <c r="IC44" s="39"/>
      <c r="IG44" s="39"/>
      <c r="IH44" s="39"/>
      <c r="II44" s="39"/>
      <c r="IJ44" s="39"/>
      <c r="IK44" s="39"/>
      <c r="IU44" s="39"/>
      <c r="IV44" s="39"/>
      <c r="IW44" s="39"/>
      <c r="IX44" s="39"/>
      <c r="JE44" s="39"/>
      <c r="JF44" s="39"/>
    </row>
    <row r="45" spans="1:364" s="22" customFormat="1" x14ac:dyDescent="0.25">
      <c r="A45" s="21" t="s">
        <v>175</v>
      </c>
      <c r="C45" s="22">
        <v>1020</v>
      </c>
      <c r="D45" s="22">
        <v>1080</v>
      </c>
      <c r="E45" s="22">
        <v>1100</v>
      </c>
      <c r="F45" s="22">
        <v>1100</v>
      </c>
      <c r="G45" s="22">
        <v>1040</v>
      </c>
      <c r="J45" s="22">
        <v>1035</v>
      </c>
      <c r="K45" s="22">
        <v>1010</v>
      </c>
      <c r="L45" s="22">
        <v>990</v>
      </c>
      <c r="M45" s="22">
        <v>975</v>
      </c>
      <c r="N45" s="22">
        <v>970</v>
      </c>
      <c r="Q45" s="22">
        <v>970</v>
      </c>
      <c r="R45" s="22">
        <v>990</v>
      </c>
      <c r="S45" s="22">
        <v>990</v>
      </c>
      <c r="T45" s="22">
        <v>1000</v>
      </c>
      <c r="U45" s="22">
        <v>1000</v>
      </c>
      <c r="X45" s="22">
        <v>1015</v>
      </c>
      <c r="Y45" s="22">
        <v>947.5</v>
      </c>
      <c r="Z45" s="22">
        <v>995</v>
      </c>
      <c r="AA45" s="22">
        <v>990</v>
      </c>
      <c r="AB45" s="22">
        <v>1020</v>
      </c>
      <c r="AE45" s="22">
        <v>1000</v>
      </c>
      <c r="AF45" s="22">
        <v>1000</v>
      </c>
      <c r="AG45" s="22">
        <v>980</v>
      </c>
      <c r="AH45" s="22">
        <v>980</v>
      </c>
      <c r="AI45" s="22">
        <v>990</v>
      </c>
      <c r="AL45" s="22">
        <v>1015</v>
      </c>
      <c r="AM45" s="22">
        <v>1010</v>
      </c>
      <c r="AN45" s="22">
        <v>1010</v>
      </c>
      <c r="AO45" s="22">
        <v>990</v>
      </c>
      <c r="AP45" s="22">
        <v>1000</v>
      </c>
      <c r="AS45" s="22">
        <v>980</v>
      </c>
      <c r="AT45" s="22">
        <v>1000</v>
      </c>
      <c r="AU45" s="22">
        <v>985</v>
      </c>
      <c r="AV45" s="22">
        <v>997.5</v>
      </c>
      <c r="AW45" s="22">
        <v>1000</v>
      </c>
      <c r="AZ45" s="22">
        <v>1000</v>
      </c>
      <c r="BA45" s="22">
        <v>1000</v>
      </c>
      <c r="BB45" s="22">
        <v>1000</v>
      </c>
      <c r="BC45" s="22">
        <v>1000</v>
      </c>
      <c r="BD45" s="22">
        <v>1000</v>
      </c>
      <c r="BG45" s="22">
        <v>1000</v>
      </c>
      <c r="BH45" s="22">
        <v>1000</v>
      </c>
      <c r="BI45" s="22">
        <v>1000</v>
      </c>
      <c r="BJ45" s="22">
        <v>1030</v>
      </c>
      <c r="BK45" s="22">
        <v>1050</v>
      </c>
      <c r="BN45" s="22">
        <v>1130</v>
      </c>
      <c r="BO45" s="22">
        <v>990</v>
      </c>
      <c r="BP45" s="22">
        <v>1075</v>
      </c>
      <c r="BQ45" s="22">
        <v>1020</v>
      </c>
      <c r="BR45" s="22">
        <v>970</v>
      </c>
      <c r="BU45" s="22">
        <v>1075</v>
      </c>
      <c r="BV45" s="22">
        <v>1030</v>
      </c>
      <c r="BW45" s="22">
        <v>1075</v>
      </c>
      <c r="BX45" s="22">
        <v>1040</v>
      </c>
      <c r="BY45" s="22">
        <v>1050</v>
      </c>
      <c r="CB45" s="22">
        <v>1030</v>
      </c>
      <c r="CC45" s="22">
        <v>1030</v>
      </c>
      <c r="CD45" s="22">
        <v>1020</v>
      </c>
      <c r="CE45" s="22">
        <v>990</v>
      </c>
      <c r="CF45" s="22">
        <v>945</v>
      </c>
      <c r="CI45" s="22">
        <v>1000</v>
      </c>
      <c r="CJ45" s="22">
        <v>1035</v>
      </c>
      <c r="CK45" s="22">
        <v>1035</v>
      </c>
      <c r="CL45" s="22">
        <v>1050</v>
      </c>
      <c r="CM45" s="22">
        <v>1032.5</v>
      </c>
      <c r="CP45" s="22">
        <v>1060</v>
      </c>
      <c r="CQ45" s="22">
        <v>1085</v>
      </c>
      <c r="CR45" s="22">
        <v>1065</v>
      </c>
      <c r="CS45" s="22">
        <v>1065</v>
      </c>
      <c r="CT45" s="22">
        <v>1065</v>
      </c>
      <c r="CW45" s="22">
        <v>1065</v>
      </c>
      <c r="CX45" s="22">
        <v>1050</v>
      </c>
      <c r="CY45" s="22">
        <v>1055</v>
      </c>
      <c r="CZ45" s="22">
        <v>1055</v>
      </c>
      <c r="DA45" s="22">
        <v>1045</v>
      </c>
      <c r="DD45" s="22">
        <v>1050</v>
      </c>
      <c r="DE45" s="22">
        <v>1055</v>
      </c>
      <c r="DF45" s="22">
        <v>1030</v>
      </c>
      <c r="DG45" s="22">
        <v>1030</v>
      </c>
      <c r="DH45" s="22">
        <v>1030</v>
      </c>
      <c r="DK45" s="22">
        <v>1015</v>
      </c>
      <c r="DL45" s="22">
        <v>1000</v>
      </c>
      <c r="DM45" s="22">
        <v>1005</v>
      </c>
      <c r="DN45" s="22">
        <v>1005</v>
      </c>
      <c r="DO45" s="22">
        <v>965</v>
      </c>
      <c r="DR45" s="22">
        <v>965</v>
      </c>
      <c r="DS45" s="22">
        <v>965</v>
      </c>
      <c r="DT45" s="22">
        <v>950</v>
      </c>
      <c r="DU45" s="22">
        <v>950</v>
      </c>
      <c r="DV45" s="22">
        <v>990</v>
      </c>
      <c r="DY45" s="22">
        <v>1015</v>
      </c>
      <c r="DZ45" s="22">
        <v>1030</v>
      </c>
      <c r="EA45" s="22">
        <v>995</v>
      </c>
      <c r="EB45" s="22">
        <v>955</v>
      </c>
      <c r="EC45" s="22">
        <v>955</v>
      </c>
      <c r="EF45" s="22">
        <v>955</v>
      </c>
      <c r="EG45" s="22">
        <v>960</v>
      </c>
      <c r="EH45" s="22">
        <v>945</v>
      </c>
      <c r="EI45" s="22">
        <v>945</v>
      </c>
      <c r="EJ45" s="22">
        <v>945</v>
      </c>
      <c r="EM45" s="22">
        <v>935</v>
      </c>
      <c r="EN45" s="22">
        <v>930</v>
      </c>
      <c r="EO45" s="22">
        <v>925</v>
      </c>
      <c r="EP45" s="22">
        <v>925</v>
      </c>
      <c r="EQ45" s="22">
        <v>930</v>
      </c>
      <c r="ET45" s="22">
        <v>930</v>
      </c>
      <c r="EU45" s="22">
        <v>915</v>
      </c>
      <c r="EV45" s="22">
        <v>860</v>
      </c>
      <c r="EW45" s="22">
        <v>870</v>
      </c>
      <c r="EX45" s="22">
        <v>897.5</v>
      </c>
      <c r="FA45" s="22">
        <v>890</v>
      </c>
      <c r="FB45" s="22">
        <v>880</v>
      </c>
      <c r="FC45" s="22">
        <v>875</v>
      </c>
      <c r="FD45" s="22">
        <v>875</v>
      </c>
      <c r="FE45" s="22">
        <v>900</v>
      </c>
      <c r="FH45" s="22">
        <v>870</v>
      </c>
      <c r="FI45" s="22">
        <v>885</v>
      </c>
      <c r="FJ45" s="22">
        <v>915</v>
      </c>
      <c r="FK45" s="22">
        <v>920</v>
      </c>
      <c r="FL45" s="22">
        <v>965</v>
      </c>
      <c r="FO45" s="22">
        <v>975</v>
      </c>
      <c r="FP45" s="22">
        <v>957.5</v>
      </c>
      <c r="FQ45" s="22">
        <v>930</v>
      </c>
      <c r="FR45" s="22">
        <v>920</v>
      </c>
      <c r="FS45" s="22">
        <v>920</v>
      </c>
      <c r="FV45" s="22">
        <v>935</v>
      </c>
      <c r="FW45" s="22">
        <v>932.5</v>
      </c>
      <c r="FX45" s="22">
        <v>932.5</v>
      </c>
      <c r="FY45" s="22">
        <v>945</v>
      </c>
      <c r="FZ45" s="22">
        <v>952.5</v>
      </c>
      <c r="GC45" s="22">
        <v>985</v>
      </c>
      <c r="GD45" s="22">
        <v>950</v>
      </c>
      <c r="GE45" s="22">
        <v>970</v>
      </c>
      <c r="GF45" s="22">
        <v>980</v>
      </c>
      <c r="GG45" s="22">
        <v>980</v>
      </c>
      <c r="GJ45" s="22">
        <v>990</v>
      </c>
      <c r="GK45" s="22">
        <v>970</v>
      </c>
      <c r="GL45" s="22">
        <v>950</v>
      </c>
      <c r="GM45" s="22">
        <v>975</v>
      </c>
      <c r="GN45" s="22">
        <v>960</v>
      </c>
      <c r="GQ45" s="22">
        <v>990</v>
      </c>
      <c r="GR45" s="22">
        <v>980</v>
      </c>
      <c r="GS45" s="74">
        <v>1000</v>
      </c>
      <c r="GT45" s="22">
        <v>1020</v>
      </c>
      <c r="GU45" s="74">
        <v>1030</v>
      </c>
      <c r="GX45" s="22">
        <v>1055</v>
      </c>
      <c r="GY45" s="22">
        <v>1085</v>
      </c>
      <c r="GZ45" s="22">
        <v>1042.5</v>
      </c>
      <c r="HA45" s="22">
        <v>1035</v>
      </c>
      <c r="HB45" s="22">
        <v>1035</v>
      </c>
      <c r="HE45" s="22">
        <v>1015</v>
      </c>
      <c r="HF45" s="74">
        <v>1005</v>
      </c>
      <c r="HG45" s="74">
        <v>1005</v>
      </c>
      <c r="HH45" s="22">
        <v>980</v>
      </c>
      <c r="HI45" s="22">
        <v>960</v>
      </c>
      <c r="HL45" s="74">
        <v>960</v>
      </c>
      <c r="HM45" s="22">
        <v>950</v>
      </c>
      <c r="HN45" s="74">
        <v>950</v>
      </c>
      <c r="HO45" s="22">
        <v>950</v>
      </c>
      <c r="HP45" s="22">
        <v>940</v>
      </c>
      <c r="HS45" s="74">
        <v>970</v>
      </c>
      <c r="HT45" s="74">
        <v>970</v>
      </c>
      <c r="HU45" s="74">
        <v>950</v>
      </c>
      <c r="HV45" s="74">
        <v>975</v>
      </c>
      <c r="HW45" s="74">
        <v>965</v>
      </c>
      <c r="HZ45" s="74">
        <v>980</v>
      </c>
      <c r="IA45" s="74">
        <v>965</v>
      </c>
      <c r="IB45" s="74">
        <v>950</v>
      </c>
      <c r="IC45" s="74">
        <v>955</v>
      </c>
      <c r="ID45" s="22">
        <v>965</v>
      </c>
      <c r="IG45" s="74">
        <v>945</v>
      </c>
      <c r="IH45" s="74">
        <v>945</v>
      </c>
      <c r="II45" s="74">
        <v>960</v>
      </c>
      <c r="IJ45" s="74">
        <v>1000</v>
      </c>
      <c r="IK45" s="74">
        <v>995</v>
      </c>
      <c r="IN45" s="22">
        <v>985</v>
      </c>
      <c r="IO45" s="22">
        <v>965</v>
      </c>
      <c r="IP45" s="22">
        <v>945</v>
      </c>
      <c r="IQ45" s="22">
        <v>945</v>
      </c>
      <c r="IR45" s="22">
        <v>940</v>
      </c>
      <c r="IU45" s="74">
        <v>920</v>
      </c>
      <c r="IV45" s="74">
        <v>910</v>
      </c>
      <c r="IW45" s="74">
        <v>917.5</v>
      </c>
      <c r="IX45" s="74">
        <v>930</v>
      </c>
      <c r="IY45" s="22">
        <v>930</v>
      </c>
      <c r="JB45" s="22">
        <v>925</v>
      </c>
      <c r="JC45" s="22">
        <v>905</v>
      </c>
      <c r="JD45" s="22">
        <v>905</v>
      </c>
      <c r="JE45" s="74">
        <v>910</v>
      </c>
      <c r="JF45" s="74">
        <v>915</v>
      </c>
      <c r="JI45" s="22">
        <v>925</v>
      </c>
      <c r="JJ45" s="22">
        <v>910</v>
      </c>
      <c r="JK45" s="22">
        <v>920</v>
      </c>
      <c r="JL45" s="22">
        <v>920</v>
      </c>
      <c r="JM45" s="22">
        <v>915</v>
      </c>
      <c r="JP45" s="22">
        <v>910</v>
      </c>
      <c r="JQ45" s="22">
        <v>910</v>
      </c>
      <c r="JR45" s="22">
        <v>915</v>
      </c>
      <c r="JS45" s="22">
        <v>897.5</v>
      </c>
      <c r="JT45" s="22">
        <v>902.5</v>
      </c>
      <c r="JW45" s="22">
        <v>992.5</v>
      </c>
      <c r="JX45" s="22">
        <v>895</v>
      </c>
      <c r="JY45" s="22">
        <v>890</v>
      </c>
      <c r="JZ45" s="22">
        <v>890</v>
      </c>
      <c r="KA45" s="22">
        <v>915</v>
      </c>
      <c r="KD45" s="22">
        <v>927.5</v>
      </c>
      <c r="KE45" s="22">
        <v>925</v>
      </c>
      <c r="KF45" s="22">
        <v>925</v>
      </c>
      <c r="KG45" s="22">
        <v>925</v>
      </c>
      <c r="KH45" s="22">
        <v>905</v>
      </c>
      <c r="KK45" s="22">
        <v>910</v>
      </c>
      <c r="KL45" s="22">
        <v>895</v>
      </c>
      <c r="KM45" s="22">
        <v>885</v>
      </c>
      <c r="KN45" s="22">
        <v>885</v>
      </c>
      <c r="KO45" s="22">
        <v>900</v>
      </c>
      <c r="KR45" s="22">
        <v>900</v>
      </c>
      <c r="KS45" s="22">
        <v>900</v>
      </c>
      <c r="KT45" s="22">
        <v>890</v>
      </c>
      <c r="KV45" s="22">
        <v>900</v>
      </c>
      <c r="KY45" s="22">
        <v>910</v>
      </c>
      <c r="KZ45" s="22">
        <v>910</v>
      </c>
      <c r="LA45" s="22">
        <v>910</v>
      </c>
      <c r="LB45" s="22">
        <v>930</v>
      </c>
      <c r="LC45" s="22">
        <v>925</v>
      </c>
      <c r="LF45" s="22">
        <v>917.5</v>
      </c>
      <c r="LG45" s="22">
        <v>975</v>
      </c>
      <c r="LH45" s="22">
        <v>975</v>
      </c>
      <c r="LI45" s="22">
        <v>970</v>
      </c>
      <c r="LJ45" s="22">
        <v>955</v>
      </c>
      <c r="LM45" s="22">
        <v>975</v>
      </c>
      <c r="LN45" s="22">
        <v>970</v>
      </c>
      <c r="LO45" s="22">
        <v>985</v>
      </c>
      <c r="LP45" s="22">
        <v>960</v>
      </c>
      <c r="LQ45" s="22">
        <v>960</v>
      </c>
      <c r="LT45" s="22">
        <v>960</v>
      </c>
      <c r="LU45" s="22">
        <v>972.5</v>
      </c>
      <c r="LV45" s="22">
        <v>975</v>
      </c>
      <c r="LW45" s="22">
        <v>960</v>
      </c>
      <c r="LX45" s="22">
        <v>960</v>
      </c>
      <c r="MA45" s="22">
        <v>955</v>
      </c>
      <c r="MB45" s="22">
        <v>970</v>
      </c>
      <c r="MC45" s="22">
        <v>950</v>
      </c>
      <c r="MD45" s="22">
        <v>950</v>
      </c>
      <c r="ME45" s="22">
        <v>970</v>
      </c>
      <c r="MH45" s="22">
        <v>920</v>
      </c>
      <c r="MI45" s="22">
        <v>920</v>
      </c>
      <c r="MJ45" s="22">
        <v>925</v>
      </c>
      <c r="MK45" s="22">
        <v>930</v>
      </c>
      <c r="ML45" s="22">
        <v>935</v>
      </c>
      <c r="MO45" s="22">
        <v>945</v>
      </c>
      <c r="MP45" s="22">
        <v>950</v>
      </c>
      <c r="MQ45" s="22">
        <v>955</v>
      </c>
      <c r="MR45" s="22">
        <v>950</v>
      </c>
      <c r="MS45" s="22">
        <v>950</v>
      </c>
      <c r="MV45" s="22">
        <v>950</v>
      </c>
      <c r="MW45" s="22">
        <v>950</v>
      </c>
      <c r="MX45" s="22">
        <v>970</v>
      </c>
      <c r="MY45" s="22">
        <v>950</v>
      </c>
      <c r="MZ45" s="22">
        <v>930</v>
      </c>
    </row>
    <row r="46" spans="1:364" s="19" customFormat="1" hidden="1" x14ac:dyDescent="0.25">
      <c r="A46" s="21"/>
      <c r="GS46" s="37"/>
      <c r="GU46" s="37"/>
      <c r="HF46" s="37"/>
      <c r="HG46" s="37"/>
      <c r="HL46" s="37"/>
      <c r="HN46" s="37"/>
      <c r="HS46" s="37"/>
      <c r="HT46" s="37"/>
      <c r="HU46" s="37"/>
      <c r="HV46" s="37"/>
      <c r="HW46" s="37"/>
      <c r="HZ46" s="37"/>
      <c r="IA46" s="37"/>
      <c r="IB46" s="37"/>
      <c r="IC46" s="37"/>
      <c r="IG46" s="37"/>
      <c r="IH46" s="37"/>
      <c r="II46" s="37"/>
      <c r="IJ46" s="37"/>
      <c r="IK46" s="37"/>
      <c r="IU46" s="37"/>
      <c r="IV46" s="37"/>
      <c r="IW46" s="37"/>
      <c r="IX46" s="37"/>
      <c r="JE46" s="37"/>
      <c r="JF46" s="37"/>
    </row>
    <row r="47" spans="1:364" s="23" customFormat="1" x14ac:dyDescent="0.25">
      <c r="A47" s="16"/>
      <c r="GS47" s="75"/>
      <c r="GU47" s="75"/>
      <c r="HF47" s="75"/>
      <c r="HG47" s="75"/>
      <c r="HL47" s="75"/>
      <c r="HN47" s="75"/>
      <c r="HS47" s="75"/>
      <c r="HT47" s="75"/>
      <c r="HU47" s="75"/>
      <c r="HV47" s="75"/>
      <c r="HW47" s="75"/>
      <c r="HZ47" s="75"/>
      <c r="IA47" s="75"/>
      <c r="IB47" s="75"/>
      <c r="IC47" s="75"/>
      <c r="IG47" s="75"/>
      <c r="IH47" s="75"/>
      <c r="II47" s="75"/>
      <c r="IJ47" s="75"/>
      <c r="IK47" s="75"/>
      <c r="IU47" s="75"/>
      <c r="IV47" s="75"/>
      <c r="IW47" s="75"/>
      <c r="IX47" s="75"/>
      <c r="JE47" s="75"/>
      <c r="JF47" s="75"/>
    </row>
    <row r="48" spans="1:364" s="32" customFormat="1" x14ac:dyDescent="0.25">
      <c r="A48" s="31" t="s">
        <v>170</v>
      </c>
      <c r="CM48" s="32">
        <v>4606.5989847715737</v>
      </c>
      <c r="GS48" s="76"/>
      <c r="GU48" s="76"/>
      <c r="HF48" s="76"/>
      <c r="HG48" s="76"/>
      <c r="HL48" s="76"/>
      <c r="HN48" s="76"/>
      <c r="HS48" s="76"/>
      <c r="HT48" s="76"/>
      <c r="HU48" s="76"/>
      <c r="HV48" s="76"/>
      <c r="HW48" s="76"/>
      <c r="HZ48" s="76"/>
      <c r="IA48" s="76"/>
      <c r="IB48" s="76"/>
      <c r="IC48" s="76"/>
      <c r="IG48" s="76"/>
      <c r="IH48" s="76"/>
      <c r="II48" s="76"/>
      <c r="IJ48" s="76"/>
      <c r="IK48" s="76"/>
      <c r="IU48" s="76"/>
      <c r="IV48" s="76"/>
      <c r="IW48" s="76"/>
      <c r="IX48" s="76"/>
      <c r="JE48" s="76"/>
      <c r="JF48" s="76"/>
    </row>
    <row r="49" spans="1:364" s="24" customFormat="1" x14ac:dyDescent="0.25">
      <c r="A49" s="21" t="s">
        <v>171</v>
      </c>
      <c r="GS49" s="58"/>
      <c r="GU49" s="58"/>
      <c r="HF49" s="58"/>
      <c r="HG49" s="58"/>
      <c r="HL49" s="58"/>
      <c r="HN49" s="58"/>
      <c r="HS49" s="58"/>
      <c r="HT49" s="58"/>
      <c r="HU49" s="58"/>
      <c r="HV49" s="58"/>
      <c r="HW49" s="58"/>
      <c r="HZ49" s="58"/>
      <c r="IA49" s="58"/>
      <c r="IB49" s="58"/>
      <c r="IC49" s="58"/>
      <c r="IG49" s="58"/>
      <c r="IH49" s="58"/>
      <c r="II49" s="58"/>
      <c r="IJ49" s="58"/>
      <c r="IK49" s="58"/>
      <c r="IU49" s="58"/>
      <c r="IV49" s="58"/>
      <c r="IW49" s="58"/>
      <c r="IX49" s="58"/>
      <c r="JE49" s="58"/>
      <c r="JF49" s="58"/>
    </row>
    <row r="50" spans="1:364" s="32" customFormat="1" x14ac:dyDescent="0.25">
      <c r="A50" s="31" t="s">
        <v>188</v>
      </c>
      <c r="GS50" s="76"/>
      <c r="GU50" s="76"/>
      <c r="HF50" s="76"/>
      <c r="HG50" s="76"/>
      <c r="HL50" s="76"/>
      <c r="HN50" s="76"/>
      <c r="HS50" s="76"/>
      <c r="HT50" s="76"/>
      <c r="HU50" s="76"/>
      <c r="HV50" s="76"/>
      <c r="HW50" s="76"/>
      <c r="HZ50" s="76"/>
      <c r="IA50" s="76"/>
      <c r="IB50" s="76"/>
      <c r="IC50" s="76"/>
      <c r="IG50" s="76"/>
      <c r="IH50" s="76"/>
      <c r="II50" s="76"/>
      <c r="IJ50" s="76"/>
      <c r="IK50" s="76"/>
      <c r="IU50" s="76"/>
      <c r="IV50" s="76"/>
      <c r="IW50" s="76"/>
      <c r="IX50" s="76"/>
      <c r="JE50" s="76"/>
      <c r="JF50" s="76"/>
    </row>
    <row r="51" spans="1:364" s="16" customFormat="1" x14ac:dyDescent="0.25">
      <c r="GS51" s="41"/>
      <c r="GU51" s="41"/>
      <c r="HF51" s="41"/>
      <c r="HG51" s="41"/>
      <c r="HL51" s="41"/>
      <c r="HN51" s="41"/>
      <c r="HS51" s="41"/>
      <c r="HT51" s="41"/>
      <c r="HU51" s="41"/>
      <c r="HV51" s="41"/>
      <c r="HW51" s="41"/>
      <c r="HZ51" s="41"/>
      <c r="IA51" s="41"/>
      <c r="IB51" s="41"/>
      <c r="IC51" s="41"/>
      <c r="IG51" s="41"/>
      <c r="IH51" s="41"/>
      <c r="II51" s="41"/>
      <c r="IJ51" s="41"/>
      <c r="IK51" s="41"/>
      <c r="IU51" s="41"/>
      <c r="IV51" s="41"/>
      <c r="IW51" s="41"/>
      <c r="IX51" s="41"/>
      <c r="JE51" s="41"/>
      <c r="JF51" s="41"/>
    </row>
    <row r="52" spans="1:364" s="55" customFormat="1" x14ac:dyDescent="0.25">
      <c r="A52" s="60" t="s">
        <v>183</v>
      </c>
      <c r="B52" s="54"/>
      <c r="GS52" s="77"/>
      <c r="GU52" s="77"/>
      <c r="HF52" s="77"/>
      <c r="HG52" s="77"/>
      <c r="HL52" s="77"/>
      <c r="HN52" s="77"/>
      <c r="HS52" s="77"/>
      <c r="HT52" s="77"/>
      <c r="HU52" s="77"/>
      <c r="HV52" s="77"/>
      <c r="HW52" s="77"/>
      <c r="HZ52" s="77"/>
      <c r="IA52" s="77"/>
      <c r="IB52" s="77"/>
      <c r="IC52" s="77"/>
      <c r="IG52" s="77"/>
      <c r="IH52" s="77"/>
      <c r="II52" s="77"/>
      <c r="IJ52" s="77"/>
      <c r="IK52" s="77"/>
      <c r="IU52" s="77"/>
      <c r="IV52" s="77"/>
      <c r="IW52" s="77"/>
      <c r="IX52" s="77"/>
      <c r="JE52" s="77"/>
      <c r="JF52" s="77"/>
    </row>
    <row r="53" spans="1:364" s="57" customFormat="1" x14ac:dyDescent="0.25">
      <c r="A53" s="61" t="s">
        <v>184</v>
      </c>
      <c r="B53" s="56"/>
      <c r="C53" s="57">
        <v>5645</v>
      </c>
      <c r="D53" s="57">
        <v>5645</v>
      </c>
      <c r="E53" s="57">
        <v>5645</v>
      </c>
      <c r="F53" s="57">
        <v>5645</v>
      </c>
      <c r="G53" s="57">
        <v>5645</v>
      </c>
      <c r="J53" s="57">
        <v>5645</v>
      </c>
      <c r="K53" s="57">
        <v>5645</v>
      </c>
      <c r="L53" s="57">
        <v>5645</v>
      </c>
      <c r="M53" s="57">
        <v>5645</v>
      </c>
      <c r="N53" s="57">
        <v>5645</v>
      </c>
      <c r="Q53" s="57">
        <v>5645</v>
      </c>
      <c r="R53" s="57">
        <v>5645</v>
      </c>
      <c r="S53" s="57">
        <v>5819</v>
      </c>
      <c r="T53" s="57">
        <v>5819</v>
      </c>
      <c r="U53" s="57">
        <v>5819</v>
      </c>
      <c r="X53" s="57">
        <v>5819</v>
      </c>
      <c r="Y53" s="57">
        <v>5819</v>
      </c>
      <c r="Z53" s="57">
        <v>5819</v>
      </c>
      <c r="AA53" s="57">
        <v>5416</v>
      </c>
      <c r="AB53" s="57">
        <v>5116</v>
      </c>
      <c r="AE53" s="57">
        <v>5116</v>
      </c>
      <c r="AF53" s="57">
        <v>5116</v>
      </c>
      <c r="AG53" s="57">
        <v>5116</v>
      </c>
      <c r="AH53" s="57">
        <v>5116</v>
      </c>
      <c r="AI53" s="57">
        <v>5116</v>
      </c>
      <c r="AL53" s="57">
        <v>5116</v>
      </c>
      <c r="AM53" s="57">
        <v>5241</v>
      </c>
      <c r="AN53" s="57">
        <v>5241</v>
      </c>
      <c r="AO53" s="57">
        <v>5241</v>
      </c>
      <c r="AP53" s="57">
        <v>5173</v>
      </c>
      <c r="AS53" s="57">
        <v>5173</v>
      </c>
      <c r="AT53" s="57">
        <v>4997</v>
      </c>
      <c r="AU53" s="57">
        <v>4983</v>
      </c>
      <c r="AV53" s="57">
        <v>4983</v>
      </c>
      <c r="AW53" s="57">
        <v>4983</v>
      </c>
      <c r="AZ53" s="57">
        <v>4983</v>
      </c>
      <c r="BA53" s="57">
        <v>4983</v>
      </c>
      <c r="BB53" s="57">
        <v>4983</v>
      </c>
      <c r="BC53" s="57">
        <v>5245</v>
      </c>
      <c r="BD53" s="57">
        <v>5245</v>
      </c>
      <c r="BG53" s="57">
        <v>5245</v>
      </c>
      <c r="BH53" s="57">
        <v>5245</v>
      </c>
      <c r="BI53" s="57">
        <v>5245</v>
      </c>
      <c r="BJ53" s="57">
        <v>5245</v>
      </c>
      <c r="BK53" s="57">
        <v>5245</v>
      </c>
      <c r="BN53" s="57">
        <v>5245</v>
      </c>
      <c r="BO53" s="57">
        <v>5149</v>
      </c>
      <c r="BP53" s="57">
        <v>5149</v>
      </c>
      <c r="BQ53" s="57">
        <v>5149</v>
      </c>
      <c r="BR53" s="57">
        <v>5149</v>
      </c>
      <c r="BU53" s="57">
        <v>5074</v>
      </c>
      <c r="BV53" s="57">
        <v>5086</v>
      </c>
      <c r="BW53" s="57">
        <v>5086</v>
      </c>
      <c r="BX53" s="57">
        <v>5086</v>
      </c>
      <c r="BY53" s="57">
        <v>4722</v>
      </c>
      <c r="CB53" s="57">
        <v>4722</v>
      </c>
      <c r="CC53" s="57">
        <v>4722</v>
      </c>
      <c r="CD53" s="57">
        <v>4722</v>
      </c>
      <c r="CE53" s="57">
        <v>4522</v>
      </c>
      <c r="CF53" s="57">
        <v>4552</v>
      </c>
      <c r="CI53" s="57">
        <v>4522</v>
      </c>
      <c r="CJ53" s="57">
        <v>4547</v>
      </c>
      <c r="CK53" s="57">
        <v>4547</v>
      </c>
      <c r="CL53" s="57">
        <v>4547</v>
      </c>
      <c r="CM53" s="57">
        <v>4547</v>
      </c>
      <c r="CP53" s="57">
        <v>4547</v>
      </c>
      <c r="CQ53" s="57">
        <v>4547</v>
      </c>
      <c r="CR53" s="57">
        <v>4627</v>
      </c>
      <c r="CS53" s="57">
        <v>4697</v>
      </c>
      <c r="CT53" s="57">
        <v>4697</v>
      </c>
      <c r="CW53" s="57">
        <v>4697</v>
      </c>
      <c r="CX53" s="57">
        <v>4467</v>
      </c>
      <c r="CY53" s="57">
        <v>4467</v>
      </c>
      <c r="CZ53" s="57">
        <v>4083</v>
      </c>
      <c r="DA53" s="57">
        <v>4083</v>
      </c>
      <c r="DD53" s="57">
        <v>4083</v>
      </c>
      <c r="DE53" s="57">
        <v>4083</v>
      </c>
      <c r="DF53" s="57">
        <v>4164</v>
      </c>
      <c r="DG53" s="57">
        <v>4267</v>
      </c>
      <c r="DH53" s="57">
        <v>4267</v>
      </c>
      <c r="DK53" s="57">
        <v>4267</v>
      </c>
      <c r="DL53" s="57">
        <v>4267</v>
      </c>
      <c r="DM53" s="57">
        <v>4267</v>
      </c>
      <c r="DN53" s="57">
        <v>4127</v>
      </c>
      <c r="DO53" s="57">
        <v>4127</v>
      </c>
      <c r="DS53" s="57">
        <v>4127</v>
      </c>
      <c r="DU53" s="57">
        <v>4169</v>
      </c>
      <c r="DV53" s="57">
        <v>4386</v>
      </c>
      <c r="DY53" s="57">
        <v>4262</v>
      </c>
      <c r="DZ53" s="57">
        <v>4431</v>
      </c>
      <c r="EA53" s="57">
        <v>4493</v>
      </c>
      <c r="EB53" s="57">
        <v>4493</v>
      </c>
      <c r="EC53" s="57">
        <v>4367</v>
      </c>
      <c r="EF53" s="57">
        <v>4367</v>
      </c>
      <c r="EG53" s="57">
        <v>4186</v>
      </c>
      <c r="EH53" s="57">
        <v>4186</v>
      </c>
      <c r="EI53" s="57">
        <v>4186</v>
      </c>
      <c r="EJ53" s="57">
        <v>4186</v>
      </c>
      <c r="EM53" s="57">
        <v>4297</v>
      </c>
      <c r="EN53" s="57">
        <v>4134</v>
      </c>
      <c r="EO53" s="57">
        <v>4134</v>
      </c>
      <c r="EP53" s="57">
        <v>4134</v>
      </c>
      <c r="EQ53" s="57">
        <v>4134</v>
      </c>
    </row>
    <row r="54" spans="1:364" s="55" customFormat="1" x14ac:dyDescent="0.25">
      <c r="A54" s="60" t="s">
        <v>185</v>
      </c>
      <c r="B54" s="54"/>
      <c r="C54" s="55">
        <v>5782</v>
      </c>
      <c r="D54" s="55">
        <v>5782</v>
      </c>
      <c r="E54" s="55">
        <v>5782</v>
      </c>
      <c r="F54" s="55">
        <v>5782</v>
      </c>
      <c r="G54" s="55">
        <v>5782</v>
      </c>
      <c r="J54" s="55">
        <v>5782</v>
      </c>
      <c r="K54" s="55">
        <v>5782</v>
      </c>
      <c r="L54" s="55">
        <v>5782</v>
      </c>
      <c r="M54" s="55">
        <v>5782</v>
      </c>
      <c r="N54" s="55">
        <v>5782</v>
      </c>
      <c r="Q54" s="55">
        <v>5782</v>
      </c>
      <c r="R54" s="55">
        <v>5782</v>
      </c>
      <c r="S54" s="55">
        <v>5893</v>
      </c>
      <c r="T54" s="55">
        <v>5893</v>
      </c>
      <c r="U54" s="55">
        <v>1893</v>
      </c>
      <c r="X54" s="55">
        <v>5893</v>
      </c>
      <c r="Y54" s="55">
        <v>5893</v>
      </c>
      <c r="Z54" s="55">
        <v>5893</v>
      </c>
      <c r="AA54" s="55">
        <v>5466</v>
      </c>
      <c r="AB54" s="55">
        <v>5166</v>
      </c>
      <c r="AE54" s="55">
        <v>5166</v>
      </c>
      <c r="AF54" s="55">
        <v>5318</v>
      </c>
      <c r="AG54" s="55">
        <v>5318</v>
      </c>
      <c r="AH54" s="55">
        <v>5318</v>
      </c>
      <c r="AI54" s="55">
        <v>5318</v>
      </c>
      <c r="AL54" s="55">
        <v>5318</v>
      </c>
      <c r="AM54" s="55">
        <v>5162</v>
      </c>
      <c r="AN54" s="55">
        <v>5339</v>
      </c>
      <c r="AO54" s="55">
        <v>5339</v>
      </c>
      <c r="AP54" s="55">
        <v>5271</v>
      </c>
      <c r="AS54" s="55">
        <v>5271</v>
      </c>
      <c r="AT54" s="55">
        <v>5105</v>
      </c>
      <c r="AU54" s="55">
        <v>5094</v>
      </c>
      <c r="AV54" s="55">
        <v>5094</v>
      </c>
      <c r="AW54" s="55">
        <v>5094</v>
      </c>
      <c r="AZ54" s="55">
        <v>5094</v>
      </c>
      <c r="BA54" s="55">
        <v>5094</v>
      </c>
      <c r="BB54" s="55">
        <v>5094</v>
      </c>
      <c r="BC54" s="55">
        <v>5386</v>
      </c>
      <c r="BD54" s="55">
        <v>5386</v>
      </c>
      <c r="BG54" s="55">
        <v>5386</v>
      </c>
      <c r="BH54" s="55">
        <v>5386</v>
      </c>
      <c r="BI54" s="55">
        <v>5386</v>
      </c>
      <c r="BJ54" s="55">
        <v>5386</v>
      </c>
      <c r="BK54" s="55">
        <v>5386</v>
      </c>
      <c r="BN54" s="55">
        <v>4973</v>
      </c>
      <c r="BO54" s="55">
        <v>5101</v>
      </c>
      <c r="BP54" s="55">
        <v>5101</v>
      </c>
      <c r="BQ54" s="55">
        <v>5101</v>
      </c>
      <c r="BR54" s="55">
        <v>5101</v>
      </c>
      <c r="BU54" s="55">
        <v>5150</v>
      </c>
      <c r="BV54" s="55">
        <v>5135</v>
      </c>
      <c r="BW54" s="55">
        <v>5135</v>
      </c>
      <c r="BX54" s="55">
        <v>5135</v>
      </c>
      <c r="BY54" s="55">
        <v>4840</v>
      </c>
      <c r="CB54" s="55">
        <v>4840</v>
      </c>
      <c r="CC54" s="55">
        <v>4840</v>
      </c>
      <c r="CD54" s="55">
        <v>4840</v>
      </c>
      <c r="CE54" s="55">
        <v>4731</v>
      </c>
      <c r="CF54" s="55">
        <v>4731</v>
      </c>
      <c r="CI54" s="55">
        <v>5198</v>
      </c>
      <c r="CJ54" s="55">
        <v>4670</v>
      </c>
      <c r="CK54" s="55">
        <v>4670</v>
      </c>
      <c r="CL54" s="55">
        <v>4670</v>
      </c>
      <c r="CM54" s="55">
        <v>4670</v>
      </c>
      <c r="CP54" s="55">
        <v>4670</v>
      </c>
      <c r="CQ54" s="55">
        <v>4670</v>
      </c>
      <c r="CR54" s="55">
        <v>4759</v>
      </c>
      <c r="CS54" s="55">
        <v>4823</v>
      </c>
      <c r="CT54" s="55">
        <v>4823</v>
      </c>
      <c r="CW54" s="55">
        <v>4823</v>
      </c>
      <c r="CX54" s="55">
        <v>4610</v>
      </c>
      <c r="CY54" s="55">
        <v>4610</v>
      </c>
      <c r="CZ54" s="55">
        <v>4226</v>
      </c>
      <c r="DA54" s="55">
        <v>4408</v>
      </c>
      <c r="DD54" s="55">
        <v>4408</v>
      </c>
      <c r="DE54" s="55">
        <v>4408</v>
      </c>
      <c r="DF54" s="55">
        <v>4288</v>
      </c>
      <c r="DG54" s="55">
        <v>4372</v>
      </c>
      <c r="DH54" s="55">
        <v>4372</v>
      </c>
      <c r="DK54" s="55">
        <v>4372</v>
      </c>
      <c r="DL54" s="55">
        <v>4372</v>
      </c>
      <c r="DM54" s="55">
        <v>4372</v>
      </c>
      <c r="DN54" s="55">
        <v>4250</v>
      </c>
      <c r="DO54" s="55">
        <v>4250</v>
      </c>
      <c r="DS54" s="55">
        <v>4250</v>
      </c>
      <c r="DU54" s="55">
        <v>4498</v>
      </c>
      <c r="DV54" s="55">
        <v>4437</v>
      </c>
      <c r="DY54" s="55">
        <v>4395</v>
      </c>
      <c r="DZ54" s="55">
        <v>4610</v>
      </c>
      <c r="EA54" s="55">
        <v>4625</v>
      </c>
      <c r="EB54" s="55">
        <v>4625</v>
      </c>
      <c r="EC54" s="55">
        <v>4491</v>
      </c>
      <c r="EF54" s="55">
        <v>4491</v>
      </c>
      <c r="EG54" s="55">
        <v>4237</v>
      </c>
      <c r="EH54" s="55">
        <v>4237</v>
      </c>
      <c r="EI54" s="55">
        <v>4387</v>
      </c>
      <c r="EJ54" s="55">
        <v>4387</v>
      </c>
      <c r="EM54" s="55">
        <v>4423</v>
      </c>
      <c r="EN54" s="55">
        <v>4287</v>
      </c>
      <c r="EO54" s="55">
        <v>4619</v>
      </c>
      <c r="EP54" s="55">
        <v>4619</v>
      </c>
      <c r="EQ54" s="55">
        <v>4619</v>
      </c>
      <c r="GS54" s="77"/>
      <c r="GU54" s="77"/>
      <c r="HF54" s="77"/>
      <c r="HG54" s="77"/>
      <c r="HL54" s="77"/>
      <c r="HN54" s="77"/>
      <c r="HS54" s="77"/>
      <c r="HT54" s="77"/>
      <c r="HU54" s="77"/>
      <c r="HV54" s="77"/>
      <c r="HW54" s="77"/>
      <c r="HZ54" s="77"/>
      <c r="IA54" s="77"/>
      <c r="IB54" s="77"/>
      <c r="IC54" s="77"/>
      <c r="IG54" s="77"/>
      <c r="IH54" s="77"/>
      <c r="II54" s="77"/>
      <c r="IJ54" s="77"/>
      <c r="IK54" s="77"/>
      <c r="IU54" s="77"/>
      <c r="IV54" s="77"/>
      <c r="IW54" s="77"/>
      <c r="IX54" s="77"/>
      <c r="JE54" s="77"/>
      <c r="JF54" s="77"/>
    </row>
    <row r="55" spans="1:364" s="18" customFormat="1" x14ac:dyDescent="0.25">
      <c r="A55" s="62" t="s">
        <v>186</v>
      </c>
      <c r="B55" s="47"/>
      <c r="C55" s="18">
        <v>5775</v>
      </c>
      <c r="D55" s="18">
        <v>5775</v>
      </c>
      <c r="E55" s="18">
        <v>5775</v>
      </c>
      <c r="F55" s="18">
        <v>5725</v>
      </c>
      <c r="G55" s="18">
        <v>5725</v>
      </c>
      <c r="J55" s="18">
        <v>5725</v>
      </c>
      <c r="K55" s="18">
        <v>5725</v>
      </c>
      <c r="L55" s="18">
        <v>5725</v>
      </c>
      <c r="M55" s="18">
        <v>5525</v>
      </c>
      <c r="N55" s="18">
        <v>5525</v>
      </c>
      <c r="Q55" s="18">
        <v>5475</v>
      </c>
      <c r="R55" s="18">
        <v>5475</v>
      </c>
      <c r="S55" s="18">
        <v>5230</v>
      </c>
      <c r="T55" s="18">
        <v>5225</v>
      </c>
      <c r="U55" s="18">
        <v>5225</v>
      </c>
      <c r="X55" s="18">
        <v>5225</v>
      </c>
      <c r="Y55" s="18">
        <v>5225</v>
      </c>
      <c r="Z55" s="18">
        <v>5225</v>
      </c>
      <c r="AA55" s="18">
        <v>5225</v>
      </c>
      <c r="AB55" s="18">
        <v>5225</v>
      </c>
      <c r="AE55" s="18">
        <v>5225</v>
      </c>
      <c r="AF55" s="18">
        <v>5225</v>
      </c>
      <c r="AG55" s="18">
        <v>5175</v>
      </c>
      <c r="AH55" s="18">
        <v>5175</v>
      </c>
      <c r="AI55" s="18">
        <v>5175</v>
      </c>
      <c r="AL55" s="18">
        <v>5025</v>
      </c>
      <c r="AM55" s="18">
        <v>5025</v>
      </c>
      <c r="AN55" s="18">
        <v>5025</v>
      </c>
      <c r="AO55" s="18">
        <v>5025</v>
      </c>
      <c r="AP55" s="18">
        <v>5080</v>
      </c>
      <c r="AS55" s="18">
        <v>5080</v>
      </c>
      <c r="AU55" s="18">
        <v>5130</v>
      </c>
      <c r="AV55" s="18">
        <v>5130</v>
      </c>
      <c r="AW55" s="18">
        <v>5130</v>
      </c>
      <c r="AZ55" s="18">
        <v>5130</v>
      </c>
      <c r="BA55" s="18">
        <v>5130</v>
      </c>
      <c r="BB55" s="18">
        <v>5130</v>
      </c>
      <c r="BC55" s="18">
        <v>5130</v>
      </c>
      <c r="BD55" s="18">
        <v>5130</v>
      </c>
      <c r="BG55" s="18">
        <v>5130</v>
      </c>
      <c r="BH55" s="18">
        <v>5130</v>
      </c>
      <c r="BI55" s="18">
        <v>5130</v>
      </c>
      <c r="BJ55" s="18">
        <v>5130</v>
      </c>
      <c r="BK55" s="18">
        <v>5130</v>
      </c>
      <c r="BN55" s="18">
        <v>5035</v>
      </c>
      <c r="BO55" s="18">
        <v>4960</v>
      </c>
      <c r="BP55" s="18">
        <v>4960</v>
      </c>
      <c r="BQ55" s="18">
        <v>4945</v>
      </c>
      <c r="BR55" s="18">
        <v>4945</v>
      </c>
      <c r="BU55" s="18">
        <v>4945</v>
      </c>
      <c r="BV55" s="18">
        <v>4945</v>
      </c>
      <c r="BW55" s="18">
        <v>4945</v>
      </c>
      <c r="BX55" s="18">
        <v>4945</v>
      </c>
      <c r="BY55" s="18">
        <v>4880</v>
      </c>
      <c r="CB55" s="18">
        <v>4880</v>
      </c>
      <c r="CC55" s="18">
        <v>4880</v>
      </c>
      <c r="CD55" s="18">
        <v>4795</v>
      </c>
      <c r="CE55" s="18">
        <v>4795</v>
      </c>
      <c r="CF55" s="18">
        <v>4795</v>
      </c>
      <c r="CI55" s="18">
        <v>4795</v>
      </c>
      <c r="CJ55" s="18">
        <v>4795</v>
      </c>
      <c r="CK55" s="18">
        <v>4745</v>
      </c>
      <c r="CL55" s="18">
        <v>4745</v>
      </c>
      <c r="CM55" s="18">
        <v>4745</v>
      </c>
      <c r="CP55" s="18">
        <v>4250</v>
      </c>
      <c r="CQ55" s="18">
        <v>4525</v>
      </c>
      <c r="CR55" s="18">
        <v>4480</v>
      </c>
      <c r="CS55" s="18">
        <v>4480</v>
      </c>
      <c r="CT55" s="18">
        <v>4480</v>
      </c>
      <c r="CW55" s="18">
        <v>4480</v>
      </c>
      <c r="CX55" s="18">
        <v>4550</v>
      </c>
      <c r="CY55" s="18">
        <v>4465</v>
      </c>
      <c r="CZ55" s="18">
        <v>4465</v>
      </c>
      <c r="DA55" s="18">
        <v>4390</v>
      </c>
      <c r="DD55" s="18">
        <v>4390</v>
      </c>
      <c r="DE55" s="18">
        <v>4390</v>
      </c>
      <c r="DF55" s="18">
        <v>4545</v>
      </c>
      <c r="DG55" s="18">
        <v>4240</v>
      </c>
      <c r="DH55" s="18">
        <v>4240</v>
      </c>
      <c r="DK55" s="18">
        <v>4240</v>
      </c>
      <c r="DL55" s="18">
        <v>4240</v>
      </c>
      <c r="DM55" s="18">
        <v>4455</v>
      </c>
      <c r="DN55" s="18">
        <v>4370</v>
      </c>
      <c r="DO55" s="18">
        <v>4370</v>
      </c>
      <c r="DR55" s="18">
        <v>4370</v>
      </c>
      <c r="DS55" s="18">
        <v>4285</v>
      </c>
      <c r="DT55" s="18">
        <v>4285</v>
      </c>
      <c r="DU55" s="18">
        <v>4265</v>
      </c>
      <c r="DV55" s="18">
        <v>4265</v>
      </c>
      <c r="DY55" s="18">
        <v>4265</v>
      </c>
      <c r="DZ55" s="18">
        <v>4470</v>
      </c>
      <c r="EA55" s="18">
        <v>4370</v>
      </c>
      <c r="EB55" s="18">
        <v>4370</v>
      </c>
      <c r="EC55" s="18">
        <v>4280</v>
      </c>
      <c r="EF55" s="18">
        <v>4280</v>
      </c>
      <c r="EG55" s="18">
        <v>4220</v>
      </c>
      <c r="EH55" s="18">
        <v>4220</v>
      </c>
      <c r="EI55" s="18">
        <v>4369</v>
      </c>
      <c r="EJ55" s="18">
        <v>4360</v>
      </c>
      <c r="EM55" s="18">
        <v>4280</v>
      </c>
      <c r="EN55" s="18">
        <v>4200</v>
      </c>
      <c r="EO55" s="18">
        <v>4165</v>
      </c>
      <c r="EP55" s="18">
        <v>4165</v>
      </c>
      <c r="EQ55" s="18">
        <v>4165</v>
      </c>
      <c r="ET55" s="18">
        <v>4120</v>
      </c>
      <c r="EU55" s="18">
        <v>4215</v>
      </c>
      <c r="EV55" s="18">
        <v>4307</v>
      </c>
      <c r="EW55" s="18">
        <v>4015</v>
      </c>
      <c r="EX55" s="18">
        <v>4130</v>
      </c>
      <c r="FK55" s="18">
        <v>4050</v>
      </c>
      <c r="FL55" s="18">
        <v>4050</v>
      </c>
      <c r="FO55" s="18">
        <v>4610</v>
      </c>
      <c r="FP55" s="18">
        <v>4020</v>
      </c>
      <c r="FQ55" s="18">
        <v>4560</v>
      </c>
      <c r="FR55" s="18">
        <v>4545</v>
      </c>
      <c r="FS55" s="18">
        <v>4500</v>
      </c>
      <c r="FV55" s="18">
        <v>4280</v>
      </c>
      <c r="FW55" s="18">
        <v>4590</v>
      </c>
      <c r="FX55" s="18">
        <v>4280</v>
      </c>
      <c r="FY55" s="18">
        <v>4280</v>
      </c>
      <c r="GC55" s="18">
        <v>4280</v>
      </c>
      <c r="GD55" s="18">
        <v>4280</v>
      </c>
      <c r="GE55" s="18">
        <v>4120</v>
      </c>
      <c r="GF55" s="18">
        <v>4400</v>
      </c>
      <c r="GG55" s="18">
        <v>4400</v>
      </c>
      <c r="GJ55" s="18">
        <v>4330</v>
      </c>
      <c r="GK55" s="18">
        <v>4375</v>
      </c>
      <c r="GL55" s="18">
        <v>4315</v>
      </c>
      <c r="GS55" s="47"/>
      <c r="GU55" s="47"/>
      <c r="GX55" s="18">
        <v>4420</v>
      </c>
      <c r="GY55" s="18">
        <v>4285</v>
      </c>
      <c r="GZ55" s="18">
        <v>4285</v>
      </c>
      <c r="HA55" s="18">
        <v>4420</v>
      </c>
      <c r="HB55" s="18">
        <v>4165</v>
      </c>
      <c r="HF55" s="47">
        <v>4115</v>
      </c>
      <c r="HG55" s="47">
        <v>4195</v>
      </c>
      <c r="HH55" s="18">
        <v>4195</v>
      </c>
      <c r="HI55" s="18">
        <v>4335</v>
      </c>
      <c r="HL55" s="47"/>
      <c r="HM55" s="18">
        <v>4320</v>
      </c>
      <c r="HN55" s="47">
        <v>4280</v>
      </c>
      <c r="HO55" s="18">
        <v>4280</v>
      </c>
      <c r="HS55" s="47"/>
      <c r="HT55" s="47"/>
      <c r="HU55" s="18">
        <v>4315</v>
      </c>
      <c r="HV55" s="47">
        <v>4315</v>
      </c>
      <c r="HW55" s="47">
        <v>4270</v>
      </c>
      <c r="HZ55" s="47">
        <v>4440</v>
      </c>
      <c r="IA55" s="47">
        <v>4400</v>
      </c>
      <c r="IB55" s="47">
        <v>4365</v>
      </c>
      <c r="IC55" s="47">
        <v>4310</v>
      </c>
      <c r="IG55" s="47">
        <v>4310</v>
      </c>
      <c r="IH55" s="47">
        <v>4570</v>
      </c>
      <c r="II55" s="47">
        <v>4570</v>
      </c>
      <c r="IJ55" s="47">
        <v>4530</v>
      </c>
      <c r="IK55" s="47">
        <v>4595</v>
      </c>
      <c r="IO55" s="18">
        <v>4495</v>
      </c>
      <c r="IP55" s="18">
        <v>4490</v>
      </c>
      <c r="IR55" s="18">
        <v>4456.3100000000004</v>
      </c>
      <c r="IU55" s="47">
        <v>4500</v>
      </c>
      <c r="IV55" s="47">
        <v>4560</v>
      </c>
      <c r="IW55" s="47">
        <v>4500</v>
      </c>
      <c r="IX55" s="47">
        <v>4530</v>
      </c>
      <c r="IY55" s="18">
        <v>4475</v>
      </c>
      <c r="JB55" s="18">
        <v>4530</v>
      </c>
      <c r="JC55" s="18">
        <v>4445</v>
      </c>
      <c r="JD55" s="18">
        <v>4345</v>
      </c>
      <c r="JE55" s="47">
        <v>4390</v>
      </c>
      <c r="JF55" s="47">
        <v>4495</v>
      </c>
      <c r="JI55" s="18">
        <v>4560</v>
      </c>
      <c r="JJ55" s="18">
        <v>4475</v>
      </c>
      <c r="JK55" s="18">
        <v>4460</v>
      </c>
      <c r="JL55" s="18">
        <v>4475</v>
      </c>
      <c r="JM55" s="18">
        <v>4480</v>
      </c>
      <c r="JP55" s="18">
        <v>4480</v>
      </c>
      <c r="JQ55" s="18">
        <v>4480</v>
      </c>
      <c r="JR55" s="18">
        <v>4680</v>
      </c>
      <c r="JS55" s="18">
        <v>4685</v>
      </c>
      <c r="JT55" s="18">
        <v>4685</v>
      </c>
      <c r="JW55" s="18">
        <v>4860</v>
      </c>
      <c r="JX55" s="18">
        <v>4690</v>
      </c>
      <c r="JY55" s="18">
        <v>4690</v>
      </c>
      <c r="KA55" s="18">
        <v>4860</v>
      </c>
      <c r="KD55" s="18">
        <v>4705</v>
      </c>
      <c r="KE55" s="18">
        <v>4705</v>
      </c>
      <c r="KF55" s="18">
        <v>4750</v>
      </c>
      <c r="KG55" s="18">
        <v>4560</v>
      </c>
      <c r="KH55" s="18">
        <v>4710</v>
      </c>
      <c r="KK55" s="18">
        <v>4655</v>
      </c>
      <c r="KL55" s="18">
        <v>4655</v>
      </c>
      <c r="KM55" s="18">
        <v>4650</v>
      </c>
      <c r="KN55" s="18">
        <v>4710</v>
      </c>
      <c r="KO55" s="18">
        <v>4645</v>
      </c>
      <c r="KS55" s="18">
        <v>4650</v>
      </c>
      <c r="KT55" s="18">
        <v>4800</v>
      </c>
      <c r="KY55" s="18">
        <v>4545</v>
      </c>
      <c r="KZ55" s="18">
        <v>4505</v>
      </c>
      <c r="LA55" s="18">
        <v>4525</v>
      </c>
      <c r="LB55" s="18">
        <v>4525</v>
      </c>
      <c r="LC55" s="18">
        <v>4780</v>
      </c>
      <c r="LF55" s="18">
        <v>4585</v>
      </c>
      <c r="LG55" s="18">
        <v>4660</v>
      </c>
      <c r="LI55" s="18">
        <v>4680</v>
      </c>
      <c r="LJ55" s="18">
        <v>4660</v>
      </c>
      <c r="LN55" s="18">
        <v>4745</v>
      </c>
      <c r="LO55" s="18">
        <v>4690</v>
      </c>
      <c r="LP55" s="18">
        <v>4690</v>
      </c>
      <c r="LQ55" s="18">
        <v>4690</v>
      </c>
      <c r="LT55" s="18">
        <v>4685</v>
      </c>
      <c r="LU55" s="18">
        <v>4560</v>
      </c>
      <c r="LV55" s="18">
        <v>4560</v>
      </c>
      <c r="LW55" s="18">
        <v>4685</v>
      </c>
      <c r="LX55" s="18">
        <v>4685</v>
      </c>
      <c r="MA55" s="18">
        <v>4685</v>
      </c>
      <c r="MB55" s="18">
        <v>4685</v>
      </c>
      <c r="MC55" s="18">
        <v>4660</v>
      </c>
      <c r="MD55" s="18">
        <v>4850</v>
      </c>
      <c r="ME55" s="18">
        <v>4450</v>
      </c>
      <c r="MH55" s="18">
        <v>4270</v>
      </c>
      <c r="MI55" s="18">
        <v>4320</v>
      </c>
      <c r="MJ55" s="18">
        <v>4420</v>
      </c>
      <c r="MK55" s="18">
        <v>4365</v>
      </c>
      <c r="ML55" s="18">
        <v>4360</v>
      </c>
      <c r="MO55" s="18">
        <v>4420</v>
      </c>
      <c r="MP55" s="18">
        <v>4415</v>
      </c>
      <c r="MQ55" s="18">
        <v>4630</v>
      </c>
      <c r="MR55" s="18">
        <v>4415</v>
      </c>
      <c r="MS55" s="18">
        <v>4615</v>
      </c>
      <c r="MW55" s="18">
        <v>4425</v>
      </c>
      <c r="MX55" s="18">
        <v>4410</v>
      </c>
      <c r="MY55" s="18">
        <v>4410</v>
      </c>
      <c r="MZ55" s="18">
        <v>4630</v>
      </c>
    </row>
    <row r="56" spans="1:364" s="55" customFormat="1" x14ac:dyDescent="0.25">
      <c r="A56" s="60" t="s">
        <v>187</v>
      </c>
      <c r="B56" s="54"/>
      <c r="C56" s="55">
        <v>5699</v>
      </c>
      <c r="D56" s="55">
        <v>5699</v>
      </c>
      <c r="E56" s="55">
        <v>5750</v>
      </c>
      <c r="F56" s="55">
        <v>5751</v>
      </c>
      <c r="G56" s="55">
        <v>5599</v>
      </c>
      <c r="J56" s="55">
        <v>5538</v>
      </c>
      <c r="K56" s="55">
        <v>5528</v>
      </c>
      <c r="L56" s="55">
        <v>5407</v>
      </c>
      <c r="M56" s="55">
        <v>5337</v>
      </c>
      <c r="N56" s="55">
        <v>5357</v>
      </c>
      <c r="Q56" s="55">
        <v>5390</v>
      </c>
      <c r="R56" s="55">
        <v>5262</v>
      </c>
      <c r="S56" s="55">
        <v>5266</v>
      </c>
      <c r="T56" s="55">
        <v>5348</v>
      </c>
      <c r="U56" s="55">
        <v>5183</v>
      </c>
      <c r="X56" s="55">
        <v>5143</v>
      </c>
      <c r="Y56" s="55">
        <v>5143</v>
      </c>
      <c r="Z56" s="55">
        <v>5143</v>
      </c>
      <c r="AA56" s="55">
        <v>5021</v>
      </c>
      <c r="AB56" s="55">
        <v>5021</v>
      </c>
      <c r="AE56" s="55">
        <v>5039</v>
      </c>
      <c r="AF56" s="55">
        <v>5039</v>
      </c>
      <c r="AG56" s="55">
        <v>5186</v>
      </c>
      <c r="AH56" s="55">
        <v>5063</v>
      </c>
      <c r="AI56" s="55">
        <v>5105</v>
      </c>
      <c r="AL56" s="55">
        <v>5041</v>
      </c>
      <c r="AM56" s="55">
        <v>5265</v>
      </c>
      <c r="AN56" s="55">
        <v>5395</v>
      </c>
      <c r="AO56" s="55">
        <v>5395</v>
      </c>
      <c r="AP56" s="55">
        <v>5267</v>
      </c>
      <c r="AS56" s="55">
        <v>5322</v>
      </c>
      <c r="AU56" s="55">
        <v>5159</v>
      </c>
      <c r="AV56" s="55">
        <v>5225</v>
      </c>
      <c r="AW56" s="55">
        <v>5225</v>
      </c>
      <c r="AZ56" s="55">
        <v>5225</v>
      </c>
      <c r="BA56" s="55">
        <v>5225</v>
      </c>
      <c r="BB56" s="55">
        <v>5225</v>
      </c>
      <c r="BC56" s="55">
        <v>5030</v>
      </c>
      <c r="BD56" s="55">
        <v>5046</v>
      </c>
      <c r="BG56" s="55">
        <v>5072</v>
      </c>
      <c r="BH56" s="55">
        <v>5003</v>
      </c>
      <c r="BI56" s="55">
        <v>4999</v>
      </c>
      <c r="BJ56" s="55">
        <v>5094</v>
      </c>
      <c r="BK56" s="55">
        <v>5210</v>
      </c>
      <c r="BN56" s="55">
        <v>5162</v>
      </c>
      <c r="BO56" s="55">
        <v>5077</v>
      </c>
      <c r="BP56" s="55">
        <v>4990</v>
      </c>
      <c r="BQ56" s="55">
        <v>4985</v>
      </c>
      <c r="BR56" s="55">
        <v>4783</v>
      </c>
      <c r="BU56" s="55">
        <v>4869</v>
      </c>
      <c r="BV56" s="55">
        <v>4840</v>
      </c>
      <c r="BW56" s="55">
        <v>4812</v>
      </c>
      <c r="BX56" s="55">
        <v>4842</v>
      </c>
      <c r="BY56" s="55">
        <v>4905</v>
      </c>
      <c r="CB56" s="55">
        <v>5008</v>
      </c>
      <c r="CC56" s="55">
        <v>5008</v>
      </c>
      <c r="CD56" s="55">
        <v>4702</v>
      </c>
      <c r="CE56" s="55">
        <v>4539</v>
      </c>
      <c r="CF56" s="55">
        <v>4407</v>
      </c>
      <c r="CI56" s="55">
        <v>4407</v>
      </c>
      <c r="CJ56" s="55">
        <v>4474</v>
      </c>
      <c r="CK56" s="55">
        <v>4485</v>
      </c>
      <c r="CL56" s="55">
        <v>4485</v>
      </c>
      <c r="CM56" s="55">
        <v>4485</v>
      </c>
      <c r="CP56" s="55">
        <v>4513</v>
      </c>
      <c r="CQ56" s="55">
        <v>4415</v>
      </c>
      <c r="CR56" s="55">
        <v>4258</v>
      </c>
      <c r="CS56" s="55">
        <v>4194</v>
      </c>
      <c r="CT56" s="55">
        <v>4194</v>
      </c>
      <c r="CW56" s="55">
        <v>4194</v>
      </c>
      <c r="CX56" s="55">
        <v>4130</v>
      </c>
      <c r="CY56" s="55">
        <v>4175</v>
      </c>
      <c r="CZ56" s="55">
        <v>4124</v>
      </c>
      <c r="DA56" s="55">
        <v>4130</v>
      </c>
      <c r="DD56" s="55">
        <v>4130</v>
      </c>
      <c r="DE56" s="55">
        <v>4162</v>
      </c>
      <c r="DF56" s="55">
        <v>4162</v>
      </c>
      <c r="DG56" s="55">
        <v>4219</v>
      </c>
      <c r="DH56" s="55">
        <v>4219</v>
      </c>
      <c r="DK56" s="55">
        <v>4219</v>
      </c>
      <c r="DL56" s="55">
        <v>4219</v>
      </c>
      <c r="DM56" s="55">
        <v>3996</v>
      </c>
      <c r="DN56" s="55">
        <v>3984</v>
      </c>
      <c r="DO56" s="55">
        <v>3984</v>
      </c>
      <c r="DR56" s="55">
        <v>3984</v>
      </c>
      <c r="DS56" s="55">
        <v>3937</v>
      </c>
      <c r="DT56" s="55">
        <v>4043</v>
      </c>
      <c r="DU56" s="55">
        <v>4099</v>
      </c>
      <c r="DV56" s="55">
        <v>4143</v>
      </c>
      <c r="DY56" s="55">
        <v>4232</v>
      </c>
      <c r="DZ56" s="55">
        <v>4225</v>
      </c>
      <c r="EA56" s="55">
        <v>4165</v>
      </c>
      <c r="EB56" s="55">
        <v>4165</v>
      </c>
      <c r="EC56" s="55">
        <v>4090</v>
      </c>
      <c r="EF56" s="55">
        <v>4065</v>
      </c>
      <c r="EG56" s="55">
        <v>4043</v>
      </c>
      <c r="EH56" s="55">
        <v>3952</v>
      </c>
      <c r="EI56" s="55">
        <v>3881</v>
      </c>
      <c r="EJ56" s="55">
        <v>3884</v>
      </c>
      <c r="EM56" s="55">
        <v>3905</v>
      </c>
      <c r="EN56" s="55">
        <v>3911</v>
      </c>
      <c r="EO56" s="55">
        <v>3834</v>
      </c>
      <c r="EP56" s="55">
        <v>3834</v>
      </c>
      <c r="EQ56" s="55">
        <v>3834</v>
      </c>
      <c r="ET56" s="55">
        <v>3854</v>
      </c>
      <c r="EU56" s="55">
        <v>3746</v>
      </c>
      <c r="EV56" s="55">
        <v>3774</v>
      </c>
      <c r="EW56" s="55">
        <v>3808</v>
      </c>
      <c r="EX56" s="55">
        <v>3808</v>
      </c>
      <c r="FK56" s="55">
        <v>4019</v>
      </c>
      <c r="FL56" s="55">
        <v>4140</v>
      </c>
      <c r="FO56" s="55">
        <v>4231</v>
      </c>
      <c r="FP56" s="55">
        <v>4196</v>
      </c>
      <c r="FQ56" s="55">
        <v>4204</v>
      </c>
      <c r="FR56" s="55">
        <v>4046</v>
      </c>
      <c r="FS56" s="55">
        <v>3924</v>
      </c>
      <c r="FV56" s="55">
        <v>4042</v>
      </c>
      <c r="FW56" s="55">
        <v>4068</v>
      </c>
      <c r="FX56" s="55">
        <v>4085</v>
      </c>
      <c r="FY56" s="55">
        <v>4010</v>
      </c>
      <c r="GC56" s="55">
        <v>4018</v>
      </c>
      <c r="GD56" s="55">
        <v>4117</v>
      </c>
      <c r="GE56" s="55">
        <v>4236</v>
      </c>
      <c r="GF56" s="55">
        <v>4279</v>
      </c>
      <c r="GG56" s="55">
        <v>4279</v>
      </c>
      <c r="GJ56" s="55">
        <v>4099</v>
      </c>
      <c r="GK56" s="55">
        <v>4200</v>
      </c>
      <c r="GL56" s="55">
        <v>4065</v>
      </c>
      <c r="GS56" s="77"/>
      <c r="GU56" s="77"/>
      <c r="GX56" s="55">
        <v>4189</v>
      </c>
      <c r="GY56" s="55">
        <v>4281</v>
      </c>
      <c r="GZ56" s="55">
        <v>4322</v>
      </c>
      <c r="HA56" s="55">
        <v>4200</v>
      </c>
      <c r="HB56" s="55">
        <v>4171</v>
      </c>
      <c r="HF56" s="77">
        <v>4140</v>
      </c>
      <c r="HG56" s="77">
        <v>4313</v>
      </c>
      <c r="HH56" s="55">
        <v>4253</v>
      </c>
      <c r="HI56" s="55">
        <v>4271</v>
      </c>
      <c r="HL56" s="77"/>
      <c r="HM56" s="55">
        <v>4186</v>
      </c>
      <c r="HN56" s="77">
        <v>4159</v>
      </c>
      <c r="HO56" s="55">
        <v>4181</v>
      </c>
      <c r="HS56" s="77"/>
      <c r="HT56" s="77"/>
      <c r="HU56" s="55">
        <v>4152</v>
      </c>
      <c r="HV56" s="77">
        <v>4136</v>
      </c>
      <c r="HW56" s="77">
        <v>4193</v>
      </c>
      <c r="HZ56" s="77">
        <v>4193</v>
      </c>
      <c r="IA56" s="77">
        <v>4182</v>
      </c>
      <c r="IB56" s="77">
        <v>4008</v>
      </c>
      <c r="IC56" s="77">
        <v>4032</v>
      </c>
      <c r="IG56" s="77">
        <v>4052</v>
      </c>
      <c r="IH56" s="77">
        <v>4103</v>
      </c>
      <c r="II56" s="77">
        <v>4027</v>
      </c>
      <c r="IJ56" s="77">
        <v>3970</v>
      </c>
      <c r="IK56" s="77">
        <v>4085</v>
      </c>
      <c r="IO56" s="55">
        <v>4149</v>
      </c>
      <c r="IP56" s="55">
        <v>4083</v>
      </c>
      <c r="IR56" s="55">
        <v>4090</v>
      </c>
      <c r="IU56" s="77">
        <v>3931</v>
      </c>
      <c r="IV56" s="77">
        <v>3920</v>
      </c>
      <c r="IW56" s="77">
        <v>3950</v>
      </c>
      <c r="IX56" s="77">
        <v>4095</v>
      </c>
      <c r="IY56" s="55">
        <v>4100</v>
      </c>
      <c r="JB56" s="55">
        <v>4127</v>
      </c>
      <c r="JC56" s="55">
        <v>4132</v>
      </c>
      <c r="JD56" s="55">
        <v>4091</v>
      </c>
      <c r="JE56" s="77">
        <v>3937</v>
      </c>
      <c r="JF56" s="77">
        <v>3941</v>
      </c>
      <c r="JI56" s="55">
        <v>4066</v>
      </c>
      <c r="JJ56" s="55">
        <v>3980</v>
      </c>
      <c r="JK56" s="55">
        <v>3990</v>
      </c>
      <c r="JL56" s="55">
        <v>4051</v>
      </c>
      <c r="JM56" s="55">
        <v>4046</v>
      </c>
      <c r="JP56" s="55">
        <v>3954</v>
      </c>
      <c r="JQ56" s="55">
        <v>4072</v>
      </c>
      <c r="JR56" s="55">
        <v>4124</v>
      </c>
      <c r="JS56" s="55">
        <v>4036</v>
      </c>
      <c r="JT56" s="55">
        <v>4041</v>
      </c>
      <c r="JW56" s="55">
        <v>4039</v>
      </c>
      <c r="JX56" s="55">
        <v>3938</v>
      </c>
      <c r="JY56" s="55">
        <v>3968</v>
      </c>
      <c r="KA56" s="55">
        <v>3912</v>
      </c>
      <c r="KD56" s="55">
        <v>4088</v>
      </c>
      <c r="KE56" s="55">
        <v>4147</v>
      </c>
      <c r="KF56" s="55">
        <v>4076</v>
      </c>
      <c r="KG56" s="55">
        <v>4047</v>
      </c>
      <c r="KH56" s="55">
        <v>3900</v>
      </c>
      <c r="KK56" s="55">
        <v>3916</v>
      </c>
      <c r="KL56" s="55">
        <v>3939</v>
      </c>
      <c r="KM56" s="55">
        <v>3957</v>
      </c>
      <c r="KN56" s="55">
        <v>4016</v>
      </c>
      <c r="KO56" s="55">
        <v>3945</v>
      </c>
      <c r="KS56" s="55">
        <v>4050</v>
      </c>
      <c r="KT56" s="55">
        <v>4046</v>
      </c>
      <c r="KY56" s="55">
        <v>3941</v>
      </c>
      <c r="KZ56" s="55">
        <v>4062</v>
      </c>
      <c r="LA56" s="55">
        <v>4046</v>
      </c>
      <c r="LB56" s="55">
        <v>4230</v>
      </c>
      <c r="LC56" s="55">
        <v>4250</v>
      </c>
      <c r="LF56" s="55">
        <v>4354</v>
      </c>
      <c r="LG56" s="55">
        <v>4431</v>
      </c>
      <c r="LI56" s="55">
        <v>4459</v>
      </c>
      <c r="LJ56" s="55">
        <v>4375</v>
      </c>
      <c r="LN56" s="55">
        <v>4426</v>
      </c>
      <c r="LO56" s="55">
        <v>4462</v>
      </c>
      <c r="LP56" s="55">
        <v>4345</v>
      </c>
      <c r="LQ56" s="55">
        <v>4352</v>
      </c>
      <c r="LT56" s="55">
        <v>4113</v>
      </c>
      <c r="LU56" s="55">
        <v>4186</v>
      </c>
      <c r="LV56" s="55">
        <v>4295</v>
      </c>
      <c r="LW56" s="55">
        <v>4281</v>
      </c>
      <c r="LX56" s="55">
        <v>4274</v>
      </c>
      <c r="MA56" s="55">
        <v>4156</v>
      </c>
      <c r="MB56" s="55">
        <v>4200</v>
      </c>
      <c r="MC56" s="55">
        <v>4042</v>
      </c>
      <c r="MD56" s="55">
        <v>3876</v>
      </c>
      <c r="ME56" s="55">
        <v>3957</v>
      </c>
      <c r="MH56" s="55">
        <v>3898</v>
      </c>
      <c r="MI56" s="55">
        <v>3983</v>
      </c>
      <c r="MJ56" s="55">
        <v>4097</v>
      </c>
      <c r="MK56" s="55">
        <v>4048</v>
      </c>
      <c r="ML56" s="55">
        <v>3998</v>
      </c>
      <c r="MO56" s="55">
        <v>4075</v>
      </c>
      <c r="MP56" s="55">
        <v>4108</v>
      </c>
      <c r="MQ56" s="55">
        <v>4076</v>
      </c>
      <c r="MR56" s="55">
        <v>3998</v>
      </c>
      <c r="MS56" s="55">
        <v>3871</v>
      </c>
      <c r="MW56" s="55">
        <v>3774</v>
      </c>
      <c r="MX56" s="55">
        <v>3745</v>
      </c>
      <c r="MY56" s="55">
        <v>3765</v>
      </c>
      <c r="MZ56" s="55">
        <v>3706</v>
      </c>
    </row>
    <row r="57" spans="1:364" s="58" customFormat="1" x14ac:dyDescent="0.25">
      <c r="A57" s="62" t="s">
        <v>189</v>
      </c>
      <c r="B57" s="42"/>
    </row>
    <row r="58" spans="1:364" x14ac:dyDescent="0.25"/>
    <row r="59" spans="1:364" x14ac:dyDescent="0.25"/>
    <row r="60" spans="1:364" x14ac:dyDescent="0.25">
      <c r="MS60" s="84"/>
    </row>
    <row r="61" spans="1:364" x14ac:dyDescent="0.25">
      <c r="KI61" s="55"/>
    </row>
    <row r="62" spans="1:364" x14ac:dyDescent="0.25"/>
    <row r="63" spans="1:364" x14ac:dyDescent="0.25"/>
    <row r="64" spans="1:3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spans="6:14" x14ac:dyDescent="0.25"/>
    <row r="130" spans="6:14" s="5" customFormat="1" x14ac:dyDescent="0.25"/>
    <row r="131" spans="6:14" s="5" customFormat="1" x14ac:dyDescent="0.25"/>
    <row r="132" spans="6:14" s="5" customFormat="1" x14ac:dyDescent="0.25"/>
    <row r="144" spans="6:14" hidden="1" x14ac:dyDescent="0.25">
      <c r="F144">
        <v>0</v>
      </c>
      <c r="G144">
        <v>0</v>
      </c>
      <c r="M144">
        <v>0</v>
      </c>
      <c r="N144">
        <v>0</v>
      </c>
    </row>
    <row r="145" spans="6:14" hidden="1" x14ac:dyDescent="0.25">
      <c r="F145">
        <v>0</v>
      </c>
      <c r="G145">
        <v>0</v>
      </c>
      <c r="M145">
        <v>0</v>
      </c>
      <c r="N145">
        <v>0</v>
      </c>
    </row>
    <row r="146" spans="6:14" hidden="1" x14ac:dyDescent="0.25">
      <c r="F146">
        <v>0</v>
      </c>
      <c r="G146">
        <v>0</v>
      </c>
      <c r="M146">
        <v>0</v>
      </c>
      <c r="N146">
        <v>0</v>
      </c>
    </row>
    <row r="147" spans="6:14" hidden="1" x14ac:dyDescent="0.25">
      <c r="F147">
        <v>0</v>
      </c>
      <c r="G147">
        <v>2325</v>
      </c>
      <c r="M147">
        <v>0</v>
      </c>
      <c r="N147">
        <v>0</v>
      </c>
    </row>
    <row r="148" spans="6:14" hidden="1" x14ac:dyDescent="0.25">
      <c r="F148">
        <v>0</v>
      </c>
      <c r="G148">
        <v>0</v>
      </c>
      <c r="M148">
        <v>0</v>
      </c>
      <c r="N148">
        <v>0</v>
      </c>
    </row>
    <row r="149" spans="6:14" hidden="1" x14ac:dyDescent="0.25">
      <c r="F149">
        <v>0</v>
      </c>
      <c r="G149">
        <v>1440</v>
      </c>
      <c r="M149">
        <v>0</v>
      </c>
      <c r="N149">
        <v>0</v>
      </c>
    </row>
  </sheetData>
  <phoneticPr fontId="42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H44"/>
  <sheetViews>
    <sheetView topLeftCell="F1" workbookViewId="0">
      <selection activeCell="F9" sqref="F9"/>
    </sheetView>
  </sheetViews>
  <sheetFormatPr defaultColWidth="0" defaultRowHeight="15" zeroHeight="1" x14ac:dyDescent="0.25"/>
  <cols>
    <col min="1" max="1" width="41" bestFit="1" customWidth="1"/>
    <col min="2" max="2" width="60.28515625" bestFit="1" customWidth="1"/>
    <col min="3" max="3" width="65.42578125" bestFit="1" customWidth="1"/>
    <col min="4" max="4" width="15.140625" bestFit="1" customWidth="1"/>
    <col min="5" max="5" width="55.85546875" bestFit="1" customWidth="1"/>
    <col min="6" max="6" width="155.140625" bestFit="1" customWidth="1"/>
    <col min="7" max="7" width="17.7109375" bestFit="1" customWidth="1"/>
    <col min="8" max="8" width="11.85546875" hidden="1" customWidth="1"/>
    <col min="9" max="16384" width="9.140625" hidden="1"/>
  </cols>
  <sheetData>
    <row r="1" spans="1:7" x14ac:dyDescent="0.25">
      <c r="A1" s="1" t="s">
        <v>130</v>
      </c>
      <c r="B1" s="1" t="s">
        <v>1</v>
      </c>
      <c r="C1" s="1" t="s">
        <v>4</v>
      </c>
      <c r="D1" s="1" t="s">
        <v>156</v>
      </c>
      <c r="E1" s="1" t="s">
        <v>136</v>
      </c>
    </row>
    <row r="2" spans="1:7" x14ac:dyDescent="0.25">
      <c r="A2" s="2" t="s">
        <v>72</v>
      </c>
      <c r="B2" s="2" t="s">
        <v>7</v>
      </c>
      <c r="C2" s="2" t="s">
        <v>14</v>
      </c>
      <c r="D2" s="2" t="s">
        <v>21</v>
      </c>
      <c r="E2" s="3" t="s">
        <v>135</v>
      </c>
      <c r="F2" s="2" t="s">
        <v>168</v>
      </c>
      <c r="G2" s="2"/>
    </row>
    <row r="3" spans="1:7" x14ac:dyDescent="0.25">
      <c r="A3" t="s">
        <v>73</v>
      </c>
      <c r="B3" t="s">
        <v>104</v>
      </c>
      <c r="C3" t="s">
        <v>20</v>
      </c>
      <c r="D3" t="s">
        <v>18</v>
      </c>
    </row>
    <row r="4" spans="1:7" x14ac:dyDescent="0.25">
      <c r="A4" s="2" t="s">
        <v>74</v>
      </c>
      <c r="B4" s="2" t="s">
        <v>12</v>
      </c>
      <c r="C4" s="2" t="s">
        <v>152</v>
      </c>
      <c r="D4" s="2" t="s">
        <v>9</v>
      </c>
      <c r="E4" s="3" t="s">
        <v>157</v>
      </c>
      <c r="F4" s="2" t="s">
        <v>149</v>
      </c>
      <c r="G4" s="2"/>
    </row>
    <row r="5" spans="1:7" x14ac:dyDescent="0.25">
      <c r="A5" t="s">
        <v>75</v>
      </c>
      <c r="B5" t="s">
        <v>11</v>
      </c>
      <c r="C5" t="s">
        <v>15</v>
      </c>
      <c r="D5" t="s">
        <v>9</v>
      </c>
      <c r="E5" s="4" t="s">
        <v>162</v>
      </c>
      <c r="F5" t="s">
        <v>149</v>
      </c>
    </row>
    <row r="6" spans="1:7" x14ac:dyDescent="0.25">
      <c r="A6" s="2" t="s">
        <v>76</v>
      </c>
      <c r="B6" s="2" t="s">
        <v>10</v>
      </c>
      <c r="C6" s="2" t="s">
        <v>150</v>
      </c>
      <c r="D6" s="2" t="s">
        <v>9</v>
      </c>
      <c r="E6" s="3" t="s">
        <v>163</v>
      </c>
      <c r="F6" s="2" t="s">
        <v>149</v>
      </c>
      <c r="G6" s="2"/>
    </row>
    <row r="7" spans="1:7" x14ac:dyDescent="0.25">
      <c r="A7" t="s">
        <v>77</v>
      </c>
      <c r="B7" t="s">
        <v>13</v>
      </c>
      <c r="C7" t="s">
        <v>27</v>
      </c>
      <c r="D7" t="s">
        <v>29</v>
      </c>
      <c r="E7" s="4" t="s">
        <v>141</v>
      </c>
      <c r="F7" t="s">
        <v>146</v>
      </c>
    </row>
    <row r="8" spans="1:7" x14ac:dyDescent="0.25">
      <c r="A8" s="2" t="s">
        <v>78</v>
      </c>
      <c r="B8" s="2" t="s">
        <v>7</v>
      </c>
      <c r="C8" s="2" t="s">
        <v>16</v>
      </c>
      <c r="D8" s="2" t="s">
        <v>17</v>
      </c>
      <c r="E8" s="3" t="s">
        <v>137</v>
      </c>
      <c r="F8" s="2"/>
      <c r="G8" s="2"/>
    </row>
    <row r="9" spans="1:7" x14ac:dyDescent="0.25">
      <c r="A9" t="s">
        <v>19</v>
      </c>
      <c r="B9" t="s">
        <v>13</v>
      </c>
      <c r="C9" t="s">
        <v>23</v>
      </c>
      <c r="D9" t="s">
        <v>22</v>
      </c>
      <c r="E9" s="4" t="s">
        <v>141</v>
      </c>
      <c r="F9" t="s">
        <v>144</v>
      </c>
    </row>
    <row r="10" spans="1:7" x14ac:dyDescent="0.25">
      <c r="A10" s="2" t="s">
        <v>79</v>
      </c>
      <c r="B10" s="2" t="s">
        <v>104</v>
      </c>
      <c r="C10" s="2" t="s">
        <v>24</v>
      </c>
      <c r="D10" s="2" t="s">
        <v>18</v>
      </c>
      <c r="E10" s="3"/>
      <c r="F10" s="2"/>
      <c r="G10" s="2"/>
    </row>
    <row r="11" spans="1:7" x14ac:dyDescent="0.25">
      <c r="A11" t="s">
        <v>36</v>
      </c>
      <c r="B11" t="s">
        <v>104</v>
      </c>
      <c r="C11" t="s">
        <v>128</v>
      </c>
      <c r="D11" t="s">
        <v>125</v>
      </c>
    </row>
    <row r="12" spans="1:7" x14ac:dyDescent="0.25">
      <c r="A12" s="2" t="s">
        <v>80</v>
      </c>
      <c r="B12" s="2" t="s">
        <v>13</v>
      </c>
      <c r="C12" s="2" t="s">
        <v>25</v>
      </c>
      <c r="D12" s="2" t="s">
        <v>22</v>
      </c>
      <c r="E12" s="3" t="s">
        <v>141</v>
      </c>
      <c r="F12" s="2" t="s">
        <v>144</v>
      </c>
      <c r="G12" s="2"/>
    </row>
    <row r="13" spans="1:7" x14ac:dyDescent="0.25">
      <c r="A13" t="s">
        <v>81</v>
      </c>
      <c r="B13" t="s">
        <v>104</v>
      </c>
      <c r="C13" t="s">
        <v>108</v>
      </c>
      <c r="D13" t="s">
        <v>18</v>
      </c>
    </row>
    <row r="14" spans="1:7" x14ac:dyDescent="0.25">
      <c r="A14" s="2" t="s">
        <v>82</v>
      </c>
      <c r="B14" s="2" t="s">
        <v>104</v>
      </c>
      <c r="C14" s="2" t="s">
        <v>26</v>
      </c>
      <c r="D14" s="2" t="s">
        <v>8</v>
      </c>
      <c r="E14" s="3"/>
      <c r="F14" s="2"/>
      <c r="G14" s="2"/>
    </row>
    <row r="15" spans="1:7" x14ac:dyDescent="0.25">
      <c r="A15" t="s">
        <v>126</v>
      </c>
      <c r="B15" t="s">
        <v>104</v>
      </c>
      <c r="C15" t="s">
        <v>127</v>
      </c>
      <c r="D15" t="s">
        <v>18</v>
      </c>
      <c r="E15" s="4" t="s">
        <v>141</v>
      </c>
      <c r="F15" t="s">
        <v>144</v>
      </c>
    </row>
    <row r="16" spans="1:7" x14ac:dyDescent="0.25">
      <c r="A16" s="2" t="s">
        <v>83</v>
      </c>
      <c r="B16" s="2" t="s">
        <v>13</v>
      </c>
      <c r="C16" s="2" t="s">
        <v>105</v>
      </c>
      <c r="D16" s="2" t="s">
        <v>22</v>
      </c>
      <c r="E16" s="3"/>
      <c r="F16" s="2"/>
      <c r="G16" s="2"/>
    </row>
    <row r="17" spans="1:7" x14ac:dyDescent="0.25">
      <c r="A17" t="s">
        <v>84</v>
      </c>
      <c r="B17" t="s">
        <v>104</v>
      </c>
      <c r="C17" t="s">
        <v>107</v>
      </c>
      <c r="D17" t="s">
        <v>18</v>
      </c>
    </row>
    <row r="18" spans="1:7" x14ac:dyDescent="0.25">
      <c r="A18" s="2" t="s">
        <v>85</v>
      </c>
      <c r="B18" s="2" t="s">
        <v>104</v>
      </c>
      <c r="C18" s="2" t="s">
        <v>106</v>
      </c>
      <c r="D18" s="2" t="s">
        <v>8</v>
      </c>
      <c r="E18" s="3"/>
      <c r="F18" s="2"/>
      <c r="G18" s="2"/>
    </row>
    <row r="19" spans="1:7" x14ac:dyDescent="0.25">
      <c r="A19" t="s">
        <v>0</v>
      </c>
      <c r="B19" t="s">
        <v>3</v>
      </c>
      <c r="C19" t="s">
        <v>139</v>
      </c>
      <c r="D19" t="s">
        <v>109</v>
      </c>
      <c r="E19" s="4" t="s">
        <v>138</v>
      </c>
    </row>
    <row r="20" spans="1:7" x14ac:dyDescent="0.25">
      <c r="A20" s="2" t="s">
        <v>86</v>
      </c>
      <c r="B20" s="2" t="s">
        <v>13</v>
      </c>
      <c r="C20" s="2" t="s">
        <v>111</v>
      </c>
      <c r="D20" s="2" t="s">
        <v>6</v>
      </c>
      <c r="E20" s="3" t="s">
        <v>141</v>
      </c>
      <c r="F20" s="2" t="s">
        <v>145</v>
      </c>
      <c r="G20" s="2" t="s">
        <v>164</v>
      </c>
    </row>
    <row r="21" spans="1:7" x14ac:dyDescent="0.25">
      <c r="A21" t="s">
        <v>87</v>
      </c>
      <c r="B21" t="s">
        <v>13</v>
      </c>
      <c r="C21" t="s">
        <v>110</v>
      </c>
      <c r="D21" t="s">
        <v>6</v>
      </c>
      <c r="E21" s="4" t="s">
        <v>141</v>
      </c>
      <c r="F21" t="s">
        <v>145</v>
      </c>
      <c r="G21" t="s">
        <v>164</v>
      </c>
    </row>
    <row r="22" spans="1:7" x14ac:dyDescent="0.25">
      <c r="A22" s="2" t="s">
        <v>88</v>
      </c>
      <c r="B22" s="2" t="s">
        <v>13</v>
      </c>
      <c r="C22" s="2" t="s">
        <v>112</v>
      </c>
      <c r="D22" s="2" t="s">
        <v>6</v>
      </c>
      <c r="E22" s="3" t="s">
        <v>141</v>
      </c>
      <c r="F22" s="2" t="s">
        <v>145</v>
      </c>
      <c r="G22" s="2" t="s">
        <v>164</v>
      </c>
    </row>
    <row r="23" spans="1:7" x14ac:dyDescent="0.25">
      <c r="A23" t="s">
        <v>89</v>
      </c>
      <c r="B23" t="s">
        <v>13</v>
      </c>
      <c r="C23" t="s">
        <v>113</v>
      </c>
      <c r="D23" t="s">
        <v>6</v>
      </c>
      <c r="E23" s="4" t="s">
        <v>141</v>
      </c>
      <c r="F23" t="s">
        <v>145</v>
      </c>
      <c r="G23" t="s">
        <v>164</v>
      </c>
    </row>
    <row r="24" spans="1:7" x14ac:dyDescent="0.25">
      <c r="A24" s="2" t="s">
        <v>154</v>
      </c>
      <c r="B24" s="2" t="s">
        <v>13</v>
      </c>
      <c r="C24" s="2" t="s">
        <v>155</v>
      </c>
      <c r="D24" s="2" t="s">
        <v>6</v>
      </c>
      <c r="E24" s="3" t="s">
        <v>141</v>
      </c>
      <c r="F24" s="2" t="s">
        <v>145</v>
      </c>
      <c r="G24" s="2" t="s">
        <v>164</v>
      </c>
    </row>
    <row r="25" spans="1:7" x14ac:dyDescent="0.25">
      <c r="A25" t="s">
        <v>90</v>
      </c>
      <c r="B25" t="s">
        <v>114</v>
      </c>
      <c r="C25" t="s">
        <v>115</v>
      </c>
      <c r="D25" t="s">
        <v>8</v>
      </c>
    </row>
    <row r="26" spans="1:7" x14ac:dyDescent="0.25">
      <c r="A26" s="2" t="s">
        <v>101</v>
      </c>
      <c r="B26" s="2" t="s">
        <v>114</v>
      </c>
      <c r="C26" s="2" t="s">
        <v>116</v>
      </c>
      <c r="D26" s="2" t="s">
        <v>8</v>
      </c>
      <c r="E26" s="3"/>
      <c r="F26" s="2"/>
      <c r="G26" s="2"/>
    </row>
    <row r="27" spans="1:7" x14ac:dyDescent="0.25">
      <c r="A27" t="s">
        <v>102</v>
      </c>
      <c r="B27" t="s">
        <v>104</v>
      </c>
      <c r="C27" t="s">
        <v>28</v>
      </c>
      <c r="D27" t="s">
        <v>18</v>
      </c>
    </row>
    <row r="28" spans="1:7" x14ac:dyDescent="0.25">
      <c r="A28" s="2" t="s">
        <v>33</v>
      </c>
      <c r="B28" s="2" t="s">
        <v>104</v>
      </c>
      <c r="C28" s="2" t="s">
        <v>129</v>
      </c>
      <c r="D28" s="2" t="s">
        <v>125</v>
      </c>
      <c r="E28" s="3"/>
      <c r="F28" s="2"/>
      <c r="G28" s="2"/>
    </row>
    <row r="29" spans="1:7" x14ac:dyDescent="0.25">
      <c r="A29" t="s">
        <v>103</v>
      </c>
      <c r="B29" t="s">
        <v>104</v>
      </c>
      <c r="C29" t="s">
        <v>124</v>
      </c>
      <c r="D29" t="s">
        <v>123</v>
      </c>
    </row>
    <row r="30" spans="1:7" x14ac:dyDescent="0.25">
      <c r="A30" s="2" t="s">
        <v>91</v>
      </c>
      <c r="B30" s="2" t="s">
        <v>13</v>
      </c>
      <c r="C30" s="2" t="s">
        <v>117</v>
      </c>
      <c r="D30" s="2" t="s">
        <v>8</v>
      </c>
      <c r="E30" s="3" t="s">
        <v>141</v>
      </c>
      <c r="F30" s="2" t="s">
        <v>158</v>
      </c>
      <c r="G30" s="2" t="s">
        <v>151</v>
      </c>
    </row>
    <row r="31" spans="1:7" x14ac:dyDescent="0.25">
      <c r="A31" t="s">
        <v>132</v>
      </c>
      <c r="B31" t="s">
        <v>13</v>
      </c>
      <c r="C31" t="s">
        <v>133</v>
      </c>
      <c r="D31" t="s">
        <v>8</v>
      </c>
      <c r="E31" s="4" t="s">
        <v>141</v>
      </c>
      <c r="F31" t="s">
        <v>158</v>
      </c>
      <c r="G31" t="s">
        <v>151</v>
      </c>
    </row>
    <row r="32" spans="1:7" x14ac:dyDescent="0.25">
      <c r="A32" s="2" t="s">
        <v>131</v>
      </c>
      <c r="B32" s="2" t="s">
        <v>13</v>
      </c>
      <c r="C32" s="2" t="s">
        <v>134</v>
      </c>
      <c r="D32" s="2" t="s">
        <v>8</v>
      </c>
      <c r="E32" s="3" t="s">
        <v>141</v>
      </c>
      <c r="F32" s="2" t="s">
        <v>158</v>
      </c>
      <c r="G32" s="2" t="s">
        <v>151</v>
      </c>
    </row>
    <row r="33" spans="1:7" x14ac:dyDescent="0.25">
      <c r="A33" t="s">
        <v>92</v>
      </c>
      <c r="B33" t="s">
        <v>30</v>
      </c>
      <c r="C33" t="s">
        <v>31</v>
      </c>
      <c r="D33" t="s">
        <v>32</v>
      </c>
      <c r="E33" s="4" t="s">
        <v>140</v>
      </c>
      <c r="F33" t="s">
        <v>148</v>
      </c>
    </row>
    <row r="34" spans="1:7" x14ac:dyDescent="0.25">
      <c r="A34" s="2" t="s">
        <v>93</v>
      </c>
      <c r="B34" s="2" t="s">
        <v>13</v>
      </c>
      <c r="C34" s="2" t="s">
        <v>34</v>
      </c>
      <c r="D34" s="2" t="s">
        <v>32</v>
      </c>
      <c r="E34" s="3" t="s">
        <v>141</v>
      </c>
      <c r="F34" s="2" t="s">
        <v>142</v>
      </c>
      <c r="G34" s="2"/>
    </row>
    <row r="35" spans="1:7" x14ac:dyDescent="0.25">
      <c r="A35" t="s">
        <v>94</v>
      </c>
      <c r="B35" t="s">
        <v>13</v>
      </c>
      <c r="C35" t="s">
        <v>118</v>
      </c>
      <c r="D35" t="s">
        <v>8</v>
      </c>
      <c r="E35" s="4" t="s">
        <v>141</v>
      </c>
      <c r="F35" t="s">
        <v>143</v>
      </c>
    </row>
    <row r="36" spans="1:7" x14ac:dyDescent="0.25">
      <c r="A36" s="2" t="s">
        <v>95</v>
      </c>
      <c r="B36" s="2" t="s">
        <v>71</v>
      </c>
      <c r="C36" s="2" t="s">
        <v>119</v>
      </c>
      <c r="D36" s="2" t="s">
        <v>8</v>
      </c>
      <c r="E36" s="3"/>
      <c r="F36" s="2"/>
      <c r="G36" s="2"/>
    </row>
    <row r="37" spans="1:7" x14ac:dyDescent="0.25">
      <c r="A37" t="s">
        <v>96</v>
      </c>
      <c r="B37" t="s">
        <v>120</v>
      </c>
      <c r="C37" t="s">
        <v>165</v>
      </c>
      <c r="D37" t="s">
        <v>8</v>
      </c>
    </row>
    <row r="38" spans="1:7" x14ac:dyDescent="0.25">
      <c r="A38" s="2" t="s">
        <v>97</v>
      </c>
      <c r="B38" s="2" t="s">
        <v>120</v>
      </c>
      <c r="C38" s="2" t="s">
        <v>166</v>
      </c>
      <c r="D38" s="2" t="s">
        <v>8</v>
      </c>
      <c r="E38" s="3"/>
      <c r="F38" s="2"/>
      <c r="G38" s="2"/>
    </row>
    <row r="39" spans="1:7" x14ac:dyDescent="0.25">
      <c r="A39" t="s">
        <v>98</v>
      </c>
      <c r="B39" t="s">
        <v>120</v>
      </c>
      <c r="C39" t="s">
        <v>167</v>
      </c>
      <c r="D39" t="s">
        <v>8</v>
      </c>
    </row>
    <row r="40" spans="1:7" x14ac:dyDescent="0.25">
      <c r="A40" s="2" t="s">
        <v>153</v>
      </c>
      <c r="B40" s="2" t="s">
        <v>120</v>
      </c>
      <c r="C40" s="2" t="s">
        <v>159</v>
      </c>
      <c r="D40" s="2" t="s">
        <v>8</v>
      </c>
      <c r="E40" s="3"/>
      <c r="F40" s="2"/>
      <c r="G40" s="2"/>
    </row>
    <row r="41" spans="1:7" x14ac:dyDescent="0.25">
      <c r="A41" t="s">
        <v>160</v>
      </c>
      <c r="B41" t="s">
        <v>7</v>
      </c>
      <c r="C41" t="s">
        <v>35</v>
      </c>
      <c r="D41" t="s">
        <v>18</v>
      </c>
      <c r="E41" t="s">
        <v>137</v>
      </c>
      <c r="F41" t="s">
        <v>169</v>
      </c>
    </row>
    <row r="42" spans="1:7" x14ac:dyDescent="0.25">
      <c r="A42" s="2"/>
      <c r="B42" s="2"/>
      <c r="C42" s="2"/>
      <c r="D42" s="2"/>
      <c r="E42" s="3"/>
      <c r="F42" s="2"/>
      <c r="G42" s="2"/>
    </row>
    <row r="43" spans="1:7" x14ac:dyDescent="0.25">
      <c r="A43" t="s">
        <v>99</v>
      </c>
      <c r="B43" t="s">
        <v>2</v>
      </c>
      <c r="C43" t="s">
        <v>121</v>
      </c>
      <c r="D43" t="s">
        <v>5</v>
      </c>
    </row>
    <row r="44" spans="1:7" x14ac:dyDescent="0.25">
      <c r="A44" s="2" t="s">
        <v>100</v>
      </c>
      <c r="B44" s="2" t="s">
        <v>2</v>
      </c>
      <c r="C44" s="2" t="s">
        <v>122</v>
      </c>
      <c r="D44" s="2" t="s">
        <v>5</v>
      </c>
      <c r="E44" s="3"/>
      <c r="F44" s="2"/>
      <c r="G44" s="2"/>
    </row>
  </sheetData>
  <autoFilter ref="A1:H44" xr:uid="{00000000-0009-0000-0000-000001000000}"/>
  <hyperlinks>
    <hyperlink ref="E41" r:id="rId1" xr:uid="{00000000-0004-0000-0100-000000000000}"/>
    <hyperlink ref="E8" r:id="rId2" xr:uid="{00000000-0004-0000-0100-000001000000}"/>
    <hyperlink ref="E2" r:id="rId3" xr:uid="{00000000-0004-0000-0100-000002000000}"/>
    <hyperlink ref="E7" r:id="rId4" xr:uid="{00000000-0004-0000-0100-000003000000}"/>
    <hyperlink ref="E19" r:id="rId5" xr:uid="{00000000-0004-0000-0100-000004000000}"/>
    <hyperlink ref="E35" r:id="rId6" xr:uid="{00000000-0004-0000-0100-000005000000}"/>
    <hyperlink ref="E33" r:id="rId7" xr:uid="{00000000-0004-0000-0100-000006000000}"/>
    <hyperlink ref="E4" r:id="rId8" xr:uid="{00000000-0004-0000-0100-000007000000}"/>
    <hyperlink ref="E31" r:id="rId9" xr:uid="{00000000-0004-0000-0100-000008000000}"/>
    <hyperlink ref="E23" r:id="rId10" xr:uid="{00000000-0004-0000-0100-000009000000}"/>
    <hyperlink ref="E9" r:id="rId11" xr:uid="{00000000-0004-0000-0100-00000A000000}"/>
    <hyperlink ref="E15" r:id="rId12" xr:uid="{00000000-0004-0000-0100-00000B000000}"/>
    <hyperlink ref="E21" r:id="rId13" xr:uid="{00000000-0004-0000-0100-00000C000000}"/>
    <hyperlink ref="E20" r:id="rId14" xr:uid="{00000000-0004-0000-0100-00000D000000}"/>
    <hyperlink ref="E34" r:id="rId15" xr:uid="{00000000-0004-0000-0100-00000E000000}"/>
    <hyperlink ref="E5" r:id="rId16" xr:uid="{00000000-0004-0000-0100-00000F000000}"/>
    <hyperlink ref="E6" r:id="rId17" xr:uid="{00000000-0004-0000-0100-000010000000}"/>
    <hyperlink ref="E12" r:id="rId18" xr:uid="{00000000-0004-0000-0100-000011000000}"/>
    <hyperlink ref="E24" r:id="rId19" xr:uid="{00000000-0004-0000-0100-000012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B1:J24"/>
  <sheetViews>
    <sheetView workbookViewId="0">
      <selection activeCell="F15" sqref="F15"/>
    </sheetView>
  </sheetViews>
  <sheetFormatPr defaultColWidth="9.140625" defaultRowHeight="15" zeroHeight="1" x14ac:dyDescent="0.25"/>
  <cols>
    <col min="1" max="1" width="4.7109375" customWidth="1"/>
    <col min="2" max="2" width="22" customWidth="1"/>
    <col min="3" max="3" width="21.5703125" customWidth="1"/>
    <col min="4" max="4" width="18" customWidth="1"/>
    <col min="5" max="9" width="9.140625" customWidth="1"/>
    <col min="10" max="10" width="9.5703125" customWidth="1"/>
  </cols>
  <sheetData>
    <row r="1" spans="2:10" s="5" customFormat="1" ht="15.75" thickBot="1" x14ac:dyDescent="0.3"/>
    <row r="2" spans="2:10" s="5" customFormat="1" ht="15.75" thickBot="1" x14ac:dyDescent="0.3">
      <c r="B2" s="85" t="s">
        <v>37</v>
      </c>
      <c r="C2" s="86"/>
      <c r="D2" s="87"/>
    </row>
    <row r="3" spans="2:10" s="5" customFormat="1" x14ac:dyDescent="0.25">
      <c r="B3" s="7" t="s">
        <v>38</v>
      </c>
      <c r="C3" s="8" t="s">
        <v>39</v>
      </c>
      <c r="D3" s="9" t="s">
        <v>40</v>
      </c>
    </row>
    <row r="4" spans="2:10" s="5" customFormat="1" x14ac:dyDescent="0.25">
      <c r="B4" s="7" t="s">
        <v>41</v>
      </c>
      <c r="C4" s="8" t="s">
        <v>42</v>
      </c>
      <c r="D4" s="9" t="s">
        <v>43</v>
      </c>
    </row>
    <row r="5" spans="2:10" s="5" customFormat="1" x14ac:dyDescent="0.25">
      <c r="B5" s="7" t="s">
        <v>44</v>
      </c>
      <c r="C5" s="8" t="s">
        <v>45</v>
      </c>
      <c r="D5" s="9"/>
    </row>
    <row r="6" spans="2:10" s="5" customFormat="1" x14ac:dyDescent="0.25">
      <c r="B6" s="7" t="s">
        <v>46</v>
      </c>
      <c r="C6" s="8" t="s">
        <v>47</v>
      </c>
      <c r="D6" s="9"/>
    </row>
    <row r="7" spans="2:10" s="5" customFormat="1" ht="15.75" thickBot="1" x14ac:dyDescent="0.3">
      <c r="B7" s="10"/>
      <c r="D7" s="11"/>
    </row>
    <row r="8" spans="2:10" s="5" customFormat="1" ht="15" customHeight="1" thickBot="1" x14ac:dyDescent="0.3">
      <c r="B8" s="85" t="s">
        <v>48</v>
      </c>
      <c r="C8" s="86"/>
      <c r="D8" s="87"/>
      <c r="J8" s="6"/>
    </row>
    <row r="9" spans="2:10" s="5" customFormat="1" x14ac:dyDescent="0.25">
      <c r="B9" s="7" t="s">
        <v>49</v>
      </c>
      <c r="C9" s="8" t="s">
        <v>50</v>
      </c>
      <c r="D9" s="11"/>
      <c r="J9" s="6"/>
    </row>
    <row r="10" spans="2:10" s="5" customFormat="1" x14ac:dyDescent="0.25">
      <c r="B10" s="7" t="s">
        <v>51</v>
      </c>
      <c r="C10" s="8" t="s">
        <v>52</v>
      </c>
      <c r="D10" s="11"/>
      <c r="J10" s="6"/>
    </row>
    <row r="11" spans="2:10" s="5" customFormat="1" x14ac:dyDescent="0.25">
      <c r="B11" s="7" t="s">
        <v>53</v>
      </c>
      <c r="C11" s="8" t="s">
        <v>54</v>
      </c>
      <c r="D11" s="11"/>
      <c r="J11" s="6"/>
    </row>
    <row r="12" spans="2:10" s="5" customFormat="1" x14ac:dyDescent="0.25">
      <c r="B12" s="7" t="s">
        <v>55</v>
      </c>
      <c r="C12" s="8" t="s">
        <v>56</v>
      </c>
      <c r="D12" s="11"/>
      <c r="G12" s="25"/>
      <c r="J12" s="6"/>
    </row>
    <row r="13" spans="2:10" s="5" customFormat="1" x14ac:dyDescent="0.25">
      <c r="B13" s="7" t="s">
        <v>55</v>
      </c>
      <c r="C13" s="8" t="s">
        <v>57</v>
      </c>
      <c r="D13" s="11"/>
      <c r="J13" s="6"/>
    </row>
    <row r="14" spans="2:10" s="5" customFormat="1" x14ac:dyDescent="0.25">
      <c r="B14" s="7" t="s">
        <v>58</v>
      </c>
      <c r="C14" s="8" t="s">
        <v>59</v>
      </c>
      <c r="D14" s="11"/>
      <c r="J14" s="6"/>
    </row>
    <row r="15" spans="2:10" s="5" customFormat="1" ht="17.25" x14ac:dyDescent="0.25">
      <c r="B15" s="7" t="s">
        <v>58</v>
      </c>
      <c r="C15" s="8" t="s">
        <v>60</v>
      </c>
      <c r="D15" s="11"/>
    </row>
    <row r="16" spans="2:10" s="5" customFormat="1" x14ac:dyDescent="0.25">
      <c r="B16" s="7" t="s">
        <v>61</v>
      </c>
      <c r="C16" s="8" t="s">
        <v>62</v>
      </c>
      <c r="D16" s="11"/>
    </row>
    <row r="17" spans="2:4" s="5" customFormat="1" ht="15.75" thickBot="1" x14ac:dyDescent="0.3">
      <c r="B17" s="10"/>
      <c r="D17" s="11"/>
    </row>
    <row r="18" spans="2:4" s="5" customFormat="1" ht="15.75" thickBot="1" x14ac:dyDescent="0.3">
      <c r="B18" s="85" t="s">
        <v>63</v>
      </c>
      <c r="C18" s="86"/>
      <c r="D18" s="87"/>
    </row>
    <row r="19" spans="2:4" s="5" customFormat="1" x14ac:dyDescent="0.25">
      <c r="B19" s="7" t="s">
        <v>64</v>
      </c>
      <c r="C19" s="8" t="s">
        <v>65</v>
      </c>
      <c r="D19" s="9" t="s">
        <v>66</v>
      </c>
    </row>
    <row r="20" spans="2:4" s="5" customFormat="1" x14ac:dyDescent="0.25">
      <c r="B20" s="7" t="s">
        <v>67</v>
      </c>
      <c r="C20" s="8" t="s">
        <v>42</v>
      </c>
      <c r="D20" s="9" t="s">
        <v>68</v>
      </c>
    </row>
    <row r="21" spans="2:4" s="5" customFormat="1" x14ac:dyDescent="0.25">
      <c r="B21" s="7" t="s">
        <v>44</v>
      </c>
      <c r="C21" s="8" t="s">
        <v>69</v>
      </c>
      <c r="D21" s="9"/>
    </row>
    <row r="22" spans="2:4" s="5" customFormat="1" x14ac:dyDescent="0.25">
      <c r="B22" s="7" t="s">
        <v>46</v>
      </c>
      <c r="C22" s="8" t="s">
        <v>70</v>
      </c>
      <c r="D22" s="9"/>
    </row>
    <row r="23" spans="2:4" s="5" customFormat="1" ht="15.75" thickBot="1" x14ac:dyDescent="0.3">
      <c r="B23" s="12"/>
      <c r="C23" s="13"/>
      <c r="D23" s="14"/>
    </row>
    <row r="24" spans="2:4" s="5" customFormat="1" x14ac:dyDescent="0.25"/>
  </sheetData>
  <mergeCells count="3">
    <mergeCell ref="B2:D2"/>
    <mergeCell ref="B18:D18"/>
    <mergeCell ref="B8:D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4</vt:i4>
      </vt:variant>
    </vt:vector>
  </HeadingPairs>
  <TitlesOfParts>
    <vt:vector size="7" baseType="lpstr">
      <vt:lpstr>Dados</vt:lpstr>
      <vt:lpstr>Fontes</vt:lpstr>
      <vt:lpstr>Tabela de Conversões</vt:lpstr>
      <vt:lpstr>Gráfico1</vt:lpstr>
      <vt:lpstr>Gráfico2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Ellwanger Pires</dc:creator>
  <cp:lastModifiedBy>Ana Paula Buhse</cp:lastModifiedBy>
  <cp:lastPrinted>2016-02-17T17:50:32Z</cp:lastPrinted>
  <dcterms:created xsi:type="dcterms:W3CDTF">2014-06-17T13:26:33Z</dcterms:created>
  <dcterms:modified xsi:type="dcterms:W3CDTF">2024-03-28T17:11:34Z</dcterms:modified>
</cp:coreProperties>
</file>