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130" yWindow="270" windowWidth="19245" windowHeight="10770" tabRatio="725"/>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externalReferences>
    <externalReference r:id="rId7"/>
  </externalReferences>
  <definedNames>
    <definedName name="_ftn1" localSheetId="1">Inputs!#REF!</definedName>
    <definedName name="_ftnref1" localSheetId="1">Inputs!$E$86</definedName>
    <definedName name="_xlnm.Print_Area" localSheetId="0">Introduction!$B$2:$D$42</definedName>
    <definedName name="solver_adj" localSheetId="1" hidden="1">Inputs!$G$47</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Inputs!$G$52</definedName>
    <definedName name="solver_lhs2" localSheetId="1" hidden="1">Inputs!$G$55</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Inputs!$U$58</definedName>
    <definedName name="solver_pre" localSheetId="1" hidden="1">0.000001</definedName>
    <definedName name="solver_rel1" localSheetId="1" hidden="1">3</definedName>
    <definedName name="solver_rel2" localSheetId="1" hidden="1">3</definedName>
    <definedName name="solver_rhs1" localSheetId="1" hidden="1">Inputs!$G$51</definedName>
    <definedName name="solver_rhs2" localSheetId="1" hidden="1">Inputs!$G$54</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25725"/>
</workbook>
</file>

<file path=xl/calcChain.xml><?xml version="1.0" encoding="utf-8"?>
<calcChain xmlns="http://schemas.openxmlformats.org/spreadsheetml/2006/main">
  <c r="T18" i="7"/>
  <c r="R18"/>
  <c r="H18" i="11"/>
  <c r="I18"/>
  <c r="J18"/>
  <c r="K18"/>
  <c r="L18"/>
  <c r="M18"/>
  <c r="N18"/>
  <c r="O18"/>
  <c r="P18"/>
  <c r="Q18"/>
  <c r="R18"/>
  <c r="S18"/>
  <c r="T18"/>
  <c r="U18"/>
  <c r="V18"/>
  <c r="W18"/>
  <c r="X18"/>
  <c r="Y18"/>
  <c r="Z18"/>
  <c r="AA18"/>
  <c r="AB18"/>
  <c r="AC18"/>
  <c r="AD18"/>
  <c r="AE18"/>
  <c r="AF18"/>
  <c r="AG18"/>
  <c r="AH18"/>
  <c r="AI18"/>
  <c r="AJ18"/>
  <c r="G18"/>
  <c r="Q170"/>
  <c r="R170"/>
  <c r="S170"/>
  <c r="T170"/>
  <c r="U170"/>
  <c r="V170"/>
  <c r="W170"/>
  <c r="X170"/>
  <c r="Y170"/>
  <c r="Z170"/>
  <c r="AA170"/>
  <c r="AB170"/>
  <c r="AC170"/>
  <c r="AD170"/>
  <c r="AE170"/>
  <c r="AF170"/>
  <c r="AG170"/>
  <c r="AH170"/>
  <c r="AI170"/>
  <c r="AJ170"/>
  <c r="H169"/>
  <c r="I169"/>
  <c r="J169"/>
  <c r="K169"/>
  <c r="L169"/>
  <c r="M169"/>
  <c r="N169"/>
  <c r="O169"/>
  <c r="P169"/>
  <c r="Q169"/>
  <c r="R169"/>
  <c r="S169"/>
  <c r="T169"/>
  <c r="U169"/>
  <c r="V169"/>
  <c r="W169"/>
  <c r="X169"/>
  <c r="Y169"/>
  <c r="Z169"/>
  <c r="AA169"/>
  <c r="AB169"/>
  <c r="AC169"/>
  <c r="AD169"/>
  <c r="AE169"/>
  <c r="AF169"/>
  <c r="AG169"/>
  <c r="AH169"/>
  <c r="AI169"/>
  <c r="AJ169"/>
  <c r="G65" i="7" l="1"/>
  <c r="H184" i="11" l="1"/>
  <c r="I184"/>
  <c r="J184"/>
  <c r="K184"/>
  <c r="L184"/>
  <c r="M184"/>
  <c r="N184"/>
  <c r="O184"/>
  <c r="P184"/>
  <c r="Q184"/>
  <c r="R184"/>
  <c r="S184"/>
  <c r="T184"/>
  <c r="U184"/>
  <c r="V184"/>
  <c r="W184"/>
  <c r="X184"/>
  <c r="Y184"/>
  <c r="Z184"/>
  <c r="AA184"/>
  <c r="AB184"/>
  <c r="AC184"/>
  <c r="AD184"/>
  <c r="AE184"/>
  <c r="AF184"/>
  <c r="AG184"/>
  <c r="AH184"/>
  <c r="AI184"/>
  <c r="AJ184"/>
  <c r="G184"/>
  <c r="G20" l="1"/>
  <c r="R36" i="7"/>
  <c r="R34"/>
  <c r="D45" i="9"/>
  <c r="D23" l="1"/>
  <c r="D21"/>
  <c r="B35"/>
  <c r="B34"/>
  <c r="B32"/>
  <c r="B31"/>
  <c r="B30"/>
  <c r="B22"/>
  <c r="D42"/>
  <c r="D43" s="1"/>
  <c r="N20" i="7" l="1"/>
  <c r="V41" i="11"/>
  <c r="W41"/>
  <c r="X41"/>
  <c r="Y41"/>
  <c r="Z41"/>
  <c r="AA41"/>
  <c r="AB41"/>
  <c r="AC41"/>
  <c r="AD41"/>
  <c r="AE41"/>
  <c r="AF41"/>
  <c r="AG41"/>
  <c r="AH41"/>
  <c r="AI41"/>
  <c r="AJ41"/>
  <c r="H204"/>
  <c r="I204"/>
  <c r="J204"/>
  <c r="K204"/>
  <c r="L204"/>
  <c r="M204"/>
  <c r="N204"/>
  <c r="O204"/>
  <c r="AA204"/>
  <c r="AB204"/>
  <c r="AC204"/>
  <c r="AD204"/>
  <c r="AE204"/>
  <c r="AF204"/>
  <c r="AG204"/>
  <c r="AH204"/>
  <c r="AI204"/>
  <c r="AJ204"/>
  <c r="G204"/>
  <c r="H203"/>
  <c r="I203"/>
  <c r="J203"/>
  <c r="V203"/>
  <c r="W203"/>
  <c r="X203"/>
  <c r="Y203"/>
  <c r="Z203"/>
  <c r="AA203"/>
  <c r="AB203"/>
  <c r="AC203"/>
  <c r="AD203"/>
  <c r="AE203"/>
  <c r="AF203"/>
  <c r="AG203"/>
  <c r="AH203"/>
  <c r="AI203"/>
  <c r="AJ203"/>
  <c r="G203"/>
  <c r="N201"/>
  <c r="O201"/>
  <c r="P201"/>
  <c r="Q201"/>
  <c r="R201"/>
  <c r="S201"/>
  <c r="T201"/>
  <c r="U201"/>
  <c r="V201"/>
  <c r="W201"/>
  <c r="X201"/>
  <c r="Y201"/>
  <c r="Z201"/>
  <c r="AA201"/>
  <c r="AB201"/>
  <c r="AC201"/>
  <c r="AD201"/>
  <c r="AE201"/>
  <c r="AF201"/>
  <c r="AG201"/>
  <c r="AH201"/>
  <c r="AI201"/>
  <c r="AJ201"/>
  <c r="H202"/>
  <c r="I202"/>
  <c r="U202"/>
  <c r="V202"/>
  <c r="W202"/>
  <c r="X202"/>
  <c r="Y202"/>
  <c r="Z202"/>
  <c r="AA202"/>
  <c r="AB202"/>
  <c r="AC202"/>
  <c r="AD202"/>
  <c r="AE202"/>
  <c r="AF202"/>
  <c r="AG202"/>
  <c r="AH202"/>
  <c r="AI202"/>
  <c r="AJ202"/>
  <c r="G202"/>
  <c r="H138"/>
  <c r="I138"/>
  <c r="J138"/>
  <c r="K138"/>
  <c r="L138"/>
  <c r="M138"/>
  <c r="N138"/>
  <c r="O138"/>
  <c r="P138"/>
  <c r="Q138"/>
  <c r="R138"/>
  <c r="S138"/>
  <c r="T138"/>
  <c r="U138"/>
  <c r="V138"/>
  <c r="W138"/>
  <c r="X138"/>
  <c r="Y138"/>
  <c r="AA138"/>
  <c r="AB138"/>
  <c r="AC138"/>
  <c r="AD138"/>
  <c r="AE138"/>
  <c r="AF138"/>
  <c r="AG138"/>
  <c r="AH138"/>
  <c r="AI138"/>
  <c r="AJ138"/>
  <c r="H135"/>
  <c r="I135"/>
  <c r="J135"/>
  <c r="K135"/>
  <c r="L135"/>
  <c r="M135"/>
  <c r="N135"/>
  <c r="O135"/>
  <c r="P135"/>
  <c r="Q135"/>
  <c r="R135"/>
  <c r="S135"/>
  <c r="T135"/>
  <c r="V135"/>
  <c r="W135"/>
  <c r="X135"/>
  <c r="Y135"/>
  <c r="Z135"/>
  <c r="AA135"/>
  <c r="AB135"/>
  <c r="AC135"/>
  <c r="AD135"/>
  <c r="AE135"/>
  <c r="AF135"/>
  <c r="AG135"/>
  <c r="AH135"/>
  <c r="AI135"/>
  <c r="AJ135"/>
  <c r="G138"/>
  <c r="G139" s="1"/>
  <c r="G140" s="1"/>
  <c r="G135"/>
  <c r="G136" s="1"/>
  <c r="G137" s="1"/>
  <c r="E138"/>
  <c r="Z138" s="1"/>
  <c r="E135"/>
  <c r="U135" s="1"/>
  <c r="E132"/>
  <c r="J202" s="1"/>
  <c r="P52" i="7"/>
  <c r="P50"/>
  <c r="P48"/>
  <c r="P46"/>
  <c r="N51"/>
  <c r="N49"/>
  <c r="N47"/>
  <c r="S202" i="11" l="1"/>
  <c r="Q202"/>
  <c r="O202"/>
  <c r="M202"/>
  <c r="K202"/>
  <c r="T202"/>
  <c r="R202"/>
  <c r="P202"/>
  <c r="N202"/>
  <c r="L202"/>
  <c r="Z204"/>
  <c r="X204"/>
  <c r="V204"/>
  <c r="T204"/>
  <c r="R204"/>
  <c r="P204"/>
  <c r="Y204"/>
  <c r="W204"/>
  <c r="U204"/>
  <c r="S204"/>
  <c r="Q204"/>
  <c r="T203"/>
  <c r="R203"/>
  <c r="P203"/>
  <c r="N203"/>
  <c r="L203"/>
  <c r="U203"/>
  <c r="S203"/>
  <c r="Q203"/>
  <c r="O203"/>
  <c r="M203"/>
  <c r="K203"/>
  <c r="H136"/>
  <c r="H137" s="1"/>
  <c r="H139"/>
  <c r="H140" s="1"/>
  <c r="I136"/>
  <c r="L183"/>
  <c r="M183"/>
  <c r="N183"/>
  <c r="O183"/>
  <c r="P183"/>
  <c r="Q183"/>
  <c r="R183"/>
  <c r="S183"/>
  <c r="T183"/>
  <c r="U183"/>
  <c r="V183"/>
  <c r="W183"/>
  <c r="X183"/>
  <c r="Y183"/>
  <c r="Z183"/>
  <c r="AA183"/>
  <c r="AB183"/>
  <c r="AC183"/>
  <c r="AD183"/>
  <c r="AE183"/>
  <c r="AF183"/>
  <c r="AG183"/>
  <c r="AH183"/>
  <c r="AI183"/>
  <c r="AJ183"/>
  <c r="I139" l="1"/>
  <c r="J139" s="1"/>
  <c r="J136"/>
  <c r="I137"/>
  <c r="AA33"/>
  <c r="AB33"/>
  <c r="AC33"/>
  <c r="AD33"/>
  <c r="AE33"/>
  <c r="AF33"/>
  <c r="AG33"/>
  <c r="AH33"/>
  <c r="AI33"/>
  <c r="AJ33"/>
  <c r="G33"/>
  <c r="R31" i="7"/>
  <c r="E129" i="11"/>
  <c r="Q20"/>
  <c r="R20"/>
  <c r="S20"/>
  <c r="T20"/>
  <c r="U20"/>
  <c r="V20"/>
  <c r="W20"/>
  <c r="X20"/>
  <c r="Y20"/>
  <c r="Z20"/>
  <c r="AA20"/>
  <c r="AB20"/>
  <c r="AC20"/>
  <c r="AD20"/>
  <c r="AE20"/>
  <c r="AF20"/>
  <c r="AG20"/>
  <c r="AH20"/>
  <c r="AI20"/>
  <c r="AJ20"/>
  <c r="I140" l="1"/>
  <c r="I201"/>
  <c r="K201"/>
  <c r="M201"/>
  <c r="G201"/>
  <c r="H201"/>
  <c r="J201"/>
  <c r="L201"/>
  <c r="K139"/>
  <c r="J140"/>
  <c r="K136"/>
  <c r="J137"/>
  <c r="AF28"/>
  <c r="AG28"/>
  <c r="AH28"/>
  <c r="AI28"/>
  <c r="AJ28"/>
  <c r="G28"/>
  <c r="C18" i="9"/>
  <c r="L136" i="11" l="1"/>
  <c r="K137"/>
  <c r="L139"/>
  <c r="K140"/>
  <c r="D18" i="9"/>
  <c r="G9" i="7"/>
  <c r="D20" i="9" s="1"/>
  <c r="M139" i="11" l="1"/>
  <c r="L140"/>
  <c r="M136"/>
  <c r="L137"/>
  <c r="D11" i="7"/>
  <c r="N136" i="11" l="1"/>
  <c r="M137"/>
  <c r="N139"/>
  <c r="M140"/>
  <c r="T12" i="7"/>
  <c r="O139" i="11" l="1"/>
  <c r="N140"/>
  <c r="O136"/>
  <c r="N137"/>
  <c r="L75" i="7"/>
  <c r="L76"/>
  <c r="L77"/>
  <c r="L78"/>
  <c r="L73"/>
  <c r="N75"/>
  <c r="N76"/>
  <c r="N77"/>
  <c r="N78"/>
  <c r="N74"/>
  <c r="N73"/>
  <c r="O74"/>
  <c r="O75"/>
  <c r="O76"/>
  <c r="O77"/>
  <c r="O78"/>
  <c r="O73"/>
  <c r="N45"/>
  <c r="N38"/>
  <c r="N100"/>
  <c r="N32"/>
  <c r="N99"/>
  <c r="N31"/>
  <c r="N98"/>
  <c r="N24"/>
  <c r="N97"/>
  <c r="N14"/>
  <c r="N13"/>
  <c r="D72"/>
  <c r="D70"/>
  <c r="D58"/>
  <c r="D50"/>
  <c r="D49"/>
  <c r="D48"/>
  <c r="D47"/>
  <c r="P136" i="11" l="1"/>
  <c r="O137"/>
  <c r="P139"/>
  <c r="O140"/>
  <c r="N7" i="7"/>
  <c r="D10"/>
  <c r="D8"/>
  <c r="Q139" i="11" l="1"/>
  <c r="P140"/>
  <c r="Q136"/>
  <c r="P137"/>
  <c r="G57" i="7"/>
  <c r="R136" i="11" l="1"/>
  <c r="Q137"/>
  <c r="R139"/>
  <c r="Q140"/>
  <c r="T97" i="7"/>
  <c r="L79"/>
  <c r="L74"/>
  <c r="S139" i="11" l="1"/>
  <c r="R140"/>
  <c r="S136"/>
  <c r="R137"/>
  <c r="D39" i="9"/>
  <c r="D40" s="1"/>
  <c r="T14" i="7"/>
  <c r="T13"/>
  <c r="T15"/>
  <c r="F61" i="11"/>
  <c r="T136" l="1"/>
  <c r="S137"/>
  <c r="T139"/>
  <c r="S140"/>
  <c r="Q216"/>
  <c r="Q217"/>
  <c r="Q218"/>
  <c r="Q219"/>
  <c r="Q220"/>
  <c r="Q221"/>
  <c r="Q222"/>
  <c r="Q223"/>
  <c r="Q224"/>
  <c r="Q215"/>
  <c r="P216"/>
  <c r="P217"/>
  <c r="P218"/>
  <c r="P219"/>
  <c r="P220"/>
  <c r="P221"/>
  <c r="P222"/>
  <c r="P223"/>
  <c r="P224"/>
  <c r="P215"/>
  <c r="M215"/>
  <c r="M216"/>
  <c r="M217"/>
  <c r="M218"/>
  <c r="M219"/>
  <c r="M220"/>
  <c r="M221"/>
  <c r="M222"/>
  <c r="M223"/>
  <c r="M224"/>
  <c r="L215"/>
  <c r="L216"/>
  <c r="L217"/>
  <c r="L218"/>
  <c r="L219"/>
  <c r="L220"/>
  <c r="L221"/>
  <c r="L222"/>
  <c r="L223"/>
  <c r="L224"/>
  <c r="I215"/>
  <c r="I216"/>
  <c r="I217"/>
  <c r="I218"/>
  <c r="I219"/>
  <c r="I220"/>
  <c r="I221"/>
  <c r="I222"/>
  <c r="I223"/>
  <c r="I224"/>
  <c r="H215"/>
  <c r="H216"/>
  <c r="H217"/>
  <c r="H218"/>
  <c r="H219"/>
  <c r="H220"/>
  <c r="H221"/>
  <c r="H222"/>
  <c r="H223"/>
  <c r="H224"/>
  <c r="F13"/>
  <c r="F12" s="1"/>
  <c r="C129" i="12"/>
  <c r="G16" i="1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G32"/>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U139" l="1"/>
  <c r="T140"/>
  <c r="U136"/>
  <c r="T137"/>
  <c r="J214"/>
  <c r="J215" s="1"/>
  <c r="J216" s="1"/>
  <c r="J217" s="1"/>
  <c r="J218" s="1"/>
  <c r="J219" s="1"/>
  <c r="J220" s="1"/>
  <c r="J221" s="1"/>
  <c r="J222" s="1"/>
  <c r="J223" s="1"/>
  <c r="B189"/>
  <c r="B175"/>
  <c r="F60"/>
  <c r="D8" i="9"/>
  <c r="V136" i="11" l="1"/>
  <c r="U137"/>
  <c r="V139"/>
  <c r="U140"/>
  <c r="AI172"/>
  <c r="AG172"/>
  <c r="AE172"/>
  <c r="AC172"/>
  <c r="AA172"/>
  <c r="Y172"/>
  <c r="W172"/>
  <c r="U172"/>
  <c r="S172"/>
  <c r="AJ186"/>
  <c r="AH186"/>
  <c r="AF186"/>
  <c r="AD186"/>
  <c r="AB186"/>
  <c r="Z186"/>
  <c r="X186"/>
  <c r="V186"/>
  <c r="T186"/>
  <c r="R186"/>
  <c r="AI186"/>
  <c r="AG186"/>
  <c r="AE186"/>
  <c r="AC186"/>
  <c r="AA186"/>
  <c r="Y186"/>
  <c r="W186"/>
  <c r="U186"/>
  <c r="S186"/>
  <c r="Q186"/>
  <c r="Q172"/>
  <c r="AJ172"/>
  <c r="AH172"/>
  <c r="AF172"/>
  <c r="AD172"/>
  <c r="AB172"/>
  <c r="Z172"/>
  <c r="X172"/>
  <c r="V172"/>
  <c r="T172"/>
  <c r="R172"/>
  <c r="H205"/>
  <c r="H48" s="1"/>
  <c r="I205"/>
  <c r="I48" s="1"/>
  <c r="J205"/>
  <c r="J48" s="1"/>
  <c r="K205"/>
  <c r="K48" s="1"/>
  <c r="L205"/>
  <c r="L48" s="1"/>
  <c r="M205"/>
  <c r="M48" s="1"/>
  <c r="N205"/>
  <c r="N48" s="1"/>
  <c r="O205"/>
  <c r="O48" s="1"/>
  <c r="P205"/>
  <c r="P48" s="1"/>
  <c r="Q205"/>
  <c r="Q48" s="1"/>
  <c r="R205"/>
  <c r="R48" s="1"/>
  <c r="S205"/>
  <c r="S48" s="1"/>
  <c r="T205"/>
  <c r="T48" s="1"/>
  <c r="U205"/>
  <c r="U48" s="1"/>
  <c r="V205"/>
  <c r="V48" s="1"/>
  <c r="W205"/>
  <c r="W48" s="1"/>
  <c r="X205"/>
  <c r="X48" s="1"/>
  <c r="Y205"/>
  <c r="Y48" s="1"/>
  <c r="Z205"/>
  <c r="Z48" s="1"/>
  <c r="AA205"/>
  <c r="AA48" s="1"/>
  <c r="AB205"/>
  <c r="AB48" s="1"/>
  <c r="AC205"/>
  <c r="AC48" s="1"/>
  <c r="AD205"/>
  <c r="AD48" s="1"/>
  <c r="AE205"/>
  <c r="AE48" s="1"/>
  <c r="AF205"/>
  <c r="AF48" s="1"/>
  <c r="AG205"/>
  <c r="AG48" s="1"/>
  <c r="AH205"/>
  <c r="AH48" s="1"/>
  <c r="AI205"/>
  <c r="AI48" s="1"/>
  <c r="AJ205"/>
  <c r="AJ48" s="1"/>
  <c r="G205"/>
  <c r="G48" s="1"/>
  <c r="H200"/>
  <c r="I200"/>
  <c r="J200"/>
  <c r="K200"/>
  <c r="L200"/>
  <c r="M200"/>
  <c r="N200"/>
  <c r="O200"/>
  <c r="P200"/>
  <c r="Q200"/>
  <c r="R200"/>
  <c r="S200"/>
  <c r="T200"/>
  <c r="U200"/>
  <c r="V200"/>
  <c r="W200"/>
  <c r="X200"/>
  <c r="Y200"/>
  <c r="AA200"/>
  <c r="AB200"/>
  <c r="AC200"/>
  <c r="AF200"/>
  <c r="AG200"/>
  <c r="AH200"/>
  <c r="AI200"/>
  <c r="I199"/>
  <c r="J199"/>
  <c r="K199"/>
  <c r="L199"/>
  <c r="M199"/>
  <c r="N199"/>
  <c r="O199"/>
  <c r="P199"/>
  <c r="Q199"/>
  <c r="R199"/>
  <c r="S199"/>
  <c r="T199"/>
  <c r="U199"/>
  <c r="W199"/>
  <c r="X199"/>
  <c r="Z199"/>
  <c r="AB199"/>
  <c r="AC199"/>
  <c r="AD199"/>
  <c r="AE199"/>
  <c r="AH199"/>
  <c r="AI199"/>
  <c r="AJ199"/>
  <c r="G31"/>
  <c r="H17"/>
  <c r="I17"/>
  <c r="J17"/>
  <c r="K17"/>
  <c r="L17"/>
  <c r="M17"/>
  <c r="N17"/>
  <c r="O17"/>
  <c r="P17"/>
  <c r="Q17"/>
  <c r="R17"/>
  <c r="S17"/>
  <c r="T17"/>
  <c r="U17"/>
  <c r="G17"/>
  <c r="O15" i="7"/>
  <c r="G120" i="12"/>
  <c r="H120"/>
  <c r="I120"/>
  <c r="J120"/>
  <c r="K120"/>
  <c r="M120"/>
  <c r="G119"/>
  <c r="H119"/>
  <c r="I119"/>
  <c r="J119"/>
  <c r="K119"/>
  <c r="L119"/>
  <c r="M119"/>
  <c r="N119"/>
  <c r="G118"/>
  <c r="H118"/>
  <c r="I118"/>
  <c r="J118"/>
  <c r="K118"/>
  <c r="L118"/>
  <c r="M118"/>
  <c r="N118"/>
  <c r="G117"/>
  <c r="H117"/>
  <c r="I117"/>
  <c r="J117"/>
  <c r="K117"/>
  <c r="L117"/>
  <c r="M117"/>
  <c r="N117"/>
  <c r="G116"/>
  <c r="H116"/>
  <c r="I116"/>
  <c r="J116"/>
  <c r="K116"/>
  <c r="L116"/>
  <c r="M116"/>
  <c r="N116"/>
  <c r="W139" i="11" l="1"/>
  <c r="V140"/>
  <c r="W136"/>
  <c r="V137"/>
  <c r="K121" i="12"/>
  <c r="I121"/>
  <c r="G121"/>
  <c r="M121"/>
  <c r="J121"/>
  <c r="H121"/>
  <c r="D9" i="9"/>
  <c r="X136" i="11" l="1"/>
  <c r="W137"/>
  <c r="X139"/>
  <c r="W140"/>
  <c r="C123" i="12"/>
  <c r="Y139" i="11" l="1"/>
  <c r="X140"/>
  <c r="Y136"/>
  <c r="X137"/>
  <c r="P35" i="10"/>
  <c r="P33"/>
  <c r="P36"/>
  <c r="P34"/>
  <c r="AI209" i="11"/>
  <c r="AI47" s="1"/>
  <c r="G35" i="10" s="1"/>
  <c r="AB209" i="11"/>
  <c r="AB47" s="1"/>
  <c r="G28" i="10" s="1"/>
  <c r="X209" i="11"/>
  <c r="X47" s="1"/>
  <c r="G24" i="10" s="1"/>
  <c r="T209" i="11"/>
  <c r="T47" s="1"/>
  <c r="G20" i="10" s="1"/>
  <c r="R209" i="11"/>
  <c r="R47" s="1"/>
  <c r="G18" i="10" s="1"/>
  <c r="P209" i="11"/>
  <c r="P47" s="1"/>
  <c r="G16" i="10" s="1"/>
  <c r="N209" i="11"/>
  <c r="N47" s="1"/>
  <c r="G14" i="10" s="1"/>
  <c r="L209" i="11"/>
  <c r="L47" s="1"/>
  <c r="G12" i="10" s="1"/>
  <c r="J209" i="11"/>
  <c r="J47" s="1"/>
  <c r="G10" i="10" s="1"/>
  <c r="AH209" i="11"/>
  <c r="AH47" s="1"/>
  <c r="G34" i="10" s="1"/>
  <c r="AC209" i="11"/>
  <c r="AC47" s="1"/>
  <c r="G29" i="10" s="1"/>
  <c r="W209" i="11"/>
  <c r="W47" s="1"/>
  <c r="G23" i="10" s="1"/>
  <c r="S209" i="11"/>
  <c r="S47" s="1"/>
  <c r="G19" i="10" s="1"/>
  <c r="Q209" i="11"/>
  <c r="Q47" s="1"/>
  <c r="G17" i="10" s="1"/>
  <c r="O209" i="11"/>
  <c r="O47" s="1"/>
  <c r="G15" i="10" s="1"/>
  <c r="M209" i="11"/>
  <c r="M47" s="1"/>
  <c r="G13" i="10" s="1"/>
  <c r="K209" i="11"/>
  <c r="K47" s="1"/>
  <c r="G11" i="10" s="1"/>
  <c r="I209" i="11"/>
  <c r="I47" s="1"/>
  <c r="G9" i="10" s="1"/>
  <c r="Z136" i="11" l="1"/>
  <c r="Y137"/>
  <c r="Z139"/>
  <c r="Y140"/>
  <c r="B72"/>
  <c r="F120" i="12"/>
  <c r="F119"/>
  <c r="F118"/>
  <c r="F117"/>
  <c r="F116"/>
  <c r="C108"/>
  <c r="C101"/>
  <c r="D101" s="1"/>
  <c r="C76"/>
  <c r="C118" s="1"/>
  <c r="C51"/>
  <c r="D51" s="1"/>
  <c r="C26"/>
  <c r="C19" i="9"/>
  <c r="H129" i="11"/>
  <c r="I129"/>
  <c r="J129"/>
  <c r="K129"/>
  <c r="L129"/>
  <c r="M129"/>
  <c r="N129"/>
  <c r="O129"/>
  <c r="Q129"/>
  <c r="S129"/>
  <c r="T129"/>
  <c r="U129"/>
  <c r="V129"/>
  <c r="W129"/>
  <c r="X129"/>
  <c r="Y129"/>
  <c r="Z129"/>
  <c r="AA129"/>
  <c r="AB129"/>
  <c r="AC129"/>
  <c r="AD129"/>
  <c r="AE129"/>
  <c r="AF129"/>
  <c r="AG129"/>
  <c r="AH129"/>
  <c r="AI129"/>
  <c r="AJ129"/>
  <c r="H132"/>
  <c r="I132"/>
  <c r="J132"/>
  <c r="K132"/>
  <c r="L132"/>
  <c r="M132"/>
  <c r="N132"/>
  <c r="O132"/>
  <c r="P132"/>
  <c r="Q132"/>
  <c r="R132"/>
  <c r="S132"/>
  <c r="T132"/>
  <c r="U132"/>
  <c r="V132"/>
  <c r="W132"/>
  <c r="X132"/>
  <c r="Y132"/>
  <c r="AA132"/>
  <c r="AB132"/>
  <c r="AC132"/>
  <c r="AD132"/>
  <c r="AE132"/>
  <c r="AF132"/>
  <c r="AG132"/>
  <c r="AH132"/>
  <c r="AI132"/>
  <c r="AJ132"/>
  <c r="G132"/>
  <c r="G133" s="1"/>
  <c r="G134" s="1"/>
  <c r="G129"/>
  <c r="G130" s="1"/>
  <c r="Z132"/>
  <c r="P129"/>
  <c r="H10"/>
  <c r="H20" s="1"/>
  <c r="H9"/>
  <c r="W104"/>
  <c r="X104"/>
  <c r="Y104"/>
  <c r="Z104"/>
  <c r="AA104"/>
  <c r="AB104"/>
  <c r="AC104"/>
  <c r="AD104"/>
  <c r="AE104"/>
  <c r="AF104"/>
  <c r="AG104"/>
  <c r="AH104"/>
  <c r="AI104"/>
  <c r="AJ104"/>
  <c r="M103"/>
  <c r="N103"/>
  <c r="O103"/>
  <c r="P103"/>
  <c r="Q103"/>
  <c r="R103"/>
  <c r="S103"/>
  <c r="T103"/>
  <c r="U103"/>
  <c r="V103"/>
  <c r="W103"/>
  <c r="X103"/>
  <c r="Y103"/>
  <c r="Z103"/>
  <c r="AA103"/>
  <c r="AB103"/>
  <c r="AC103"/>
  <c r="AD103"/>
  <c r="AE103"/>
  <c r="AF103"/>
  <c r="AG103"/>
  <c r="AH103"/>
  <c r="AI103"/>
  <c r="AJ103"/>
  <c r="F81"/>
  <c r="H26"/>
  <c r="H8"/>
  <c r="H4"/>
  <c r="F87"/>
  <c r="AJ105"/>
  <c r="AI105"/>
  <c r="AH105"/>
  <c r="AG105"/>
  <c r="AF105"/>
  <c r="AE105"/>
  <c r="AD105"/>
  <c r="AC105"/>
  <c r="AB105"/>
  <c r="AA139" l="1"/>
  <c r="Z140"/>
  <c r="AA136"/>
  <c r="Z137"/>
  <c r="H28"/>
  <c r="H33"/>
  <c r="I26"/>
  <c r="H31"/>
  <c r="I9"/>
  <c r="D26" i="12"/>
  <c r="D116" s="1"/>
  <c r="C107"/>
  <c r="L120" s="1"/>
  <c r="L121" s="1"/>
  <c r="R129" i="11"/>
  <c r="F121" i="12"/>
  <c r="C106"/>
  <c r="D117"/>
  <c r="D119"/>
  <c r="C117"/>
  <c r="C119"/>
  <c r="D76"/>
  <c r="D118" s="1"/>
  <c r="C116"/>
  <c r="G131" i="11"/>
  <c r="H130"/>
  <c r="H131" s="1"/>
  <c r="H133"/>
  <c r="H134" s="1"/>
  <c r="I10"/>
  <c r="I20" s="1"/>
  <c r="F23" i="7"/>
  <c r="I8" i="11"/>
  <c r="I4"/>
  <c r="AB136" l="1"/>
  <c r="AA137"/>
  <c r="AB139"/>
  <c r="AA140"/>
  <c r="I28"/>
  <c r="I33"/>
  <c r="J26"/>
  <c r="I31"/>
  <c r="C130" i="12"/>
  <c r="C131" s="1"/>
  <c r="C132" s="1"/>
  <c r="C133" s="1"/>
  <c r="C134" s="1"/>
  <c r="C135" s="1"/>
  <c r="C136" s="1"/>
  <c r="C137" s="1"/>
  <c r="C138" s="1"/>
  <c r="C139" s="1"/>
  <c r="C140" s="1"/>
  <c r="C141" s="1"/>
  <c r="C142" s="1"/>
  <c r="C143" s="1"/>
  <c r="C144" s="1"/>
  <c r="C145" s="1"/>
  <c r="C146" s="1"/>
  <c r="C147" s="1"/>
  <c r="C148" s="1"/>
  <c r="C149" s="1"/>
  <c r="C150" s="1"/>
  <c r="C151" s="1"/>
  <c r="C152" s="1"/>
  <c r="C153" s="1"/>
  <c r="C154" s="1"/>
  <c r="C155" s="1"/>
  <c r="C156" s="1"/>
  <c r="C157" s="1"/>
  <c r="C158" s="1"/>
  <c r="G44" i="7"/>
  <c r="J9" i="11"/>
  <c r="J8"/>
  <c r="I130"/>
  <c r="I133"/>
  <c r="I134" s="1"/>
  <c r="J10"/>
  <c r="J20" s="1"/>
  <c r="J4"/>
  <c r="AC139" l="1"/>
  <c r="AB140"/>
  <c r="AC136"/>
  <c r="AB137"/>
  <c r="J28"/>
  <c r="J33"/>
  <c r="K26"/>
  <c r="J31"/>
  <c r="K9"/>
  <c r="K8"/>
  <c r="J130"/>
  <c r="I131"/>
  <c r="J133"/>
  <c r="J134" s="1"/>
  <c r="K10"/>
  <c r="K20" s="1"/>
  <c r="K4"/>
  <c r="AD136" l="1"/>
  <c r="AC137"/>
  <c r="AD139"/>
  <c r="AC140"/>
  <c r="K28"/>
  <c r="K33"/>
  <c r="L26"/>
  <c r="K31"/>
  <c r="L9"/>
  <c r="L8"/>
  <c r="K130"/>
  <c r="J131"/>
  <c r="K133"/>
  <c r="K134" s="1"/>
  <c r="L10"/>
  <c r="L20" s="1"/>
  <c r="L4"/>
  <c r="AE139" l="1"/>
  <c r="AD140"/>
  <c r="AE136"/>
  <c r="AD137"/>
  <c r="L28"/>
  <c r="L33"/>
  <c r="M26"/>
  <c r="L31"/>
  <c r="M9"/>
  <c r="M8"/>
  <c r="L130"/>
  <c r="K131"/>
  <c r="L133"/>
  <c r="L134" s="1"/>
  <c r="M10"/>
  <c r="M20" s="1"/>
  <c r="M4"/>
  <c r="AF136" l="1"/>
  <c r="AE137"/>
  <c r="AF139"/>
  <c r="AE140"/>
  <c r="M28"/>
  <c r="M33"/>
  <c r="N26"/>
  <c r="M31"/>
  <c r="N9"/>
  <c r="N8"/>
  <c r="M130"/>
  <c r="L131"/>
  <c r="M133"/>
  <c r="M134" s="1"/>
  <c r="N10"/>
  <c r="N20" s="1"/>
  <c r="N4"/>
  <c r="AG139" l="1"/>
  <c r="AF140"/>
  <c r="AG136"/>
  <c r="AF137"/>
  <c r="N28"/>
  <c r="N33"/>
  <c r="O26"/>
  <c r="N31"/>
  <c r="O9"/>
  <c r="O8"/>
  <c r="N130"/>
  <c r="M131"/>
  <c r="N133"/>
  <c r="N134" s="1"/>
  <c r="O10"/>
  <c r="O20" s="1"/>
  <c r="O4"/>
  <c r="AH136" l="1"/>
  <c r="AG137"/>
  <c r="AH139"/>
  <c r="AG140"/>
  <c r="O28"/>
  <c r="O33"/>
  <c r="P26"/>
  <c r="O31"/>
  <c r="P9"/>
  <c r="P8"/>
  <c r="O130"/>
  <c r="N131"/>
  <c r="O133"/>
  <c r="O134" s="1"/>
  <c r="P10"/>
  <c r="P20" s="1"/>
  <c r="P4"/>
  <c r="AI139" l="1"/>
  <c r="AH140"/>
  <c r="AI136"/>
  <c r="AH137"/>
  <c r="P28"/>
  <c r="P33"/>
  <c r="Q26"/>
  <c r="P31"/>
  <c r="Q9"/>
  <c r="R9" s="1"/>
  <c r="S9" s="1"/>
  <c r="T9" s="1"/>
  <c r="U9" s="1"/>
  <c r="V9" s="1"/>
  <c r="W9" s="1"/>
  <c r="X9" s="1"/>
  <c r="Y9" s="1"/>
  <c r="Z9" s="1"/>
  <c r="AA9" s="1"/>
  <c r="AB9" s="1"/>
  <c r="AC9" s="1"/>
  <c r="AD9" s="1"/>
  <c r="AE9" s="1"/>
  <c r="AF9" s="1"/>
  <c r="AG9" s="1"/>
  <c r="AH9" s="1"/>
  <c r="AI9" s="1"/>
  <c r="AJ9" s="1"/>
  <c r="O131"/>
  <c r="P130"/>
  <c r="Q8"/>
  <c r="P133"/>
  <c r="P134" s="1"/>
  <c r="Q10"/>
  <c r="R10" s="1"/>
  <c r="S10" s="1"/>
  <c r="T10" s="1"/>
  <c r="U10" s="1"/>
  <c r="V10" s="1"/>
  <c r="W10" s="1"/>
  <c r="X10" s="1"/>
  <c r="Y10" s="1"/>
  <c r="Z10" s="1"/>
  <c r="AA10" s="1"/>
  <c r="AB10" s="1"/>
  <c r="AC10" s="1"/>
  <c r="AD10" s="1"/>
  <c r="AE10" s="1"/>
  <c r="AF10" s="1"/>
  <c r="AG10" s="1"/>
  <c r="AH10" s="1"/>
  <c r="AI10" s="1"/>
  <c r="AJ10" s="1"/>
  <c r="Q4"/>
  <c r="AJ136" l="1"/>
  <c r="AJ137" s="1"/>
  <c r="AI137"/>
  <c r="AJ139"/>
  <c r="AJ140" s="1"/>
  <c r="AI140"/>
  <c r="Q28"/>
  <c r="Q33"/>
  <c r="R26"/>
  <c r="Q31"/>
  <c r="P131"/>
  <c r="Q130"/>
  <c r="R8"/>
  <c r="Q133"/>
  <c r="Q134" s="1"/>
  <c r="R4"/>
  <c r="R28" l="1"/>
  <c r="R33"/>
  <c r="S26"/>
  <c r="R31"/>
  <c r="Q131"/>
  <c r="R130"/>
  <c r="S8"/>
  <c r="R133"/>
  <c r="R134" s="1"/>
  <c r="S4"/>
  <c r="S28" l="1"/>
  <c r="S33"/>
  <c r="T26"/>
  <c r="S31"/>
  <c r="R131"/>
  <c r="S130"/>
  <c r="T8"/>
  <c r="S133"/>
  <c r="S134" s="1"/>
  <c r="T4"/>
  <c r="T28" l="1"/>
  <c r="T33"/>
  <c r="U26"/>
  <c r="T31"/>
  <c r="S131"/>
  <c r="T130"/>
  <c r="U8"/>
  <c r="T133"/>
  <c r="T134" s="1"/>
  <c r="U4"/>
  <c r="U28" l="1"/>
  <c r="U33"/>
  <c r="V26"/>
  <c r="U31"/>
  <c r="T131"/>
  <c r="U130"/>
  <c r="V8"/>
  <c r="U133"/>
  <c r="U134" s="1"/>
  <c r="V4"/>
  <c r="V28" l="1"/>
  <c r="V33"/>
  <c r="W26"/>
  <c r="V31"/>
  <c r="V130"/>
  <c r="U131"/>
  <c r="W8"/>
  <c r="V133"/>
  <c r="V134" s="1"/>
  <c r="W4"/>
  <c r="W28" l="1"/>
  <c r="W33"/>
  <c r="X26"/>
  <c r="W31"/>
  <c r="V131"/>
  <c r="W130"/>
  <c r="X8"/>
  <c r="W133"/>
  <c r="W134" s="1"/>
  <c r="X4"/>
  <c r="X28" l="1"/>
  <c r="X33"/>
  <c r="Y26"/>
  <c r="X31"/>
  <c r="W131"/>
  <c r="X130"/>
  <c r="Y8"/>
  <c r="X133"/>
  <c r="X134" s="1"/>
  <c r="Y4"/>
  <c r="Y28" l="1"/>
  <c r="Y33"/>
  <c r="Z26"/>
  <c r="Y31"/>
  <c r="Y130"/>
  <c r="X131"/>
  <c r="Z8"/>
  <c r="Y133"/>
  <c r="Z4"/>
  <c r="Z28" l="1"/>
  <c r="Z33"/>
  <c r="AA26"/>
  <c r="AA28" s="1"/>
  <c r="Z31"/>
  <c r="Y134"/>
  <c r="Z133"/>
  <c r="Y131"/>
  <c r="Z130"/>
  <c r="AA8"/>
  <c r="AA4"/>
  <c r="AB26" l="1"/>
  <c r="AB28" s="1"/>
  <c r="AA31"/>
  <c r="Z131"/>
  <c r="AA130"/>
  <c r="Z134"/>
  <c r="AA133"/>
  <c r="AB8"/>
  <c r="AB4"/>
  <c r="AC26" l="1"/>
  <c r="AC28" s="1"/>
  <c r="AB31"/>
  <c r="AA134"/>
  <c r="AB133"/>
  <c r="AB130"/>
  <c r="AA131"/>
  <c r="AC8"/>
  <c r="AC4"/>
  <c r="AD26" l="1"/>
  <c r="AD28" s="1"/>
  <c r="AC31"/>
  <c r="AB134"/>
  <c r="AC133"/>
  <c r="AC130"/>
  <c r="AB131"/>
  <c r="AD8"/>
  <c r="AD4"/>
  <c r="AE26" l="1"/>
  <c r="AE28" s="1"/>
  <c r="AD31"/>
  <c r="AC134"/>
  <c r="AD133"/>
  <c r="AC131"/>
  <c r="AD130"/>
  <c r="AE8"/>
  <c r="AE4"/>
  <c r="AF26" l="1"/>
  <c r="AE31"/>
  <c r="AE130"/>
  <c r="AD131"/>
  <c r="AD134"/>
  <c r="AE133"/>
  <c r="AF8"/>
  <c r="AG8" s="1"/>
  <c r="AH8" s="1"/>
  <c r="AI8" s="1"/>
  <c r="AJ8" s="1"/>
  <c r="AF4"/>
  <c r="AG26" l="1"/>
  <c r="AF31"/>
  <c r="AE134"/>
  <c r="AF133"/>
  <c r="AF130"/>
  <c r="AE131"/>
  <c r="AG4"/>
  <c r="AH26" l="1"/>
  <c r="AG31"/>
  <c r="AF134"/>
  <c r="AG133"/>
  <c r="AF131"/>
  <c r="AG130"/>
  <c r="AH4"/>
  <c r="AI26" l="1"/>
  <c r="AH31"/>
  <c r="AH130"/>
  <c r="AG131"/>
  <c r="AG134"/>
  <c r="AH133"/>
  <c r="AI4"/>
  <c r="AJ26" l="1"/>
  <c r="AI31"/>
  <c r="AH134"/>
  <c r="AI133"/>
  <c r="AI130"/>
  <c r="AH131"/>
  <c r="AJ4"/>
  <c r="AJ31" l="1"/>
  <c r="AI134"/>
  <c r="AJ133"/>
  <c r="AJ134" s="1"/>
  <c r="AI131"/>
  <c r="AJ130"/>
  <c r="AJ131" s="1"/>
  <c r="B80" i="12" l="1"/>
  <c r="D35" i="9"/>
  <c r="D31"/>
  <c r="D32"/>
  <c r="D19"/>
  <c r="D22"/>
  <c r="D30"/>
  <c r="G74" i="7"/>
  <c r="D37" i="9" l="1"/>
  <c r="D36"/>
  <c r="D34"/>
  <c r="D33"/>
  <c r="AF5" i="11"/>
  <c r="AF21" s="1"/>
  <c r="AH5"/>
  <c r="AH21" s="1"/>
  <c r="AJ5"/>
  <c r="AJ21" s="1"/>
  <c r="AG5"/>
  <c r="AG21" s="1"/>
  <c r="AI5"/>
  <c r="AI21" s="1"/>
  <c r="H5"/>
  <c r="H21" s="1"/>
  <c r="I5"/>
  <c r="I21" s="1"/>
  <c r="J5"/>
  <c r="J21" s="1"/>
  <c r="K5"/>
  <c r="K21" s="1"/>
  <c r="L5"/>
  <c r="L21" s="1"/>
  <c r="M5"/>
  <c r="M21" s="1"/>
  <c r="N5"/>
  <c r="N21" s="1"/>
  <c r="O5"/>
  <c r="O21" s="1"/>
  <c r="P5"/>
  <c r="P21" s="1"/>
  <c r="Q5"/>
  <c r="R5"/>
  <c r="S5"/>
  <c r="T5"/>
  <c r="U5"/>
  <c r="V5"/>
  <c r="V21" s="1"/>
  <c r="W5"/>
  <c r="W21" s="1"/>
  <c r="X5"/>
  <c r="X21" s="1"/>
  <c r="Y5"/>
  <c r="Y21" s="1"/>
  <c r="Z5"/>
  <c r="Z21" s="1"/>
  <c r="AA5"/>
  <c r="AA21" s="1"/>
  <c r="AB5"/>
  <c r="AB21" s="1"/>
  <c r="AC5"/>
  <c r="AC21" s="1"/>
  <c r="AD5"/>
  <c r="AD21" s="1"/>
  <c r="AE5"/>
  <c r="AE21" s="1"/>
  <c r="G5"/>
  <c r="G21" s="1"/>
  <c r="U29" l="1"/>
  <c r="U21"/>
  <c r="S29"/>
  <c r="S21"/>
  <c r="Q29"/>
  <c r="Q21"/>
  <c r="T29"/>
  <c r="T21"/>
  <c r="R29"/>
  <c r="R21"/>
  <c r="P186"/>
  <c r="O186"/>
  <c r="M186"/>
  <c r="N186"/>
  <c r="L186"/>
  <c r="AG29"/>
  <c r="AG17"/>
  <c r="AG19"/>
  <c r="AI29"/>
  <c r="AI19"/>
  <c r="AI17"/>
  <c r="AJ29"/>
  <c r="AJ19"/>
  <c r="AJ17"/>
  <c r="AF29"/>
  <c r="AF17"/>
  <c r="AF19"/>
  <c r="AH29"/>
  <c r="AH17"/>
  <c r="AH19"/>
  <c r="AE29"/>
  <c r="AE17"/>
  <c r="AA29"/>
  <c r="AA17"/>
  <c r="AD29"/>
  <c r="AD17"/>
  <c r="AB29"/>
  <c r="AB17"/>
  <c r="AC29"/>
  <c r="AC17"/>
  <c r="O29"/>
  <c r="K29"/>
  <c r="P29"/>
  <c r="N29"/>
  <c r="L29"/>
  <c r="J29"/>
  <c r="H29"/>
  <c r="G29"/>
  <c r="M29"/>
  <c r="I29"/>
  <c r="Z17"/>
  <c r="Z29"/>
  <c r="X17"/>
  <c r="X29"/>
  <c r="V17"/>
  <c r="V29"/>
  <c r="Y17"/>
  <c r="Y29"/>
  <c r="W17"/>
  <c r="W29"/>
  <c r="AE19"/>
  <c r="AC19"/>
  <c r="AA19"/>
  <c r="AD19"/>
  <c r="AB19"/>
  <c r="Z19"/>
  <c r="X19"/>
  <c r="V19"/>
  <c r="T19"/>
  <c r="P19"/>
  <c r="N19"/>
  <c r="L19"/>
  <c r="J19"/>
  <c r="H19"/>
  <c r="Y19"/>
  <c r="W19"/>
  <c r="U19"/>
  <c r="S19"/>
  <c r="Q19"/>
  <c r="O19"/>
  <c r="M19"/>
  <c r="K19"/>
  <c r="I19"/>
  <c r="G19"/>
  <c r="R19"/>
  <c r="B105" i="12"/>
  <c r="F21" i="7" l="1"/>
  <c r="B55" i="12"/>
  <c r="B30"/>
  <c r="B5"/>
  <c r="AH86" i="11" l="1"/>
  <c r="AJ86"/>
  <c r="AH87"/>
  <c r="AJ87"/>
  <c r="AG86"/>
  <c r="AI86"/>
  <c r="AG87"/>
  <c r="AI87"/>
  <c r="AG92" l="1"/>
  <c r="AG46"/>
  <c r="AI43"/>
  <c r="AI85"/>
  <c r="F35" i="10" s="1"/>
  <c r="AH92" i="11"/>
  <c r="AH46"/>
  <c r="AJ43"/>
  <c r="AJ85"/>
  <c r="F36" i="10" s="1"/>
  <c r="AI92" i="11"/>
  <c r="AI46"/>
  <c r="AG43"/>
  <c r="AG85"/>
  <c r="F33" i="10" s="1"/>
  <c r="AJ92" i="11"/>
  <c r="AJ46"/>
  <c r="AH43"/>
  <c r="AH85"/>
  <c r="F34" i="10" s="1"/>
  <c r="U209" i="11" l="1"/>
  <c r="U47" s="1"/>
  <c r="G21" i="10" s="1"/>
  <c r="J224" i="11" l="1"/>
  <c r="N224" s="1"/>
  <c r="N214" l="1"/>
  <c r="N215" s="1"/>
  <c r="N216" s="1"/>
  <c r="N217" s="1"/>
  <c r="N218" s="1"/>
  <c r="N219" s="1"/>
  <c r="N220" s="1"/>
  <c r="N221" s="1"/>
  <c r="N222" s="1"/>
  <c r="N223" s="1"/>
  <c r="S213" l="1"/>
  <c r="R213"/>
  <c r="G72" s="1"/>
  <c r="G12" l="1"/>
  <c r="G13" l="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D7" i="9"/>
  <c r="H12" i="11"/>
  <c r="I12" s="1"/>
  <c r="G14" l="1"/>
  <c r="C7" i="10" s="1"/>
  <c r="H14" i="11"/>
  <c r="C8" i="10" s="1"/>
  <c r="I14" i="11"/>
  <c r="J12"/>
  <c r="G15" l="1"/>
  <c r="G34" s="1"/>
  <c r="G39" i="7" s="1"/>
  <c r="H15" i="11"/>
  <c r="H34" s="1"/>
  <c r="K12"/>
  <c r="J14"/>
  <c r="I15"/>
  <c r="I34" s="1"/>
  <c r="C9" i="10"/>
  <c r="L12" i="11" l="1"/>
  <c r="K14"/>
  <c r="J15"/>
  <c r="J34" s="1"/>
  <c r="C10" i="10"/>
  <c r="M12" i="11" l="1"/>
  <c r="L14"/>
  <c r="K15"/>
  <c r="K34" s="1"/>
  <c r="C11" i="10"/>
  <c r="L15" i="11" l="1"/>
  <c r="L34" s="1"/>
  <c r="C12" i="10"/>
  <c r="N12" i="11"/>
  <c r="M14"/>
  <c r="C13" i="10" l="1"/>
  <c r="M15" i="11"/>
  <c r="M34" s="1"/>
  <c r="O12"/>
  <c r="N14"/>
  <c r="C14" i="10" l="1"/>
  <c r="N15" i="11"/>
  <c r="N34" s="1"/>
  <c r="O14"/>
  <c r="P12"/>
  <c r="P14" l="1"/>
  <c r="Q12"/>
  <c r="C15" i="10"/>
  <c r="O15" i="11"/>
  <c r="O34" s="1"/>
  <c r="P15" l="1"/>
  <c r="P34" s="1"/>
  <c r="C16" i="10"/>
  <c r="Q14" i="11"/>
  <c r="R12"/>
  <c r="S12" l="1"/>
  <c r="R14"/>
  <c r="C17" i="10"/>
  <c r="Q15" i="11"/>
  <c r="Q34" s="1"/>
  <c r="C18" i="10" l="1"/>
  <c r="R15" i="11"/>
  <c r="R34" s="1"/>
  <c r="T12"/>
  <c r="S14"/>
  <c r="U12" l="1"/>
  <c r="T14"/>
  <c r="C19" i="10"/>
  <c r="S15" i="11"/>
  <c r="S34" s="1"/>
  <c r="T15" l="1"/>
  <c r="T34" s="1"/>
  <c r="C20" i="10"/>
  <c r="V12" i="11"/>
  <c r="U14"/>
  <c r="V14" l="1"/>
  <c r="W12"/>
  <c r="U15"/>
  <c r="U34" s="1"/>
  <c r="C21" i="10"/>
  <c r="V15" i="11" l="1"/>
  <c r="V34" s="1"/>
  <c r="C22" i="10"/>
  <c r="W14" i="11"/>
  <c r="X12"/>
  <c r="X14" l="1"/>
  <c r="Y12"/>
  <c r="W15"/>
  <c r="W34" s="1"/>
  <c r="C23" i="10"/>
  <c r="X15" i="11" l="1"/>
  <c r="X34" s="1"/>
  <c r="C24" i="10"/>
  <c r="Y14" i="11"/>
  <c r="Z12"/>
  <c r="Y15" l="1"/>
  <c r="Y34" s="1"/>
  <c r="C25" i="10"/>
  <c r="AA12" i="11"/>
  <c r="Z14"/>
  <c r="AA14" l="1"/>
  <c r="AB12"/>
  <c r="Z15"/>
  <c r="Z34" s="1"/>
  <c r="C26" i="10"/>
  <c r="AC12" i="11" l="1"/>
  <c r="AB14"/>
  <c r="C27" i="10"/>
  <c r="AA15" i="11"/>
  <c r="AA34" s="1"/>
  <c r="AB15" l="1"/>
  <c r="AB34" s="1"/>
  <c r="C28" i="10"/>
  <c r="AC14" i="11"/>
  <c r="AD12"/>
  <c r="AC15" l="1"/>
  <c r="AC34" s="1"/>
  <c r="C29" i="10"/>
  <c r="AE12" i="11"/>
  <c r="AD14"/>
  <c r="AE14" l="1"/>
  <c r="AE15" s="1"/>
  <c r="AE34" s="1"/>
  <c r="AF12"/>
  <c r="C31" i="10"/>
  <c r="AD15" i="11"/>
  <c r="AD34" s="1"/>
  <c r="C30" i="10"/>
  <c r="AF14" i="11" l="1"/>
  <c r="AG12"/>
  <c r="AH12" l="1"/>
  <c r="AG14"/>
  <c r="AF15"/>
  <c r="AF34" s="1"/>
  <c r="C32" i="10"/>
  <c r="AD200" i="11"/>
  <c r="AD209" s="1"/>
  <c r="AD47" s="1"/>
  <c r="G30" i="10" s="1"/>
  <c r="C33" l="1"/>
  <c r="AG15" i="11"/>
  <c r="AG34" s="1"/>
  <c r="AI12"/>
  <c r="AH14"/>
  <c r="AF86"/>
  <c r="AE86"/>
  <c r="AD86"/>
  <c r="AB87"/>
  <c r="AF87"/>
  <c r="AC86"/>
  <c r="AA87"/>
  <c r="AE87"/>
  <c r="AB86"/>
  <c r="AD87"/>
  <c r="AA86"/>
  <c r="AC87"/>
  <c r="AJ12" l="1"/>
  <c r="AJ14" s="1"/>
  <c r="AI14"/>
  <c r="C34" i="10"/>
  <c r="AH15" i="11"/>
  <c r="AH34" s="1"/>
  <c r="AA43"/>
  <c r="AA85"/>
  <c r="F27" i="10" s="1"/>
  <c r="AB85" i="11"/>
  <c r="F28" i="10" s="1"/>
  <c r="AB43" i="11"/>
  <c r="AA92"/>
  <c r="AA46"/>
  <c r="AF46"/>
  <c r="AF92"/>
  <c r="AD85"/>
  <c r="F30" i="10" s="1"/>
  <c r="AD43" i="11"/>
  <c r="AF85"/>
  <c r="F32" i="10" s="1"/>
  <c r="AF43" i="11"/>
  <c r="AC92"/>
  <c r="AC46"/>
  <c r="AD46"/>
  <c r="AD92"/>
  <c r="AE92"/>
  <c r="AE46"/>
  <c r="AC43"/>
  <c r="AC85"/>
  <c r="F29" i="10" s="1"/>
  <c r="AB92" i="11"/>
  <c r="AB46"/>
  <c r="AE85"/>
  <c r="F31" i="10" s="1"/>
  <c r="AE43" i="11"/>
  <c r="D14" i="9" l="1"/>
  <c r="C36" i="10"/>
  <c r="AJ15" i="11"/>
  <c r="AJ34" s="1"/>
  <c r="C35" i="10"/>
  <c r="AI15" i="11"/>
  <c r="AI34" s="1"/>
  <c r="H199"/>
  <c r="H209" s="1"/>
  <c r="H47" s="1"/>
  <c r="G8" i="10" s="1"/>
  <c r="AG199" i="11"/>
  <c r="AG209" s="1"/>
  <c r="AG47" s="1"/>
  <c r="AF199"/>
  <c r="AF209" s="1"/>
  <c r="AF47" s="1"/>
  <c r="G32" i="10" s="1"/>
  <c r="G33"/>
  <c r="P27" l="1"/>
  <c r="P32" l="1"/>
  <c r="P28"/>
  <c r="P29" l="1"/>
  <c r="P30" l="1"/>
  <c r="P31" l="1"/>
  <c r="G199" i="11" l="1"/>
  <c r="AE200" l="1"/>
  <c r="AE209" s="1"/>
  <c r="AE47" s="1"/>
  <c r="G31" i="10" s="1"/>
  <c r="V86" i="11" l="1"/>
  <c r="V43" s="1"/>
  <c r="V87"/>
  <c r="V92" s="1"/>
  <c r="X86"/>
  <c r="X43" s="1"/>
  <c r="Y87"/>
  <c r="Y92" s="1"/>
  <c r="W87"/>
  <c r="W92" s="1"/>
  <c r="W86"/>
  <c r="Z87"/>
  <c r="X87"/>
  <c r="Y86"/>
  <c r="V85" l="1"/>
  <c r="F22" i="10" s="1"/>
  <c r="V46" i="11"/>
  <c r="Y46"/>
  <c r="W46"/>
  <c r="X46"/>
  <c r="X92"/>
  <c r="X85"/>
  <c r="F24" i="10" s="1"/>
  <c r="Z92" i="11"/>
  <c r="Z46"/>
  <c r="Y43"/>
  <c r="Y85"/>
  <c r="F25" i="10" s="1"/>
  <c r="W43" i="11"/>
  <c r="W85"/>
  <c r="F23" i="10" s="1"/>
  <c r="Y199" i="11" l="1"/>
  <c r="Y209" s="1"/>
  <c r="Y47" s="1"/>
  <c r="G25" i="10" s="1"/>
  <c r="AA199" i="11"/>
  <c r="AA209" s="1"/>
  <c r="AA47" s="1"/>
  <c r="G27" i="10" s="1"/>
  <c r="P22" l="1"/>
  <c r="P23" l="1"/>
  <c r="P24" l="1"/>
  <c r="P26" l="1"/>
  <c r="P25"/>
  <c r="Z86" i="11"/>
  <c r="Z43" s="1"/>
  <c r="Z85" l="1"/>
  <c r="F26" i="10" s="1"/>
  <c r="I183" i="11" l="1"/>
  <c r="I186" s="1"/>
  <c r="K183"/>
  <c r="K186" s="1"/>
  <c r="H183"/>
  <c r="H186" s="1"/>
  <c r="J183"/>
  <c r="J186" s="1"/>
  <c r="AI30" l="1"/>
  <c r="AI35" s="1"/>
  <c r="AH30"/>
  <c r="AH35" s="1"/>
  <c r="AG30"/>
  <c r="AG35" s="1"/>
  <c r="AE30"/>
  <c r="AE35" s="1"/>
  <c r="AC30"/>
  <c r="AC35" s="1"/>
  <c r="AF30"/>
  <c r="AF35" s="1"/>
  <c r="AJ30"/>
  <c r="AJ35" s="1"/>
  <c r="AD30"/>
  <c r="AD35" s="1"/>
  <c r="AB30"/>
  <c r="AB35" s="1"/>
  <c r="AA30"/>
  <c r="AA35" s="1"/>
  <c r="AA36" l="1"/>
  <c r="AA37"/>
  <c r="E27" i="10"/>
  <c r="S27" s="1"/>
  <c r="E30"/>
  <c r="S30" s="1"/>
  <c r="AD37" i="11"/>
  <c r="AD36"/>
  <c r="AF37"/>
  <c r="AF36"/>
  <c r="E32" i="10"/>
  <c r="S32" s="1"/>
  <c r="AE36" i="11"/>
  <c r="AE37"/>
  <c r="E31" i="10"/>
  <c r="S31" s="1"/>
  <c r="AH36" i="11"/>
  <c r="AH37"/>
  <c r="E34" i="10"/>
  <c r="S34" s="1"/>
  <c r="E28"/>
  <c r="S28" s="1"/>
  <c r="AB36" i="11"/>
  <c r="AB37"/>
  <c r="AJ37"/>
  <c r="AJ36"/>
  <c r="E36" i="10"/>
  <c r="AC36" i="11"/>
  <c r="AC37"/>
  <c r="E29" i="10"/>
  <c r="S29" s="1"/>
  <c r="AG36" i="11"/>
  <c r="AG37"/>
  <c r="E33" i="10"/>
  <c r="S33" s="1"/>
  <c r="E35"/>
  <c r="S35" s="1"/>
  <c r="AI36" i="11"/>
  <c r="AI37"/>
  <c r="G36" i="10" l="1"/>
  <c r="S36" s="1"/>
  <c r="G200" i="11"/>
  <c r="G209" s="1"/>
  <c r="G47" s="1"/>
  <c r="G7" i="10" s="1"/>
  <c r="AC142" i="11" l="1"/>
  <c r="AC57" s="1"/>
  <c r="AC144" l="1"/>
  <c r="AA206" l="1"/>
  <c r="AB198" s="1"/>
  <c r="AB206" l="1"/>
  <c r="AC198" s="1"/>
  <c r="D27" i="10" l="1"/>
  <c r="AB208" i="11"/>
  <c r="AB22" s="1"/>
  <c r="AB23" s="1"/>
  <c r="AC206"/>
  <c r="AD198" s="1"/>
  <c r="D28" i="10" l="1"/>
  <c r="AB39" i="11"/>
  <c r="AB44" s="1"/>
  <c r="AC208"/>
  <c r="AC22" s="1"/>
  <c r="AC23" s="1"/>
  <c r="AD206"/>
  <c r="AE198" s="1"/>
  <c r="H27" i="10"/>
  <c r="D29" l="1"/>
  <c r="AC39" i="11"/>
  <c r="AC44" s="1"/>
  <c r="H28" i="10"/>
  <c r="AD208" i="11"/>
  <c r="AD22" s="1"/>
  <c r="AD23" s="1"/>
  <c r="AE206"/>
  <c r="AF198" s="1"/>
  <c r="AB49"/>
  <c r="AB53" s="1"/>
  <c r="AB54" s="1"/>
  <c r="J27" i="10" l="1"/>
  <c r="I27"/>
  <c r="AF206" i="11"/>
  <c r="AG198" s="1"/>
  <c r="H29" i="10"/>
  <c r="AD39" i="11"/>
  <c r="AD44" s="1"/>
  <c r="D30" i="10"/>
  <c r="AC49" i="11"/>
  <c r="AC53" s="1"/>
  <c r="AC54" s="1"/>
  <c r="AC58"/>
  <c r="AC149" s="1"/>
  <c r="AE208"/>
  <c r="AE22" s="1"/>
  <c r="AE23" s="1"/>
  <c r="AD49" l="1"/>
  <c r="AD53" s="1"/>
  <c r="AD54" s="1"/>
  <c r="AE39"/>
  <c r="AE44" s="1"/>
  <c r="D31" i="10"/>
  <c r="AC161" i="11"/>
  <c r="AC153"/>
  <c r="H30" i="10"/>
  <c r="AF208" i="11"/>
  <c r="AF22" s="1"/>
  <c r="AF23" s="1"/>
  <c r="AG206"/>
  <c r="AH198" s="1"/>
  <c r="H31" i="10" l="1"/>
  <c r="AH206" i="11"/>
  <c r="AI198" s="1"/>
  <c r="K27" i="10"/>
  <c r="AF39" i="11"/>
  <c r="AF44" s="1"/>
  <c r="D32" i="10"/>
  <c r="AE49" i="11"/>
  <c r="AE53" s="1"/>
  <c r="AE54" s="1"/>
  <c r="AG208"/>
  <c r="AG22" s="1"/>
  <c r="AG23" s="1"/>
  <c r="AG39" l="1"/>
  <c r="AG44" s="1"/>
  <c r="D33" i="10"/>
  <c r="H33" s="1"/>
  <c r="H32"/>
  <c r="R27"/>
  <c r="M27"/>
  <c r="AH208" i="11"/>
  <c r="AH22" s="1"/>
  <c r="AH23" s="1"/>
  <c r="AF49"/>
  <c r="AF53" s="1"/>
  <c r="AF54" s="1"/>
  <c r="AI206"/>
  <c r="AJ198" s="1"/>
  <c r="AJ206" s="1"/>
  <c r="AJ208" s="1"/>
  <c r="AJ22" s="1"/>
  <c r="AJ23" s="1"/>
  <c r="AJ39" l="1"/>
  <c r="AJ44" s="1"/>
  <c r="D36" i="10"/>
  <c r="AG49" i="11"/>
  <c r="AG53" s="1"/>
  <c r="AG54" s="1"/>
  <c r="AI208"/>
  <c r="AI22" s="1"/>
  <c r="AI23" s="1"/>
  <c r="D34" i="10"/>
  <c r="AH39" i="11"/>
  <c r="AH44" s="1"/>
  <c r="AH49" l="1"/>
  <c r="AH53" s="1"/>
  <c r="AH54" s="1"/>
  <c r="AI39"/>
  <c r="AI44" s="1"/>
  <c r="D35" i="10"/>
  <c r="H36"/>
  <c r="H34"/>
  <c r="AI49" i="11" l="1"/>
  <c r="AI53" s="1"/>
  <c r="AI54" s="1"/>
  <c r="H35" i="10"/>
  <c r="I28" l="1"/>
  <c r="J28"/>
  <c r="AC162" i="11" l="1"/>
  <c r="AC154"/>
  <c r="AC157" s="1"/>
  <c r="AC60" s="1"/>
  <c r="K28" i="10"/>
  <c r="AC165" i="11" l="1"/>
  <c r="AC61" s="1"/>
  <c r="R28" i="10"/>
  <c r="M28"/>
  <c r="I29"/>
  <c r="AC64" i="11" l="1"/>
  <c r="AC189" s="1"/>
  <c r="J29" i="10"/>
  <c r="AC193" i="11" l="1"/>
  <c r="AC66" s="1"/>
  <c r="AC192"/>
  <c r="L29" i="10"/>
  <c r="AC63" i="11"/>
  <c r="I30" i="10"/>
  <c r="J30"/>
  <c r="K30" l="1"/>
  <c r="AC175" i="11"/>
  <c r="K29" i="10"/>
  <c r="AC178" i="11" l="1"/>
  <c r="AC179"/>
  <c r="AC65" s="1"/>
  <c r="AC67" s="1"/>
  <c r="R29" i="10"/>
  <c r="M29"/>
  <c r="R30"/>
  <c r="M30"/>
  <c r="I31"/>
  <c r="J31" l="1"/>
  <c r="I32" l="1"/>
  <c r="L31"/>
  <c r="J32"/>
  <c r="K31" l="1"/>
  <c r="K32"/>
  <c r="I33" l="1"/>
  <c r="R31"/>
  <c r="M31"/>
  <c r="R32"/>
  <c r="M32"/>
  <c r="J33" l="1"/>
  <c r="J34" l="1"/>
  <c r="L33"/>
  <c r="I34"/>
  <c r="K33" l="1"/>
  <c r="K34"/>
  <c r="R34" l="1"/>
  <c r="M34"/>
  <c r="I35"/>
  <c r="R33"/>
  <c r="M33"/>
  <c r="J35" l="1"/>
  <c r="J36" l="1"/>
  <c r="L35"/>
  <c r="I36"/>
  <c r="K35" l="1"/>
  <c r="K36"/>
  <c r="R35" l="1"/>
  <c r="M35"/>
  <c r="R36"/>
  <c r="M36"/>
  <c r="AI142" i="11" l="1"/>
  <c r="AI57" s="1"/>
  <c r="AI58" s="1"/>
  <c r="AJ200"/>
  <c r="AJ209" s="1"/>
  <c r="AJ47" s="1"/>
  <c r="AJ49" s="1"/>
  <c r="AJ53" s="1"/>
  <c r="AJ54" s="1"/>
  <c r="AJ142"/>
  <c r="AJ57" s="1"/>
  <c r="AJ58" s="1"/>
  <c r="L36" i="10"/>
  <c r="AG142" i="11"/>
  <c r="AG57" s="1"/>
  <c r="AG58" s="1"/>
  <c r="AH142"/>
  <c r="AH57" s="1"/>
  <c r="AH58" s="1"/>
  <c r="L34" i="10"/>
  <c r="AE142" i="11"/>
  <c r="AE57" s="1"/>
  <c r="AE58" s="1"/>
  <c r="AF142"/>
  <c r="AF57" s="1"/>
  <c r="AF58" s="1"/>
  <c r="L32" i="10"/>
  <c r="AD142" i="11"/>
  <c r="AD57" s="1"/>
  <c r="AD58" s="1"/>
  <c r="L30" i="10"/>
  <c r="AB142" i="11"/>
  <c r="AB57" s="1"/>
  <c r="AB58" s="1"/>
  <c r="L28" i="10"/>
  <c r="AA142" i="11"/>
  <c r="AA57" s="1"/>
  <c r="L27" i="10"/>
  <c r="O36"/>
  <c r="O35"/>
  <c r="O33"/>
  <c r="O34"/>
  <c r="O32"/>
  <c r="O31"/>
  <c r="O29"/>
  <c r="O30"/>
  <c r="O28"/>
  <c r="O27"/>
  <c r="AA144" i="11"/>
  <c r="AE144"/>
  <c r="AH144" l="1"/>
  <c r="AD144"/>
  <c r="AG144"/>
  <c r="AJ144"/>
  <c r="AI144"/>
  <c r="AF144"/>
  <c r="AB144"/>
  <c r="AF149"/>
  <c r="AJ149"/>
  <c r="AI149"/>
  <c r="AB149"/>
  <c r="AD149"/>
  <c r="AE149"/>
  <c r="AH149"/>
  <c r="AG149"/>
  <c r="AH161" l="1"/>
  <c r="AH154"/>
  <c r="AH162"/>
  <c r="AH153"/>
  <c r="AB154"/>
  <c r="AB161"/>
  <c r="AB153"/>
  <c r="AB157" s="1"/>
  <c r="AB60" s="1"/>
  <c r="AB162"/>
  <c r="AI161"/>
  <c r="AI153"/>
  <c r="AI162"/>
  <c r="AI154"/>
  <c r="AF154"/>
  <c r="AF161"/>
  <c r="AF153"/>
  <c r="AF162"/>
  <c r="AG162"/>
  <c r="AG154"/>
  <c r="AG161"/>
  <c r="AG153"/>
  <c r="AE162"/>
  <c r="AE154"/>
  <c r="AE161"/>
  <c r="AE153"/>
  <c r="AD162"/>
  <c r="AD153"/>
  <c r="AD161"/>
  <c r="AD154"/>
  <c r="AJ162"/>
  <c r="AJ153"/>
  <c r="AJ161"/>
  <c r="AJ165" s="1"/>
  <c r="AJ61" s="1"/>
  <c r="AJ64" s="1"/>
  <c r="AJ189" s="1"/>
  <c r="AJ192" s="1"/>
  <c r="AJ154"/>
  <c r="AJ193" l="1"/>
  <c r="AJ66" s="1"/>
  <c r="AE157"/>
  <c r="AE60" s="1"/>
  <c r="AG157"/>
  <c r="AG60" s="1"/>
  <c r="AD165"/>
  <c r="AD61" s="1"/>
  <c r="AD64" s="1"/>
  <c r="AD189" s="1"/>
  <c r="AH165"/>
  <c r="AH61" s="1"/>
  <c r="AH64" s="1"/>
  <c r="AH189" s="1"/>
  <c r="AF157"/>
  <c r="AF60" s="1"/>
  <c r="AI165"/>
  <c r="AI61" s="1"/>
  <c r="AI64" s="1"/>
  <c r="AI189" s="1"/>
  <c r="AE165"/>
  <c r="AE61" s="1"/>
  <c r="AE64" s="1"/>
  <c r="AE189" s="1"/>
  <c r="AG165"/>
  <c r="AG61" s="1"/>
  <c r="AG64" s="1"/>
  <c r="AG189" s="1"/>
  <c r="AH157"/>
  <c r="AH60" s="1"/>
  <c r="AD157"/>
  <c r="AD60" s="1"/>
  <c r="AI157"/>
  <c r="AI60" s="1"/>
  <c r="AJ157"/>
  <c r="AJ60" s="1"/>
  <c r="AJ63" s="1"/>
  <c r="AJ175" s="1"/>
  <c r="AB165"/>
  <c r="AB61" s="1"/>
  <c r="AB64" s="1"/>
  <c r="AB189" s="1"/>
  <c r="AF165"/>
  <c r="AF61" s="1"/>
  <c r="AF64" s="1"/>
  <c r="AF189" s="1"/>
  <c r="AI63" l="1"/>
  <c r="AI175" s="1"/>
  <c r="AI178" s="1"/>
  <c r="AH63"/>
  <c r="AH175" s="1"/>
  <c r="AH178" s="1"/>
  <c r="AF63"/>
  <c r="AF175" s="1"/>
  <c r="AF178" s="1"/>
  <c r="AB193"/>
  <c r="AB66" s="1"/>
  <c r="AB192"/>
  <c r="AE193"/>
  <c r="AE66" s="1"/>
  <c r="AE192"/>
  <c r="AD192"/>
  <c r="AD193"/>
  <c r="AD66" s="1"/>
  <c r="AF193"/>
  <c r="AF66" s="1"/>
  <c r="AF192"/>
  <c r="AG192"/>
  <c r="AG193"/>
  <c r="AG66" s="1"/>
  <c r="AI193"/>
  <c r="AI66" s="1"/>
  <c r="AI192"/>
  <c r="AH193"/>
  <c r="AH66" s="1"/>
  <c r="AH192"/>
  <c r="AB63"/>
  <c r="AB175" s="1"/>
  <c r="AB179" s="1"/>
  <c r="AB65" s="1"/>
  <c r="AB67" s="1"/>
  <c r="AD63"/>
  <c r="AD175" s="1"/>
  <c r="AD178" s="1"/>
  <c r="AG63"/>
  <c r="AG175" s="1"/>
  <c r="AG179" s="1"/>
  <c r="AG65" s="1"/>
  <c r="AE63"/>
  <c r="AE175" s="1"/>
  <c r="AE179" s="1"/>
  <c r="AE65" s="1"/>
  <c r="AF179"/>
  <c r="AF65" s="1"/>
  <c r="AI179"/>
  <c r="AI65" s="1"/>
  <c r="AJ179"/>
  <c r="AJ65" s="1"/>
  <c r="AJ67" s="1"/>
  <c r="AJ178"/>
  <c r="I170"/>
  <c r="I172" s="1"/>
  <c r="K170"/>
  <c r="K172" s="1"/>
  <c r="M170"/>
  <c r="M172" s="1"/>
  <c r="O170"/>
  <c r="O172" s="1"/>
  <c r="G170"/>
  <c r="H170"/>
  <c r="H172" s="1"/>
  <c r="J170"/>
  <c r="J172" s="1"/>
  <c r="L170"/>
  <c r="L172" s="1"/>
  <c r="N170"/>
  <c r="N172" s="1"/>
  <c r="P170"/>
  <c r="P172" s="1"/>
  <c r="AD179" l="1"/>
  <c r="AD65" s="1"/>
  <c r="AD67" s="1"/>
  <c r="AE178"/>
  <c r="AG67"/>
  <c r="AH179"/>
  <c r="AH65" s="1"/>
  <c r="AH67" s="1"/>
  <c r="AG178"/>
  <c r="AB178"/>
  <c r="AI67"/>
  <c r="AF67"/>
  <c r="AE67"/>
  <c r="G169"/>
  <c r="G172" s="1"/>
  <c r="G183" l="1"/>
  <c r="Q33" i="7" l="1"/>
  <c r="G186" i="11"/>
  <c r="G21" i="7" l="1"/>
  <c r="G189" i="11" l="1"/>
  <c r="G192" l="1"/>
  <c r="G193"/>
  <c r="G66" s="1"/>
  <c r="H192" l="1"/>
  <c r="G194"/>
  <c r="H191" s="1"/>
  <c r="G175"/>
  <c r="G178" l="1"/>
  <c r="G179" s="1"/>
  <c r="G180" l="1"/>
  <c r="H179" s="1"/>
  <c r="H65" s="1"/>
  <c r="I189"/>
  <c r="H177"/>
  <c r="I193" l="1"/>
  <c r="I66" s="1"/>
  <c r="I192"/>
  <c r="J189" l="1"/>
  <c r="I177"/>
  <c r="I179"/>
  <c r="I65" s="1"/>
  <c r="J192" l="1"/>
  <c r="J193"/>
  <c r="J66" s="1"/>
  <c r="J175"/>
  <c r="K193"/>
  <c r="K66" s="1"/>
  <c r="K192"/>
  <c r="J179" l="1"/>
  <c r="J65" s="1"/>
  <c r="J178"/>
  <c r="K179"/>
  <c r="K65" s="1"/>
  <c r="K178"/>
  <c r="L189" l="1"/>
  <c r="L179" l="1"/>
  <c r="L65" s="1"/>
  <c r="L193"/>
  <c r="L66" s="1"/>
  <c r="L192"/>
  <c r="M192"/>
  <c r="M193"/>
  <c r="M66" s="1"/>
  <c r="M175"/>
  <c r="M178" l="1"/>
  <c r="M179"/>
  <c r="M65" s="1"/>
  <c r="N193" l="1"/>
  <c r="N66" s="1"/>
  <c r="N192"/>
  <c r="N179" l="1"/>
  <c r="N65" s="1"/>
  <c r="N178"/>
  <c r="O189" l="1"/>
  <c r="O178" l="1"/>
  <c r="O193"/>
  <c r="O66" s="1"/>
  <c r="O192"/>
  <c r="P193"/>
  <c r="P66" s="1"/>
  <c r="P192"/>
  <c r="Q192" l="1"/>
  <c r="Q193"/>
  <c r="Q66" s="1"/>
  <c r="P179"/>
  <c r="P65" s="1"/>
  <c r="P178"/>
  <c r="Q178" l="1"/>
  <c r="R192" l="1"/>
  <c r="R193"/>
  <c r="R66" s="1"/>
  <c r="Q179"/>
  <c r="Q65" s="1"/>
  <c r="R179" l="1"/>
  <c r="R65" s="1"/>
  <c r="R178"/>
  <c r="S179" l="1"/>
  <c r="S65" s="1"/>
  <c r="S189" l="1"/>
  <c r="T178"/>
  <c r="T179"/>
  <c r="T65" s="1"/>
  <c r="S192" l="1"/>
  <c r="S193"/>
  <c r="S66" s="1"/>
  <c r="U175"/>
  <c r="T189" l="1"/>
  <c r="U179"/>
  <c r="U65" s="1"/>
  <c r="U178"/>
  <c r="T192" l="1"/>
  <c r="T193"/>
  <c r="T66" s="1"/>
  <c r="T175"/>
  <c r="V175"/>
  <c r="U189" l="1"/>
  <c r="V178"/>
  <c r="V179"/>
  <c r="V65" s="1"/>
  <c r="W175"/>
  <c r="U192" l="1"/>
  <c r="U193"/>
  <c r="U66" s="1"/>
  <c r="W178"/>
  <c r="W189" l="1"/>
  <c r="W192" s="1"/>
  <c r="W179"/>
  <c r="W65" s="1"/>
  <c r="V191" l="1"/>
  <c r="V193"/>
  <c r="V66" s="1"/>
  <c r="X178"/>
  <c r="X179" l="1"/>
  <c r="X65" s="1"/>
  <c r="Y175"/>
  <c r="X189" l="1"/>
  <c r="X192" s="1"/>
  <c r="W193"/>
  <c r="W66" s="1"/>
  <c r="W191"/>
  <c r="Y178"/>
  <c r="Y179"/>
  <c r="Y65" s="1"/>
  <c r="W194" l="1"/>
  <c r="X191" s="1"/>
  <c r="Y189" l="1"/>
  <c r="Y192" s="1"/>
  <c r="X193"/>
  <c r="X66" s="1"/>
  <c r="AA192"/>
  <c r="Z189"/>
  <c r="X194" l="1"/>
  <c r="Z179"/>
  <c r="Z65" s="1"/>
  <c r="Z192"/>
  <c r="Y191" l="1"/>
  <c r="Y193"/>
  <c r="Y66" s="1"/>
  <c r="AA177"/>
  <c r="AA179"/>
  <c r="AA65" s="1"/>
  <c r="Y194" l="1"/>
  <c r="Z191" l="1"/>
  <c r="Z193"/>
  <c r="Z66" s="1"/>
  <c r="Z194" l="1"/>
  <c r="AA193" l="1"/>
  <c r="AA66" s="1"/>
  <c r="AA191"/>
  <c r="AA194" l="1"/>
  <c r="AB191" s="1"/>
  <c r="AB194" s="1"/>
  <c r="AC191" s="1"/>
  <c r="AC194" s="1"/>
  <c r="AD191" s="1"/>
  <c r="AD194" s="1"/>
  <c r="AE191" s="1"/>
  <c r="AE194" s="1"/>
  <c r="AF191" s="1"/>
  <c r="AF194" s="1"/>
  <c r="AG191" s="1"/>
  <c r="AG194" s="1"/>
  <c r="AH191" s="1"/>
  <c r="AH194" s="1"/>
  <c r="AI191" s="1"/>
  <c r="AI194" s="1"/>
  <c r="AJ191" s="1"/>
  <c r="AJ194" s="1"/>
  <c r="H66"/>
  <c r="O65"/>
  <c r="AA178"/>
  <c r="AA180" s="1"/>
  <c r="AB177"/>
  <c r="AB180" s="1"/>
  <c r="AC177"/>
  <c r="AC180" s="1"/>
  <c r="AD177"/>
  <c r="AD180" s="1"/>
  <c r="AE177"/>
  <c r="AE180" s="1"/>
  <c r="AF177"/>
  <c r="AF180" s="1"/>
  <c r="AG177"/>
  <c r="AG180" s="1"/>
  <c r="AH177"/>
  <c r="AH180" s="1"/>
  <c r="AI177"/>
  <c r="AI180" s="1"/>
  <c r="AJ177"/>
  <c r="AJ180" s="1"/>
  <c r="Z177"/>
  <c r="Z178"/>
  <c r="Z175"/>
  <c r="AA175"/>
  <c r="Y177"/>
  <c r="Y180" s="1"/>
  <c r="X175"/>
  <c r="X177"/>
  <c r="X180" s="1"/>
  <c r="V192"/>
  <c r="V194" s="1"/>
  <c r="V189"/>
  <c r="W177"/>
  <c r="W180" s="1"/>
  <c r="U191"/>
  <c r="U194" s="1"/>
  <c r="V177"/>
  <c r="V180" s="1"/>
  <c r="T191"/>
  <c r="T194" s="1"/>
  <c r="U177"/>
  <c r="U180" s="1"/>
  <c r="S191"/>
  <c r="S194" s="1"/>
  <c r="T177"/>
  <c r="T180" s="1"/>
  <c r="S177"/>
  <c r="S178"/>
  <c r="S175"/>
  <c r="R177"/>
  <c r="R180" s="1"/>
  <c r="R175"/>
  <c r="R189"/>
  <c r="R191"/>
  <c r="R194" s="1"/>
  <c r="Q175"/>
  <c r="Q177"/>
  <c r="Q180" s="1"/>
  <c r="P175"/>
  <c r="Q189"/>
  <c r="P177"/>
  <c r="P180" s="1"/>
  <c r="Q191"/>
  <c r="Q194" s="1"/>
  <c r="O191"/>
  <c r="O194" s="1"/>
  <c r="P191"/>
  <c r="P194" s="1"/>
  <c r="P189"/>
  <c r="O177"/>
  <c r="O179"/>
  <c r="O175"/>
  <c r="N175"/>
  <c r="N177"/>
  <c r="N180" s="1"/>
  <c r="AA189"/>
  <c r="N189"/>
  <c r="N191"/>
  <c r="N194" s="1"/>
  <c r="M177"/>
  <c r="M180" s="1"/>
  <c r="M189"/>
  <c r="L191"/>
  <c r="L194" s="1"/>
  <c r="M191"/>
  <c r="M194" s="1"/>
  <c r="L177"/>
  <c r="L178"/>
  <c r="L175"/>
  <c r="K175"/>
  <c r="J177"/>
  <c r="J180" s="1"/>
  <c r="K177"/>
  <c r="K180" s="1"/>
  <c r="K189"/>
  <c r="J191"/>
  <c r="J194" s="1"/>
  <c r="K191"/>
  <c r="K194" s="1"/>
  <c r="I175"/>
  <c r="I178"/>
  <c r="I180" s="1"/>
  <c r="I191"/>
  <c r="I194" s="1"/>
  <c r="H178"/>
  <c r="H180" s="1"/>
  <c r="H175"/>
  <c r="H193"/>
  <c r="H194" s="1"/>
  <c r="H189"/>
  <c r="L180" l="1"/>
  <c r="S180"/>
  <c r="O180"/>
  <c r="Z180"/>
  <c r="G22" i="7" l="1"/>
  <c r="C102" i="11" l="1"/>
  <c r="C105"/>
  <c r="C101"/>
  <c r="C108"/>
  <c r="C103"/>
  <c r="C99"/>
  <c r="C106"/>
  <c r="G33" i="7"/>
  <c r="F80" i="11"/>
  <c r="F82" s="1"/>
  <c r="F52" s="1"/>
  <c r="C104"/>
  <c r="C100"/>
  <c r="Q21" i="7"/>
  <c r="G23"/>
  <c r="D25" i="9"/>
  <c r="D26" s="1"/>
  <c r="C110" i="11" l="1"/>
  <c r="D103" s="1"/>
  <c r="Q30"/>
  <c r="Q35" s="1"/>
  <c r="G30"/>
  <c r="G35" s="1"/>
  <c r="T30"/>
  <c r="T35" s="1"/>
  <c r="Z30"/>
  <c r="Z35" s="1"/>
  <c r="S30"/>
  <c r="S35" s="1"/>
  <c r="X30"/>
  <c r="X35" s="1"/>
  <c r="H30"/>
  <c r="H35" s="1"/>
  <c r="M30"/>
  <c r="M35" s="1"/>
  <c r="N30"/>
  <c r="N35" s="1"/>
  <c r="O30"/>
  <c r="O35" s="1"/>
  <c r="I30"/>
  <c r="I35" s="1"/>
  <c r="L30"/>
  <c r="L35" s="1"/>
  <c r="U30"/>
  <c r="U35" s="1"/>
  <c r="R30"/>
  <c r="R35" s="1"/>
  <c r="P30"/>
  <c r="P35" s="1"/>
  <c r="K30"/>
  <c r="K35" s="1"/>
  <c r="V30"/>
  <c r="V35" s="1"/>
  <c r="Y30"/>
  <c r="Y35" s="1"/>
  <c r="W30"/>
  <c r="W35" s="1"/>
  <c r="J30"/>
  <c r="J35" s="1"/>
  <c r="Q86"/>
  <c r="S86"/>
  <c r="U86"/>
  <c r="P87"/>
  <c r="R87"/>
  <c r="T87"/>
  <c r="F91"/>
  <c r="F93" s="1"/>
  <c r="G90" s="1"/>
  <c r="O87"/>
  <c r="I87"/>
  <c r="M86"/>
  <c r="I86"/>
  <c r="G86"/>
  <c r="G43" s="1"/>
  <c r="R86"/>
  <c r="R43" s="1"/>
  <c r="T86"/>
  <c r="T43" s="1"/>
  <c r="J86"/>
  <c r="Q87"/>
  <c r="S87"/>
  <c r="U87"/>
  <c r="G63" i="7"/>
  <c r="P86" i="11"/>
  <c r="M87"/>
  <c r="K87"/>
  <c r="H87"/>
  <c r="N87"/>
  <c r="L87"/>
  <c r="J87"/>
  <c r="H86"/>
  <c r="N86"/>
  <c r="L86"/>
  <c r="G87"/>
  <c r="O86"/>
  <c r="K86"/>
  <c r="C111"/>
  <c r="F54"/>
  <c r="G64" i="7"/>
  <c r="C112" i="11"/>
  <c r="G65"/>
  <c r="D101" l="1"/>
  <c r="E101" s="1"/>
  <c r="D102"/>
  <c r="D104"/>
  <c r="D99"/>
  <c r="E99" s="1"/>
  <c r="D100"/>
  <c r="D106"/>
  <c r="E106" s="1"/>
  <c r="D105"/>
  <c r="D108"/>
  <c r="E108" s="1"/>
  <c r="E125" s="1"/>
  <c r="K43"/>
  <c r="K85"/>
  <c r="F11" i="10" s="1"/>
  <c r="G85" i="11"/>
  <c r="G46"/>
  <c r="G92"/>
  <c r="G93" s="1"/>
  <c r="H90" s="1"/>
  <c r="N43"/>
  <c r="N85"/>
  <c r="F14" i="10" s="1"/>
  <c r="J92" i="11"/>
  <c r="J46"/>
  <c r="N46"/>
  <c r="N92"/>
  <c r="K92"/>
  <c r="K46"/>
  <c r="P43"/>
  <c r="P85"/>
  <c r="F16" i="10" s="1"/>
  <c r="U92" i="11"/>
  <c r="U46"/>
  <c r="Q46"/>
  <c r="Q92"/>
  <c r="M43"/>
  <c r="M85"/>
  <c r="F13" i="10" s="1"/>
  <c r="O92" i="11"/>
  <c r="O46"/>
  <c r="T85"/>
  <c r="F20" i="10" s="1"/>
  <c r="T92" i="11"/>
  <c r="T46"/>
  <c r="P92"/>
  <c r="P46"/>
  <c r="S43"/>
  <c r="S85"/>
  <c r="F19" i="10" s="1"/>
  <c r="W36" i="11"/>
  <c r="W37"/>
  <c r="E23" i="10"/>
  <c r="S23" s="1"/>
  <c r="V37" i="11"/>
  <c r="V36"/>
  <c r="E22" i="10"/>
  <c r="E16"/>
  <c r="P36" i="11"/>
  <c r="P37"/>
  <c r="E21" i="10"/>
  <c r="U37" i="11"/>
  <c r="U36"/>
  <c r="I36"/>
  <c r="I37"/>
  <c r="E9" i="10"/>
  <c r="N37" i="11"/>
  <c r="E14" i="10"/>
  <c r="N36" i="11"/>
  <c r="H36"/>
  <c r="E8" i="10"/>
  <c r="H37" i="11"/>
  <c r="E19" i="10"/>
  <c r="S37" i="11"/>
  <c r="S36"/>
  <c r="T37"/>
  <c r="T36"/>
  <c r="E20" i="10"/>
  <c r="Q37" i="11"/>
  <c r="Q36"/>
  <c r="E17" i="10"/>
  <c r="O43" i="11"/>
  <c r="O85"/>
  <c r="F15" i="10" s="1"/>
  <c r="L43" i="11"/>
  <c r="L85"/>
  <c r="F12" i="10" s="1"/>
  <c r="H43" i="11"/>
  <c r="H85"/>
  <c r="F8" i="10" s="1"/>
  <c r="S8" s="1"/>
  <c r="L46" i="11"/>
  <c r="L92"/>
  <c r="H46"/>
  <c r="H92"/>
  <c r="M46"/>
  <c r="M92"/>
  <c r="S46"/>
  <c r="S92"/>
  <c r="J43"/>
  <c r="J85"/>
  <c r="F10" i="10" s="1"/>
  <c r="I85" i="11"/>
  <c r="F9" i="10" s="1"/>
  <c r="S9" s="1"/>
  <c r="I43" i="11"/>
  <c r="I92"/>
  <c r="I46"/>
  <c r="R85"/>
  <c r="F18" i="10" s="1"/>
  <c r="R46" i="11"/>
  <c r="R92"/>
  <c r="U43"/>
  <c r="U85"/>
  <c r="F21" i="10" s="1"/>
  <c r="Q85" i="11"/>
  <c r="F17" i="10" s="1"/>
  <c r="S17" s="1"/>
  <c r="Q43" i="11"/>
  <c r="J37"/>
  <c r="J36"/>
  <c r="E10" i="10"/>
  <c r="Y37" i="11"/>
  <c r="E25" i="10"/>
  <c r="S25" s="1"/>
  <c r="Y36" i="11"/>
  <c r="E11" i="10"/>
  <c r="K37" i="11"/>
  <c r="K36"/>
  <c r="R36"/>
  <c r="E18" i="10"/>
  <c r="R37" i="11"/>
  <c r="L37"/>
  <c r="E12" i="10"/>
  <c r="L36" i="11"/>
  <c r="E15" i="10"/>
  <c r="O37" i="11"/>
  <c r="O36"/>
  <c r="E13" i="10"/>
  <c r="M37" i="11"/>
  <c r="M36"/>
  <c r="X37"/>
  <c r="E24" i="10"/>
  <c r="S24" s="1"/>
  <c r="X36" i="11"/>
  <c r="E26" i="10"/>
  <c r="Z36" i="11"/>
  <c r="Z37"/>
  <c r="G36"/>
  <c r="G37"/>
  <c r="D28" i="9" s="1"/>
  <c r="E7" i="10"/>
  <c r="G66" i="7"/>
  <c r="F64" s="1"/>
  <c r="E107" i="11"/>
  <c r="E104"/>
  <c r="E100"/>
  <c r="E103"/>
  <c r="F67"/>
  <c r="E102"/>
  <c r="E105"/>
  <c r="I118" l="1"/>
  <c r="M118"/>
  <c r="P118"/>
  <c r="T118"/>
  <c r="J118"/>
  <c r="S118"/>
  <c r="W118"/>
  <c r="N118"/>
  <c r="U118"/>
  <c r="Z118"/>
  <c r="AC118"/>
  <c r="AG118"/>
  <c r="AB118"/>
  <c r="AF118"/>
  <c r="AJ118"/>
  <c r="H118"/>
  <c r="O118"/>
  <c r="G118"/>
  <c r="L118"/>
  <c r="Y118"/>
  <c r="X118"/>
  <c r="AE118"/>
  <c r="AD118"/>
  <c r="K118"/>
  <c r="R118"/>
  <c r="V118"/>
  <c r="Q118"/>
  <c r="AA118"/>
  <c r="AI118"/>
  <c r="AH118"/>
  <c r="D110"/>
  <c r="D111" s="1"/>
  <c r="S21" i="10"/>
  <c r="F7"/>
  <c r="S7" s="1"/>
  <c r="Q62" i="7"/>
  <c r="Q65"/>
  <c r="F200" i="11" s="1"/>
  <c r="Z200" s="1"/>
  <c r="Z209" s="1"/>
  <c r="Z47" s="1"/>
  <c r="G26" i="10" s="1"/>
  <c r="S26" s="1"/>
  <c r="S18"/>
  <c r="S13"/>
  <c r="S16"/>
  <c r="S14"/>
  <c r="H93" i="11"/>
  <c r="I90" s="1"/>
  <c r="I93" s="1"/>
  <c r="J90" s="1"/>
  <c r="J93" s="1"/>
  <c r="K90" s="1"/>
  <c r="K93" s="1"/>
  <c r="L90" s="1"/>
  <c r="L93" s="1"/>
  <c r="M90" s="1"/>
  <c r="M93" s="1"/>
  <c r="N90" s="1"/>
  <c r="N93" s="1"/>
  <c r="O90" s="1"/>
  <c r="O93" s="1"/>
  <c r="P90" s="1"/>
  <c r="P93" s="1"/>
  <c r="Q90" s="1"/>
  <c r="Q93" s="1"/>
  <c r="R90" s="1"/>
  <c r="R93" s="1"/>
  <c r="S90" s="1"/>
  <c r="S93" s="1"/>
  <c r="T90" s="1"/>
  <c r="T93" s="1"/>
  <c r="U90" s="1"/>
  <c r="U93" s="1"/>
  <c r="V90" s="1"/>
  <c r="V93" s="1"/>
  <c r="W90" s="1"/>
  <c r="W93" s="1"/>
  <c r="X90" s="1"/>
  <c r="X93" s="1"/>
  <c r="Y90" s="1"/>
  <c r="Y93" s="1"/>
  <c r="Z90" s="1"/>
  <c r="Z93" s="1"/>
  <c r="AA90" s="1"/>
  <c r="AA93" s="1"/>
  <c r="AB90" s="1"/>
  <c r="AB93" s="1"/>
  <c r="AC90" s="1"/>
  <c r="AC93" s="1"/>
  <c r="AD90" s="1"/>
  <c r="AD93" s="1"/>
  <c r="AE90" s="1"/>
  <c r="AE93" s="1"/>
  <c r="AF90" s="1"/>
  <c r="AF93" s="1"/>
  <c r="AG90" s="1"/>
  <c r="AG93" s="1"/>
  <c r="AH90" s="1"/>
  <c r="AH93" s="1"/>
  <c r="AI90" s="1"/>
  <c r="AI93" s="1"/>
  <c r="AJ90" s="1"/>
  <c r="AJ93" s="1"/>
  <c r="S10" i="10"/>
  <c r="S12"/>
  <c r="S15"/>
  <c r="S19"/>
  <c r="S20"/>
  <c r="S11"/>
  <c r="G123" i="11"/>
  <c r="J123"/>
  <c r="L123"/>
  <c r="N123"/>
  <c r="Q123"/>
  <c r="S123"/>
  <c r="U123"/>
  <c r="V123"/>
  <c r="H123"/>
  <c r="I123"/>
  <c r="M123"/>
  <c r="R123"/>
  <c r="X123"/>
  <c r="Z123"/>
  <c r="K123"/>
  <c r="O123"/>
  <c r="P123"/>
  <c r="T123"/>
  <c r="W123"/>
  <c r="Y123"/>
  <c r="AB123"/>
  <c r="AD123"/>
  <c r="AF123"/>
  <c r="AH123"/>
  <c r="AJ123"/>
  <c r="AA123"/>
  <c r="AC123"/>
  <c r="AE123"/>
  <c r="AG123"/>
  <c r="AI123"/>
  <c r="G119"/>
  <c r="J119"/>
  <c r="L119"/>
  <c r="N119"/>
  <c r="Q119"/>
  <c r="S119"/>
  <c r="U119"/>
  <c r="V119"/>
  <c r="H119"/>
  <c r="I119"/>
  <c r="M119"/>
  <c r="R119"/>
  <c r="X119"/>
  <c r="Z119"/>
  <c r="K119"/>
  <c r="O119"/>
  <c r="P119"/>
  <c r="T119"/>
  <c r="W119"/>
  <c r="Y119"/>
  <c r="AB119"/>
  <c r="AD119"/>
  <c r="AF119"/>
  <c r="AH119"/>
  <c r="AJ119"/>
  <c r="AA119"/>
  <c r="AC119"/>
  <c r="AE119"/>
  <c r="AG119"/>
  <c r="AI119"/>
  <c r="M6" i="10"/>
  <c r="N6" s="1"/>
  <c r="H116" i="11"/>
  <c r="I116"/>
  <c r="K116"/>
  <c r="M116"/>
  <c r="O116"/>
  <c r="P116"/>
  <c r="R116"/>
  <c r="T116"/>
  <c r="G116"/>
  <c r="J116"/>
  <c r="N116"/>
  <c r="Q116"/>
  <c r="U116"/>
  <c r="W116"/>
  <c r="Y116"/>
  <c r="L116"/>
  <c r="S116"/>
  <c r="V116"/>
  <c r="X116"/>
  <c r="Z116"/>
  <c r="AA116"/>
  <c r="AC116"/>
  <c r="AE116"/>
  <c r="AG116"/>
  <c r="AI116"/>
  <c r="AB116"/>
  <c r="AD116"/>
  <c r="AF116"/>
  <c r="AH116"/>
  <c r="AJ116"/>
  <c r="E110"/>
  <c r="E111" s="1"/>
  <c r="G117"/>
  <c r="J117"/>
  <c r="L117"/>
  <c r="N117"/>
  <c r="Q117"/>
  <c r="S117"/>
  <c r="U117"/>
  <c r="V117"/>
  <c r="H117"/>
  <c r="I117"/>
  <c r="K117"/>
  <c r="O117"/>
  <c r="P117"/>
  <c r="T117"/>
  <c r="X117"/>
  <c r="Z117"/>
  <c r="M117"/>
  <c r="R117"/>
  <c r="W117"/>
  <c r="Y117"/>
  <c r="AB117"/>
  <c r="AD117"/>
  <c r="AF117"/>
  <c r="AH117"/>
  <c r="AJ117"/>
  <c r="AA117"/>
  <c r="AC117"/>
  <c r="AE117"/>
  <c r="AG117"/>
  <c r="AI117"/>
  <c r="G124"/>
  <c r="H124"/>
  <c r="I124"/>
  <c r="K124"/>
  <c r="M124"/>
  <c r="O124"/>
  <c r="P124"/>
  <c r="R124"/>
  <c r="T124"/>
  <c r="J124"/>
  <c r="N124"/>
  <c r="Q124"/>
  <c r="U124"/>
  <c r="W124"/>
  <c r="Y124"/>
  <c r="L124"/>
  <c r="S124"/>
  <c r="V124"/>
  <c r="X124"/>
  <c r="Z124"/>
  <c r="AA124"/>
  <c r="AC124"/>
  <c r="AE124"/>
  <c r="AG124"/>
  <c r="AI124"/>
  <c r="AB124"/>
  <c r="AD124"/>
  <c r="AF124"/>
  <c r="AH124"/>
  <c r="AJ124"/>
  <c r="F65" i="7"/>
  <c r="F63"/>
  <c r="E118" i="11"/>
  <c r="H122"/>
  <c r="I122"/>
  <c r="K122"/>
  <c r="M122"/>
  <c r="O122"/>
  <c r="P122"/>
  <c r="R122"/>
  <c r="T122"/>
  <c r="G122"/>
  <c r="J122"/>
  <c r="L122"/>
  <c r="S122"/>
  <c r="V122"/>
  <c r="W122"/>
  <c r="Y122"/>
  <c r="N122"/>
  <c r="Q122"/>
  <c r="U122"/>
  <c r="X122"/>
  <c r="Z122"/>
  <c r="AA122"/>
  <c r="AC122"/>
  <c r="AE122"/>
  <c r="AG122"/>
  <c r="AI122"/>
  <c r="AB122"/>
  <c r="AD122"/>
  <c r="AF122"/>
  <c r="AH122"/>
  <c r="AJ122"/>
  <c r="H120"/>
  <c r="I120"/>
  <c r="K120"/>
  <c r="M120"/>
  <c r="O120"/>
  <c r="P120"/>
  <c r="R120"/>
  <c r="T120"/>
  <c r="G120"/>
  <c r="J120"/>
  <c r="N120"/>
  <c r="Q120"/>
  <c r="U120"/>
  <c r="W120"/>
  <c r="Y120"/>
  <c r="L120"/>
  <c r="S120"/>
  <c r="V120"/>
  <c r="X120"/>
  <c r="Z120"/>
  <c r="AA120"/>
  <c r="AC120"/>
  <c r="AE120"/>
  <c r="AG120"/>
  <c r="AI120"/>
  <c r="AB120"/>
  <c r="AD120"/>
  <c r="AF120"/>
  <c r="AH120"/>
  <c r="AJ120"/>
  <c r="G121"/>
  <c r="J121"/>
  <c r="L121"/>
  <c r="N121"/>
  <c r="Q121"/>
  <c r="S121"/>
  <c r="U121"/>
  <c r="V121"/>
  <c r="H121"/>
  <c r="I121"/>
  <c r="K121"/>
  <c r="O121"/>
  <c r="P121"/>
  <c r="T121"/>
  <c r="X121"/>
  <c r="Z121"/>
  <c r="M121"/>
  <c r="R121"/>
  <c r="W121"/>
  <c r="Y121"/>
  <c r="AB121"/>
  <c r="AD121"/>
  <c r="AF121"/>
  <c r="AH121"/>
  <c r="AJ121"/>
  <c r="AA121"/>
  <c r="AC121"/>
  <c r="AE121"/>
  <c r="AG121"/>
  <c r="AI121"/>
  <c r="G59" i="7"/>
  <c r="F199" i="11" l="1"/>
  <c r="G20" i="7"/>
  <c r="C109" i="12"/>
  <c r="E121" i="11"/>
  <c r="E120"/>
  <c r="E122"/>
  <c r="E124"/>
  <c r="E117"/>
  <c r="Z142"/>
  <c r="V142"/>
  <c r="L142"/>
  <c r="W142"/>
  <c r="Q142"/>
  <c r="J142"/>
  <c r="T142"/>
  <c r="P142"/>
  <c r="M142"/>
  <c r="I142"/>
  <c r="E119"/>
  <c r="E123"/>
  <c r="G142"/>
  <c r="E116"/>
  <c r="X142"/>
  <c r="S142"/>
  <c r="Y142"/>
  <c r="U142"/>
  <c r="N142"/>
  <c r="R142"/>
  <c r="O142"/>
  <c r="K142"/>
  <c r="H142"/>
  <c r="C110" i="12" l="1"/>
  <c r="D110" s="1"/>
  <c r="N120"/>
  <c r="N121" s="1"/>
  <c r="V199" i="11"/>
  <c r="V209" s="1"/>
  <c r="V47" s="1"/>
  <c r="G22" i="10" s="1"/>
  <c r="S22" s="1"/>
  <c r="F206" i="11"/>
  <c r="G198" s="1"/>
  <c r="E126"/>
  <c r="F126" s="1"/>
  <c r="R57"/>
  <c r="R144"/>
  <c r="S57"/>
  <c r="S144"/>
  <c r="M57"/>
  <c r="M144"/>
  <c r="T57"/>
  <c r="T144"/>
  <c r="Q57"/>
  <c r="Q144"/>
  <c r="L57"/>
  <c r="L144"/>
  <c r="Z57"/>
  <c r="Z144"/>
  <c r="K57"/>
  <c r="K144"/>
  <c r="U57"/>
  <c r="U144"/>
  <c r="H57"/>
  <c r="H144"/>
  <c r="O57"/>
  <c r="O144"/>
  <c r="N57"/>
  <c r="N144"/>
  <c r="Y57"/>
  <c r="Y144"/>
  <c r="X57"/>
  <c r="X144"/>
  <c r="G57"/>
  <c r="G144"/>
  <c r="I57"/>
  <c r="I144"/>
  <c r="P57"/>
  <c r="P144"/>
  <c r="J57"/>
  <c r="J144"/>
  <c r="W57"/>
  <c r="W144"/>
  <c r="V57"/>
  <c r="V144"/>
  <c r="G206" l="1"/>
  <c r="H198" s="1"/>
  <c r="C120" i="12"/>
  <c r="C121" s="1"/>
  <c r="D120"/>
  <c r="D121" s="1"/>
  <c r="H206" i="11" l="1"/>
  <c r="I198" s="1"/>
  <c r="G208"/>
  <c r="G22" s="1"/>
  <c r="G23" s="1"/>
  <c r="G39" l="1"/>
  <c r="D7" i="10"/>
  <c r="H7" s="1"/>
  <c r="I206" i="11"/>
  <c r="J198" s="1"/>
  <c r="H208"/>
  <c r="H22" s="1"/>
  <c r="H23" s="1"/>
  <c r="D8" i="10" l="1"/>
  <c r="H8" s="1"/>
  <c r="H39" i="11"/>
  <c r="J206"/>
  <c r="K198" s="1"/>
  <c r="G44"/>
  <c r="G41"/>
  <c r="P7" i="10" s="1"/>
  <c r="I208" i="11"/>
  <c r="I22" s="1"/>
  <c r="I23" s="1"/>
  <c r="D9" i="10" l="1"/>
  <c r="H9" s="1"/>
  <c r="I39" i="11"/>
  <c r="G49"/>
  <c r="G53" s="1"/>
  <c r="G54" s="1"/>
  <c r="G58"/>
  <c r="K206"/>
  <c r="L198" s="1"/>
  <c r="H41"/>
  <c r="P8" i="10" s="1"/>
  <c r="H44" i="11"/>
  <c r="J208"/>
  <c r="J22" s="1"/>
  <c r="J23" s="1"/>
  <c r="J39" l="1"/>
  <c r="D10" i="10"/>
  <c r="L206" i="11"/>
  <c r="M198" s="1"/>
  <c r="G55"/>
  <c r="H49"/>
  <c r="H53" s="1"/>
  <c r="H54" s="1"/>
  <c r="H58"/>
  <c r="G60"/>
  <c r="G149"/>
  <c r="G61"/>
  <c r="I41"/>
  <c r="P9" i="10" s="1"/>
  <c r="I44" i="11"/>
  <c r="K208"/>
  <c r="K22" s="1"/>
  <c r="K23" s="1"/>
  <c r="K39" l="1"/>
  <c r="D11" i="10"/>
  <c r="H11" s="1"/>
  <c r="I58" i="11"/>
  <c r="I49"/>
  <c r="I53" s="1"/>
  <c r="I54" s="1"/>
  <c r="I55" s="1"/>
  <c r="J7" i="10"/>
  <c r="G64" i="11"/>
  <c r="L7" i="10" s="1"/>
  <c r="I7"/>
  <c r="M206" i="11"/>
  <c r="N198" s="1"/>
  <c r="J41"/>
  <c r="P10" i="10" s="1"/>
  <c r="J44" i="11"/>
  <c r="G162"/>
  <c r="G161"/>
  <c r="G154"/>
  <c r="G153"/>
  <c r="H61"/>
  <c r="H60"/>
  <c r="H149"/>
  <c r="H10" i="10"/>
  <c r="H55" i="11"/>
  <c r="L208"/>
  <c r="L22" s="1"/>
  <c r="L23" s="1"/>
  <c r="G63" l="1"/>
  <c r="K7" i="10" s="1"/>
  <c r="G165" i="11"/>
  <c r="M208"/>
  <c r="M22" s="1"/>
  <c r="M23" s="1"/>
  <c r="D13" i="10" s="1"/>
  <c r="H13" s="1"/>
  <c r="D12"/>
  <c r="H12" s="1"/>
  <c r="L39" i="11"/>
  <c r="I8" i="10"/>
  <c r="M39" i="11"/>
  <c r="I61"/>
  <c r="I60"/>
  <c r="I149"/>
  <c r="K44"/>
  <c r="K41"/>
  <c r="P11" i="10" s="1"/>
  <c r="H153" i="11"/>
  <c r="H161"/>
  <c r="H64"/>
  <c r="L8" i="10" s="1"/>
  <c r="J8"/>
  <c r="G157" i="11"/>
  <c r="G155"/>
  <c r="H152" s="1"/>
  <c r="J58"/>
  <c r="J49"/>
  <c r="J53" s="1"/>
  <c r="J54" s="1"/>
  <c r="N206"/>
  <c r="O198" s="1"/>
  <c r="G163"/>
  <c r="H160" s="1"/>
  <c r="G67" l="1"/>
  <c r="H154"/>
  <c r="H155" s="1"/>
  <c r="I152" s="1"/>
  <c r="H162"/>
  <c r="H165" s="1"/>
  <c r="G68"/>
  <c r="O7" i="10" s="1"/>
  <c r="J55" i="11"/>
  <c r="I153"/>
  <c r="I161"/>
  <c r="J9" i="10"/>
  <c r="I64" i="11"/>
  <c r="L9" i="10" s="1"/>
  <c r="M41" i="11"/>
  <c r="P13" i="10" s="1"/>
  <c r="M44" i="11"/>
  <c r="H163"/>
  <c r="I160" s="1"/>
  <c r="N208"/>
  <c r="N22" s="1"/>
  <c r="N23" s="1"/>
  <c r="R7" i="10"/>
  <c r="M7"/>
  <c r="N7" s="1"/>
  <c r="O206" i="11"/>
  <c r="P198" s="1"/>
  <c r="J61"/>
  <c r="J149"/>
  <c r="J60"/>
  <c r="K58"/>
  <c r="K49"/>
  <c r="K53" s="1"/>
  <c r="K54" s="1"/>
  <c r="K55" s="1"/>
  <c r="I9" i="10"/>
  <c r="L44" i="11"/>
  <c r="L41"/>
  <c r="P12" i="10" s="1"/>
  <c r="H63" i="11"/>
  <c r="H157" l="1"/>
  <c r="I63"/>
  <c r="I67" s="1"/>
  <c r="I162"/>
  <c r="I165" s="1"/>
  <c r="I154"/>
  <c r="I157" s="1"/>
  <c r="O208"/>
  <c r="O22" s="1"/>
  <c r="O23" s="1"/>
  <c r="D15" i="10" s="1"/>
  <c r="H15" s="1"/>
  <c r="K9"/>
  <c r="I10"/>
  <c r="J10"/>
  <c r="J64" i="11"/>
  <c r="L10" i="10" s="1"/>
  <c r="P206" i="11"/>
  <c r="Q198" s="1"/>
  <c r="N39"/>
  <c r="D14" i="10"/>
  <c r="M58" i="11"/>
  <c r="M49"/>
  <c r="M53" s="1"/>
  <c r="M54" s="1"/>
  <c r="K8" i="10"/>
  <c r="H67" i="11"/>
  <c r="L49"/>
  <c r="L53" s="1"/>
  <c r="L54" s="1"/>
  <c r="L58"/>
  <c r="K60"/>
  <c r="K149"/>
  <c r="K61"/>
  <c r="J161"/>
  <c r="J153"/>
  <c r="O39" l="1"/>
  <c r="O41" s="1"/>
  <c r="P15" i="10" s="1"/>
  <c r="I163" i="11"/>
  <c r="J160" s="1"/>
  <c r="I155"/>
  <c r="J154"/>
  <c r="M55"/>
  <c r="J157"/>
  <c r="K153"/>
  <c r="K161"/>
  <c r="L60"/>
  <c r="L61"/>
  <c r="L149"/>
  <c r="I68"/>
  <c r="O9" i="10" s="1"/>
  <c r="H68" i="11"/>
  <c r="O8" i="10" s="1"/>
  <c r="J11"/>
  <c r="K64" i="11"/>
  <c r="L11" i="10" s="1"/>
  <c r="I11"/>
  <c r="K63" i="11"/>
  <c r="L55"/>
  <c r="R8" i="10"/>
  <c r="M8"/>
  <c r="N8" s="1"/>
  <c r="H14"/>
  <c r="M9"/>
  <c r="R9"/>
  <c r="O44" i="11"/>
  <c r="P208"/>
  <c r="P22" s="1"/>
  <c r="P23" s="1"/>
  <c r="J63"/>
  <c r="M61"/>
  <c r="M60"/>
  <c r="M149"/>
  <c r="N41"/>
  <c r="P14" i="10" s="1"/>
  <c r="N44" i="11"/>
  <c r="Q206"/>
  <c r="R198" s="1"/>
  <c r="J152" l="1"/>
  <c r="J155" s="1"/>
  <c r="K152" s="1"/>
  <c r="J162"/>
  <c r="Q208"/>
  <c r="Q22" s="1"/>
  <c r="Q23" s="1"/>
  <c r="Q39" s="1"/>
  <c r="N49"/>
  <c r="N53" s="1"/>
  <c r="N54" s="1"/>
  <c r="N58"/>
  <c r="M64"/>
  <c r="L13" i="10" s="1"/>
  <c r="J13"/>
  <c r="K11"/>
  <c r="K67" i="11"/>
  <c r="J12" i="10"/>
  <c r="L64" i="11"/>
  <c r="L12" i="10" s="1"/>
  <c r="K162" i="11"/>
  <c r="K165" s="1"/>
  <c r="D17" i="10"/>
  <c r="H17" s="1"/>
  <c r="M161" i="11"/>
  <c r="M153"/>
  <c r="K10" i="10"/>
  <c r="J67" i="11"/>
  <c r="R206"/>
  <c r="S198" s="1"/>
  <c r="I13" i="10"/>
  <c r="M63" i="11"/>
  <c r="D16" i="10"/>
  <c r="H16" s="1"/>
  <c r="P39" i="11"/>
  <c r="O58"/>
  <c r="O49"/>
  <c r="O53" s="1"/>
  <c r="O54" s="1"/>
  <c r="L161"/>
  <c r="L153"/>
  <c r="I12" i="10"/>
  <c r="N9"/>
  <c r="K154" i="11"/>
  <c r="K157" s="1"/>
  <c r="J165" l="1"/>
  <c r="J163"/>
  <c r="K160" s="1"/>
  <c r="L63"/>
  <c r="L67" s="1"/>
  <c r="L68" s="1"/>
  <c r="O12" i="10" s="1"/>
  <c r="R208" i="11"/>
  <c r="R22" s="1"/>
  <c r="R23" s="1"/>
  <c r="R39" s="1"/>
  <c r="O60"/>
  <c r="O149"/>
  <c r="O61"/>
  <c r="S206"/>
  <c r="T198" s="1"/>
  <c r="R10" i="10"/>
  <c r="M10"/>
  <c r="N10" s="1"/>
  <c r="N61" i="11"/>
  <c r="N149"/>
  <c r="N60"/>
  <c r="K163"/>
  <c r="L160" s="1"/>
  <c r="K12" i="10"/>
  <c r="P41" i="11"/>
  <c r="P16" i="10" s="1"/>
  <c r="P44" i="11"/>
  <c r="K13" i="10"/>
  <c r="M67" i="11"/>
  <c r="D18" i="10"/>
  <c r="H18" s="1"/>
  <c r="K68" i="11"/>
  <c r="O11" i="10" s="1"/>
  <c r="J68" i="11"/>
  <c r="O10" i="10" s="1"/>
  <c r="Q41" i="11"/>
  <c r="P17" i="10" s="1"/>
  <c r="Q44" i="11"/>
  <c r="M11" i="10"/>
  <c r="R11"/>
  <c r="N55" i="11"/>
  <c r="O55"/>
  <c r="K155"/>
  <c r="M68" l="1"/>
  <c r="O13" i="10" s="1"/>
  <c r="Q49" i="11"/>
  <c r="Q53" s="1"/>
  <c r="Q54" s="1"/>
  <c r="Q58"/>
  <c r="P58"/>
  <c r="P49"/>
  <c r="P53" s="1"/>
  <c r="P54" s="1"/>
  <c r="N153"/>
  <c r="N161"/>
  <c r="O64"/>
  <c r="L15" i="10" s="1"/>
  <c r="J15"/>
  <c r="I15"/>
  <c r="S208" i="11"/>
  <c r="S22" s="1"/>
  <c r="S23" s="1"/>
  <c r="L152"/>
  <c r="L154"/>
  <c r="L157" s="1"/>
  <c r="L162"/>
  <c r="L165" s="1"/>
  <c r="R44"/>
  <c r="R41"/>
  <c r="M13" i="10"/>
  <c r="R13"/>
  <c r="M12"/>
  <c r="R12"/>
  <c r="I14"/>
  <c r="J14"/>
  <c r="N64" i="11"/>
  <c r="L14" i="10" s="1"/>
  <c r="T206" i="11"/>
  <c r="U198" s="1"/>
  <c r="O153"/>
  <c r="O161"/>
  <c r="N11" i="10"/>
  <c r="N12" s="1"/>
  <c r="N13" s="1"/>
  <c r="O63" i="11" l="1"/>
  <c r="O67" s="1"/>
  <c r="P18" i="10"/>
  <c r="P60" i="11"/>
  <c r="P61"/>
  <c r="P149"/>
  <c r="T208"/>
  <c r="T22" s="1"/>
  <c r="T23" s="1"/>
  <c r="N63"/>
  <c r="L155"/>
  <c r="L163"/>
  <c r="M160" s="1"/>
  <c r="U206"/>
  <c r="V198" s="1"/>
  <c r="R49"/>
  <c r="R53" s="1"/>
  <c r="R54" s="1"/>
  <c r="R55" s="1"/>
  <c r="R58"/>
  <c r="D19" i="10"/>
  <c r="H19" s="1"/>
  <c r="S39" i="11"/>
  <c r="K15" i="10"/>
  <c r="Q55" i="11"/>
  <c r="P55"/>
  <c r="Q61"/>
  <c r="Q149"/>
  <c r="Q60"/>
  <c r="Q153" l="1"/>
  <c r="Q161"/>
  <c r="S41"/>
  <c r="S44"/>
  <c r="R60"/>
  <c r="R149"/>
  <c r="R61"/>
  <c r="M152"/>
  <c r="M162"/>
  <c r="M165" s="1"/>
  <c r="M154"/>
  <c r="M157" s="1"/>
  <c r="D20" i="10"/>
  <c r="H20" s="1"/>
  <c r="T39" i="11"/>
  <c r="J16" i="10"/>
  <c r="P64" i="11"/>
  <c r="L16" i="10" s="1"/>
  <c r="U208" i="11"/>
  <c r="U22" s="1"/>
  <c r="U23" s="1"/>
  <c r="I17" i="10"/>
  <c r="J17"/>
  <c r="Q64" i="11"/>
  <c r="L17" i="10" s="1"/>
  <c r="R15"/>
  <c r="M15"/>
  <c r="V206" i="11"/>
  <c r="W198" s="1"/>
  <c r="K14" i="10"/>
  <c r="N67" i="11"/>
  <c r="P161"/>
  <c r="P153"/>
  <c r="I16" i="10"/>
  <c r="M163" i="11"/>
  <c r="N160" s="1"/>
  <c r="P63" l="1"/>
  <c r="P67" s="1"/>
  <c r="P68" s="1"/>
  <c r="O16" i="10" s="1"/>
  <c r="V208" i="11"/>
  <c r="V22" s="1"/>
  <c r="V23" s="1"/>
  <c r="D22" i="10" s="1"/>
  <c r="K16"/>
  <c r="N68" i="11"/>
  <c r="O14" i="10" s="1"/>
  <c r="O68" i="11"/>
  <c r="O15" i="10" s="1"/>
  <c r="V39" i="11"/>
  <c r="V44" s="1"/>
  <c r="R14" i="10"/>
  <c r="M14"/>
  <c r="N14" s="1"/>
  <c r="N15" s="1"/>
  <c r="W206" i="11"/>
  <c r="X198" s="1"/>
  <c r="T44"/>
  <c r="T41"/>
  <c r="R153"/>
  <c r="R161"/>
  <c r="S49"/>
  <c r="S53" s="1"/>
  <c r="S54" s="1"/>
  <c r="S58"/>
  <c r="Q63"/>
  <c r="M155"/>
  <c r="U39"/>
  <c r="D21" i="10"/>
  <c r="H21" s="1"/>
  <c r="R64" i="11"/>
  <c r="L18" i="10" s="1"/>
  <c r="J18"/>
  <c r="I18"/>
  <c r="P19"/>
  <c r="W208" i="11" l="1"/>
  <c r="W22" s="1"/>
  <c r="W23" s="1"/>
  <c r="D23" i="10" s="1"/>
  <c r="H23" s="1"/>
  <c r="U44" i="11"/>
  <c r="U41"/>
  <c r="E41" s="1"/>
  <c r="G55" i="7" s="1"/>
  <c r="G56" s="1"/>
  <c r="K17" i="10"/>
  <c r="Q67" i="11"/>
  <c r="Q68" s="1"/>
  <c r="O17" i="10" s="1"/>
  <c r="S60" i="11"/>
  <c r="S61"/>
  <c r="S149"/>
  <c r="P20" i="10"/>
  <c r="H22"/>
  <c r="N152" i="11"/>
  <c r="N154"/>
  <c r="N157" s="1"/>
  <c r="N162"/>
  <c r="S55"/>
  <c r="T49"/>
  <c r="T53" s="1"/>
  <c r="T54" s="1"/>
  <c r="T58"/>
  <c r="X206"/>
  <c r="Y198" s="1"/>
  <c r="V49"/>
  <c r="V53" s="1"/>
  <c r="V54" s="1"/>
  <c r="V58"/>
  <c r="M16" i="10"/>
  <c r="N16" s="1"/>
  <c r="R16"/>
  <c r="R63" i="11"/>
  <c r="D11" i="9" l="1"/>
  <c r="W39" i="11"/>
  <c r="W44" s="1"/>
  <c r="W49" s="1"/>
  <c r="W53" s="1"/>
  <c r="W54" s="1"/>
  <c r="X208"/>
  <c r="X22" s="1"/>
  <c r="X23" s="1"/>
  <c r="D24" i="10" s="1"/>
  <c r="H24" s="1"/>
  <c r="K18"/>
  <c r="R67" i="11"/>
  <c r="V61"/>
  <c r="V149"/>
  <c r="V60"/>
  <c r="X39"/>
  <c r="X44" s="1"/>
  <c r="T60"/>
  <c r="T149"/>
  <c r="T61"/>
  <c r="S161"/>
  <c r="S153"/>
  <c r="I19" i="10"/>
  <c r="R17"/>
  <c r="M17"/>
  <c r="N17" s="1"/>
  <c r="U58" i="11"/>
  <c r="U49"/>
  <c r="U53" s="1"/>
  <c r="U54" s="1"/>
  <c r="Y206"/>
  <c r="Z198" s="1"/>
  <c r="N165"/>
  <c r="N163"/>
  <c r="O160" s="1"/>
  <c r="J19" i="10"/>
  <c r="S64" i="11"/>
  <c r="L19" i="10" s="1"/>
  <c r="P21"/>
  <c r="F41" i="11"/>
  <c r="U42" s="1"/>
  <c r="U55"/>
  <c r="T55"/>
  <c r="N155"/>
  <c r="W58" l="1"/>
  <c r="W60" s="1"/>
  <c r="Y208"/>
  <c r="Y22" s="1"/>
  <c r="Y23" s="1"/>
  <c r="Y39" s="1"/>
  <c r="Y44" s="1"/>
  <c r="O154"/>
  <c r="O157" s="1"/>
  <c r="O152"/>
  <c r="O162"/>
  <c r="O165" s="1"/>
  <c r="D25" i="10"/>
  <c r="H25" s="1"/>
  <c r="V55" i="11"/>
  <c r="W55"/>
  <c r="W61"/>
  <c r="W149"/>
  <c r="T64"/>
  <c r="L20" i="10" s="1"/>
  <c r="J20"/>
  <c r="I20"/>
  <c r="X49" i="11"/>
  <c r="X53" s="1"/>
  <c r="X54" s="1"/>
  <c r="X58"/>
  <c r="V161"/>
  <c r="V153"/>
  <c r="R68"/>
  <c r="O18" i="10" s="1"/>
  <c r="X42" i="11"/>
  <c r="AB42"/>
  <c r="AF42"/>
  <c r="AJ42"/>
  <c r="Y42"/>
  <c r="AC42"/>
  <c r="AG42"/>
  <c r="H42"/>
  <c r="M42"/>
  <c r="P42"/>
  <c r="V42"/>
  <c r="Z42"/>
  <c r="AD42"/>
  <c r="AH42"/>
  <c r="W42"/>
  <c r="AA42"/>
  <c r="AE42"/>
  <c r="AI42"/>
  <c r="G42"/>
  <c r="J42"/>
  <c r="K42"/>
  <c r="L42"/>
  <c r="O42"/>
  <c r="Q42"/>
  <c r="G52" i="7"/>
  <c r="G53" s="1"/>
  <c r="I42" i="11"/>
  <c r="N42"/>
  <c r="R42"/>
  <c r="S42"/>
  <c r="T42"/>
  <c r="Z206"/>
  <c r="AA198" s="1"/>
  <c r="AA208" s="1"/>
  <c r="AA22" s="1"/>
  <c r="AA23" s="1"/>
  <c r="AA39" s="1"/>
  <c r="AA44" s="1"/>
  <c r="U61"/>
  <c r="U149"/>
  <c r="U60"/>
  <c r="T153"/>
  <c r="T161"/>
  <c r="I22" i="10"/>
  <c r="J22"/>
  <c r="V64" i="11"/>
  <c r="L22" i="10" s="1"/>
  <c r="M18"/>
  <c r="N18" s="1"/>
  <c r="R18"/>
  <c r="O163" i="11"/>
  <c r="P160" s="1"/>
  <c r="S63"/>
  <c r="D10" i="9" l="1"/>
  <c r="T63" i="11"/>
  <c r="K20" i="10" s="1"/>
  <c r="V63" i="11"/>
  <c r="V67" s="1"/>
  <c r="O155"/>
  <c r="P152" s="1"/>
  <c r="U161"/>
  <c r="U153"/>
  <c r="AA58"/>
  <c r="AA49"/>
  <c r="AA53" s="1"/>
  <c r="AA54" s="1"/>
  <c r="X61"/>
  <c r="X149"/>
  <c r="X60"/>
  <c r="W153"/>
  <c r="W161"/>
  <c r="J23" i="10"/>
  <c r="W64" i="11"/>
  <c r="L23" i="10" s="1"/>
  <c r="K19"/>
  <c r="S67" i="11"/>
  <c r="I21" i="10"/>
  <c r="J21"/>
  <c r="U64" i="11"/>
  <c r="L21" i="10" s="1"/>
  <c r="I23"/>
  <c r="Y58" i="11"/>
  <c r="Y49"/>
  <c r="Y53" s="1"/>
  <c r="Y54" s="1"/>
  <c r="Z208"/>
  <c r="Z22" s="1"/>
  <c r="Z23" s="1"/>
  <c r="F52" i="7"/>
  <c r="X55" i="11"/>
  <c r="K22" i="10" l="1"/>
  <c r="M22" s="1"/>
  <c r="T67" i="11"/>
  <c r="T68" s="1"/>
  <c r="O20" i="10" s="1"/>
  <c r="W63" i="11"/>
  <c r="W67" s="1"/>
  <c r="P154"/>
  <c r="P157" s="1"/>
  <c r="P162"/>
  <c r="P165" s="1"/>
  <c r="Y55"/>
  <c r="K23" i="10"/>
  <c r="Z39" i="11"/>
  <c r="Z44" s="1"/>
  <c r="D26" i="10"/>
  <c r="Y60" i="11"/>
  <c r="Y149"/>
  <c r="Y61"/>
  <c r="M19" i="10"/>
  <c r="N19" s="1"/>
  <c r="R19"/>
  <c r="I24"/>
  <c r="X64" i="11"/>
  <c r="L24" i="10" s="1"/>
  <c r="J24"/>
  <c r="AA61" i="11"/>
  <c r="AA64" s="1"/>
  <c r="AA60"/>
  <c r="AA149"/>
  <c r="R22" i="10"/>
  <c r="P163" i="11"/>
  <c r="Q160" s="1"/>
  <c r="S68"/>
  <c r="O19" i="10" s="1"/>
  <c r="M20"/>
  <c r="R20"/>
  <c r="X153" i="11"/>
  <c r="X161"/>
  <c r="U63"/>
  <c r="P155" l="1"/>
  <c r="Q154" s="1"/>
  <c r="Q157" s="1"/>
  <c r="AA63"/>
  <c r="AA67" s="1"/>
  <c r="X63"/>
  <c r="K24" i="10" s="1"/>
  <c r="J25"/>
  <c r="Y64" i="11"/>
  <c r="L25" i="10" s="1"/>
  <c r="I25"/>
  <c r="Y63" i="11"/>
  <c r="Z49"/>
  <c r="Z53" s="1"/>
  <c r="Z54" s="1"/>
  <c r="Z58"/>
  <c r="M23" i="10"/>
  <c r="R23"/>
  <c r="K21"/>
  <c r="U67" i="11"/>
  <c r="W68" s="1"/>
  <c r="O23" i="10" s="1"/>
  <c r="AA153" i="11"/>
  <c r="AA161"/>
  <c r="Y161"/>
  <c r="Y153"/>
  <c r="H26" i="10"/>
  <c r="N20"/>
  <c r="Q152" i="11" l="1"/>
  <c r="Q155" s="1"/>
  <c r="Q162"/>
  <c r="X67"/>
  <c r="V68"/>
  <c r="O22" i="10" s="1"/>
  <c r="U68" i="11"/>
  <c r="O21" i="10" s="1"/>
  <c r="K25"/>
  <c r="Y67" i="11"/>
  <c r="M21" i="10"/>
  <c r="N21" s="1"/>
  <c r="N22" s="1"/>
  <c r="N23" s="1"/>
  <c r="R21"/>
  <c r="AB55" i="11"/>
  <c r="AC55"/>
  <c r="D70"/>
  <c r="AF55"/>
  <c r="AE55"/>
  <c r="AD55"/>
  <c r="Z55"/>
  <c r="AH55"/>
  <c r="AI55"/>
  <c r="AA55"/>
  <c r="AG55"/>
  <c r="AJ55"/>
  <c r="M24" i="10"/>
  <c r="N24" s="1"/>
  <c r="R24"/>
  <c r="Z60" i="11"/>
  <c r="Z61"/>
  <c r="Z149"/>
  <c r="X68"/>
  <c r="O24" i="10" s="1"/>
  <c r="R152" i="11" l="1"/>
  <c r="R162"/>
  <c r="R165" s="1"/>
  <c r="R154"/>
  <c r="R157" s="1"/>
  <c r="Q165"/>
  <c r="Q163"/>
  <c r="R160" s="1"/>
  <c r="Z161"/>
  <c r="Z153"/>
  <c r="I26" i="10"/>
  <c r="J26"/>
  <c r="Z64" i="11"/>
  <c r="L26" i="10" s="1"/>
  <c r="M25"/>
  <c r="N25" s="1"/>
  <c r="R25"/>
  <c r="Y68" i="11"/>
  <c r="O25" i="10" s="1"/>
  <c r="R163" i="11" l="1"/>
  <c r="S160" s="1"/>
  <c r="R155"/>
  <c r="S152" s="1"/>
  <c r="Z63"/>
  <c r="S154" l="1"/>
  <c r="S157" s="1"/>
  <c r="S162"/>
  <c r="S155"/>
  <c r="T154" s="1"/>
  <c r="T157" s="1"/>
  <c r="K26" i="10"/>
  <c r="Z67" i="11"/>
  <c r="T152" l="1"/>
  <c r="T162"/>
  <c r="T165" s="1"/>
  <c r="S165"/>
  <c r="S163"/>
  <c r="T160" s="1"/>
  <c r="T163" s="1"/>
  <c r="U160" s="1"/>
  <c r="T155"/>
  <c r="U154" s="1"/>
  <c r="U157" s="1"/>
  <c r="R26" i="10"/>
  <c r="M26"/>
  <c r="N26" s="1"/>
  <c r="N27" s="1"/>
  <c r="N28" s="1"/>
  <c r="N29" s="1"/>
  <c r="N30" s="1"/>
  <c r="N31" s="1"/>
  <c r="N32" s="1"/>
  <c r="N33" s="1"/>
  <c r="N34" s="1"/>
  <c r="N35" s="1"/>
  <c r="N36" s="1"/>
  <c r="AB68" i="11"/>
  <c r="AC68"/>
  <c r="AF68"/>
  <c r="Z68"/>
  <c r="O26" i="10" s="1"/>
  <c r="AJ68" i="11"/>
  <c r="D71"/>
  <c r="AI68"/>
  <c r="AH68"/>
  <c r="AD68"/>
  <c r="AE68"/>
  <c r="D72"/>
  <c r="AG68"/>
  <c r="AA68"/>
  <c r="U152" l="1"/>
  <c r="U155" s="1"/>
  <c r="V152" s="1"/>
  <c r="U162"/>
  <c r="G213"/>
  <c r="K213"/>
  <c r="O213"/>
  <c r="V162" l="1"/>
  <c r="V165" s="1"/>
  <c r="V154"/>
  <c r="V157" s="1"/>
  <c r="U165"/>
  <c r="U163"/>
  <c r="V160" s="1"/>
  <c r="V163" l="1"/>
  <c r="W160" s="1"/>
  <c r="V155"/>
  <c r="W162" s="1"/>
  <c r="W165" s="1"/>
  <c r="W154" l="1"/>
  <c r="W157" s="1"/>
  <c r="W152"/>
  <c r="W163"/>
  <c r="X160" s="1"/>
  <c r="W155" l="1"/>
  <c r="X152" s="1"/>
  <c r="X154" l="1"/>
  <c r="X157" s="1"/>
  <c r="X162"/>
  <c r="X165" s="1"/>
  <c r="X155"/>
  <c r="X163" l="1"/>
  <c r="Y160" s="1"/>
  <c r="Y152"/>
  <c r="Y154"/>
  <c r="Y157" s="1"/>
  <c r="Y162"/>
  <c r="Y165" l="1"/>
  <c r="Y163"/>
  <c r="Z160" s="1"/>
  <c r="Y155"/>
  <c r="Z154" l="1"/>
  <c r="Z157" s="1"/>
  <c r="Z152"/>
  <c r="Z162"/>
  <c r="Z155" l="1"/>
  <c r="Z165"/>
  <c r="Z163"/>
  <c r="AA160" s="1"/>
  <c r="AA154" l="1"/>
  <c r="AA157" s="1"/>
  <c r="AA152"/>
  <c r="AA162"/>
  <c r="AA165" l="1"/>
  <c r="AA163"/>
  <c r="AB160" s="1"/>
  <c r="AB163" s="1"/>
  <c r="AC160" s="1"/>
  <c r="AC163" s="1"/>
  <c r="AD160" s="1"/>
  <c r="AD163" s="1"/>
  <c r="AE160" s="1"/>
  <c r="AE163" s="1"/>
  <c r="AF160" s="1"/>
  <c r="AF163" s="1"/>
  <c r="AG160" s="1"/>
  <c r="AG163" s="1"/>
  <c r="AH160" s="1"/>
  <c r="AH163" s="1"/>
  <c r="AI160" s="1"/>
  <c r="AI163" s="1"/>
  <c r="AJ160" s="1"/>
  <c r="AJ163" s="1"/>
  <c r="AA155"/>
  <c r="AB152" s="1"/>
  <c r="AB155" s="1"/>
  <c r="AC152" s="1"/>
  <c r="AC155" s="1"/>
  <c r="AD152" s="1"/>
  <c r="AD155" s="1"/>
  <c r="AE152" s="1"/>
  <c r="AE155" s="1"/>
  <c r="AF152" s="1"/>
  <c r="AF155" s="1"/>
  <c r="AG152" s="1"/>
  <c r="AG155" s="1"/>
  <c r="AH152" s="1"/>
  <c r="AH155" s="1"/>
  <c r="AI152" s="1"/>
  <c r="AI155" s="1"/>
  <c r="AJ152" s="1"/>
  <c r="AJ155" s="1"/>
</calcChain>
</file>

<file path=xl/comments1.xml><?xml version="1.0" encoding="utf-8"?>
<comments xmlns="http://schemas.openxmlformats.org/spreadsheetml/2006/main">
  <authors>
    <author>Jason Gifford</author>
  </authors>
  <commentList>
    <comment ref="D22" authorId="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authors>
    <author>Jason Gifford</author>
    <author>Tyler Leeds</author>
  </authors>
  <commentList>
    <comment ref="C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t>
        </r>
      </text>
    </comment>
    <comment ref="I4" authorId="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t>
        </r>
      </text>
    </comment>
    <comment ref="S4" authorId="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F6" authorId="0">
      <text>
        <r>
          <rPr>
            <b/>
            <sz val="8"/>
            <color indexed="81"/>
            <rFont val="Tahoma"/>
            <family val="2"/>
          </rPr>
          <t>See "unit" definitions at the bottom of this worksheet.</t>
        </r>
        <r>
          <rPr>
            <sz val="8"/>
            <color indexed="81"/>
            <rFont val="Tahoma"/>
            <family val="2"/>
          </rPr>
          <t xml:space="preserve">
</t>
        </r>
      </text>
    </comment>
    <comment ref="P6" authorId="0">
      <text>
        <r>
          <rPr>
            <b/>
            <sz val="8"/>
            <color indexed="81"/>
            <rFont val="Tahoma"/>
            <family val="2"/>
          </rPr>
          <t>See "unit" definitions at the bottom of this worksheet.</t>
        </r>
        <r>
          <rPr>
            <sz val="8"/>
            <color indexed="81"/>
            <rFont val="Tahoma"/>
            <family val="2"/>
          </rPr>
          <t xml:space="preserve">
</t>
        </r>
      </text>
    </comment>
    <comment ref="I7" authorId="1">
      <text>
        <r>
          <rPr>
            <b/>
            <sz val="14"/>
            <color indexed="81"/>
            <rFont val="Tahoma"/>
            <family val="2"/>
          </rPr>
          <t>Note:</t>
        </r>
        <r>
          <rPr>
            <sz val="14"/>
            <color indexed="81"/>
            <rFont val="Tahoma"/>
            <family val="2"/>
          </rPr>
          <t xml:space="preserve">
This is the aggregate nameplate rating for the entire generating facility.
Input must be greater than zero.
</t>
        </r>
      </text>
    </comment>
    <comment ref="S7" authorId="1">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8" authorId="1">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all electricity losses (including those incurred between the generating facility and the contract delivery point), scheduled and unscheduled maintenance, forced outages, wake effects, icing, and any other factors that could reduce production.
Wind projects typically have a capacity factor between 25% and 40% depending on region and site-specific topography. 
Input must be between 0% and 100%.
</t>
        </r>
      </text>
    </comment>
    <comment ref="S8" authorId="1">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9" authorId="1">
      <text>
        <r>
          <rPr>
            <b/>
            <sz val="14"/>
            <color indexed="81"/>
            <rFont val="Tahoma"/>
            <family val="2"/>
          </rPr>
          <t>Note:</t>
        </r>
        <r>
          <rPr>
            <sz val="14"/>
            <color indexed="81"/>
            <rFont val="Tahoma"/>
            <family val="2"/>
          </rPr>
          <t xml:space="preserve">
This is a calculation, based on the system size and capacity factor provided above. 
</t>
        </r>
      </text>
    </comment>
    <comment ref="S9" authorId="1">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0" authorId="1">
      <text>
        <r>
          <rPr>
            <b/>
            <sz val="14"/>
            <color indexed="81"/>
            <rFont val="Tahoma"/>
            <family val="2"/>
          </rPr>
          <t>Note:</t>
        </r>
        <r>
          <rPr>
            <sz val="14"/>
            <color indexed="81"/>
            <rFont val="Tahoma"/>
            <family val="2"/>
          </rPr>
          <t xml:space="preserve">
The natural aging of the mechanical components of a wind turbine generator may lead to a drop in turbine availability (or efficiency), and therefore production, over time.  
This input allows the user to model the potential for such degradation, which may be between 0% and 2% per year.
</t>
        </r>
        <r>
          <rPr>
            <b/>
            <sz val="14"/>
            <color indexed="81"/>
            <rFont val="Tahoma"/>
            <family val="2"/>
          </rPr>
          <t>If the modeled "Net Capacity Factor" is intented to take long-term average availability into account, then the user may wish to enter 0% in the Annual Production Degradation field.</t>
        </r>
        <r>
          <rPr>
            <sz val="14"/>
            <color indexed="81"/>
            <rFont val="Tahoma"/>
            <family val="2"/>
          </rPr>
          <t xml:space="preserve">
Input must be =&gt; 0%.
</t>
        </r>
      </text>
    </comment>
    <comment ref="I11" authorId="1">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1" authorId="1">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S12" authorId="1">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F13" authorId="0">
      <text>
        <r>
          <rPr>
            <b/>
            <sz val="8"/>
            <color indexed="81"/>
            <rFont val="Tahoma"/>
            <family val="2"/>
          </rPr>
          <t>See "unit" definitions at the bottom of this worksheet.</t>
        </r>
        <r>
          <rPr>
            <sz val="8"/>
            <color indexed="81"/>
            <rFont val="Tahoma"/>
            <family val="2"/>
          </rPr>
          <t xml:space="preserve">
</t>
        </r>
      </text>
    </comment>
    <comment ref="S13" authorId="1">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4" authorId="1">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$/kW,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S14" authorId="1">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I15" authorId="1">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5" authorId="1">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I16" authorId="1">
      <text>
        <r>
          <rPr>
            <b/>
            <sz val="14"/>
            <color indexed="81"/>
            <rFont val="Tahoma"/>
            <family val="2"/>
          </rPr>
          <t>Note:</t>
        </r>
        <r>
          <rPr>
            <sz val="14"/>
            <color indexed="81"/>
            <rFont val="Tahoma"/>
            <family val="2"/>
          </rPr>
          <t xml:space="preserve">
"Generation Equipment" should include hardware such as the generator, blades and tower.  
Caution: the model assumes that if "Intermediate" is selected as the level of detail section, the "Generation Equipment" row must have a value greater than zero. 
</t>
        </r>
      </text>
    </comment>
    <comment ref="I17" authorId="1">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P17" authorId="0">
      <text>
        <r>
          <rPr>
            <b/>
            <sz val="8"/>
            <color indexed="81"/>
            <rFont val="Tahoma"/>
            <family val="2"/>
          </rPr>
          <t>See "unit" definitions at the bottom of this worksheet.</t>
        </r>
        <r>
          <rPr>
            <sz val="8"/>
            <color indexed="81"/>
            <rFont val="Tahoma"/>
            <family val="2"/>
          </rPr>
          <t xml:space="preserve">
</t>
        </r>
      </text>
    </comment>
    <comment ref="I18" authorId="1">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S18" authorId="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19" authorId="1">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19" authorId="1">
      <text>
        <r>
          <rPr>
            <b/>
            <sz val="14"/>
            <color indexed="81"/>
            <rFont val="Tahoma"/>
            <family val="2"/>
          </rPr>
          <t xml:space="preserve">Note:
</t>
        </r>
        <r>
          <rPr>
            <sz val="14"/>
            <color indexed="81"/>
            <rFont val="Tahoma"/>
            <family val="2"/>
          </rPr>
          <t>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t>
        </r>
        <r>
          <rPr>
            <b/>
            <sz val="14"/>
            <color indexed="81"/>
            <rFont val="Tahoma"/>
            <family val="2"/>
          </rPr>
          <t xml:space="preserve">
</t>
        </r>
        <r>
          <rPr>
            <sz val="14"/>
            <color indexed="81"/>
            <rFont val="Tahoma"/>
            <family val="2"/>
          </rPr>
          <t xml:space="preserve">
</t>
        </r>
      </text>
    </comment>
    <comment ref="I20" authorId="1">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0" authorId="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This 'eligible costs' assumption is purposefully simplified for this analysis.  Project costs depreciated on other bases may also be eligible for the ITC.  Developers should consult with tax counsel for project-specific depreciation and ITC treatment of each project cost.
</t>
        </r>
        <r>
          <rPr>
            <sz val="8"/>
            <color indexed="81"/>
            <rFont val="Tahoma"/>
            <family val="2"/>
          </rPr>
          <t xml:space="preserve">
</t>
        </r>
      </text>
    </comment>
    <comment ref="I21" authorId="1">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1" authorId="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2" authorId="1">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S22"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3" authorId="1">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$2,000/kW and $3,000/kW.</t>
        </r>
        <r>
          <rPr>
            <sz val="8"/>
            <color indexed="81"/>
            <rFont val="Tahoma"/>
            <family val="2"/>
          </rPr>
          <t xml:space="preserve">
</t>
        </r>
      </text>
    </comment>
    <comment ref="S23"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S24"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F25" authorId="0">
      <text>
        <r>
          <rPr>
            <b/>
            <sz val="8"/>
            <color indexed="81"/>
            <rFont val="Tahoma"/>
            <family val="2"/>
          </rPr>
          <t>See "unit" definitions at the bottom of this worksheet.</t>
        </r>
        <r>
          <rPr>
            <sz val="8"/>
            <color indexed="81"/>
            <rFont val="Tahoma"/>
            <family val="2"/>
          </rPr>
          <t xml:space="preserve">
</t>
        </r>
      </text>
    </comment>
    <comment ref="S25"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I26" authorId="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26" authorId="1">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27" authorId="1">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S27" authorId="0">
      <text>
        <r>
          <rPr>
            <b/>
            <sz val="14"/>
            <color indexed="81"/>
            <rFont val="Tahoma"/>
            <family val="2"/>
          </rPr>
          <t xml:space="preserve">Note:
</t>
        </r>
        <r>
          <rPr>
            <sz val="14"/>
            <color indexed="81"/>
            <rFont val="Tahoma"/>
            <family val="2"/>
          </rPr>
          <t xml:space="preserve">Select here whether federal grants (other than the section 1603 payment in lieu of the ITC/PTC) are treated as taxable income. If no, depreciation basis is reduced. 
</t>
        </r>
      </text>
    </comment>
    <comment ref="I28" authorId="1">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I29" authorId="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P29" authorId="0">
      <text>
        <r>
          <rPr>
            <b/>
            <sz val="8"/>
            <color indexed="81"/>
            <rFont val="Tahoma"/>
            <family val="2"/>
          </rPr>
          <t>See "unit" definitions at the bottom of this worksheet.</t>
        </r>
        <r>
          <rPr>
            <sz val="8"/>
            <color indexed="81"/>
            <rFont val="Tahoma"/>
            <family val="2"/>
          </rPr>
          <t xml:space="preserve">
</t>
        </r>
      </text>
    </comment>
    <comment ref="I30" authorId="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0" authorId="1">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If no state incentive is available or useable by the modeled project, the user will select "Neither." The magnitude and terms of these incentives are set in the cells below.
For more information, a useful resource for researching federal and state incentives online is:  
http://dsireusa.org/
*See bottom of introduction page for a list of links</t>
        </r>
      </text>
    </comment>
    <comment ref="I31" authorId="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S31" authorId="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Note that the state investment tax credit can only be applied to state-specific income tax liability.</t>
        </r>
      </text>
    </comment>
    <comment ref="I32" authorId="1">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modeled power generating facility.
Input cannot be less than zero.
</t>
        </r>
      </text>
    </comment>
    <comment ref="S32" authorId="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3" authorId="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3" authorId="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4" authorId="1">
      <text>
        <r>
          <rPr>
            <b/>
            <sz val="14"/>
            <color indexed="81"/>
            <rFont val="Tahoma"/>
            <family val="2"/>
          </rPr>
          <t>Note:</t>
        </r>
        <r>
          <rPr>
            <sz val="14"/>
            <color indexed="81"/>
            <rFont val="Tahoma"/>
            <family val="2"/>
          </rPr>
          <t xml:space="preserve">
"Project Management" accounts for the cost of staff time related to managing the project's Power Purchase Agreements, grid integration, and periodic reporting to the system operator and policymakers.  
Input cannot be less than zero.
</t>
        </r>
      </text>
    </comment>
    <comment ref="S34"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5" authorId="1">
      <text>
        <r>
          <rPr>
            <b/>
            <sz val="14"/>
            <color indexed="81"/>
            <rFont val="Tahoma"/>
            <family val="2"/>
          </rPr>
          <t xml:space="preserve">Note:
</t>
        </r>
        <r>
          <rPr>
            <sz val="14"/>
            <color indexed="81"/>
            <rFont val="Tahoma"/>
            <family val="2"/>
          </rPr>
          <t xml:space="preserve">"Property Tax or PILOT" accounts for costs associated with any local taxes incurred by the project. Many states offer tax exemptions for renewable energy systems; to check your local applicability, please visit: http://dsireusa.org/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
</t>
        </r>
      </text>
    </comment>
    <comment ref="S35" authorId="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36" authorId="1">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36" authorId="0">
      <text>
        <r>
          <rPr>
            <b/>
            <sz val="14"/>
            <color indexed="81"/>
            <rFont val="Tahoma"/>
            <family val="2"/>
          </rPr>
          <t xml:space="preserve">Note:
</t>
        </r>
        <r>
          <rPr>
            <sz val="14"/>
            <color indexed="81"/>
            <rFont val="Tahoma"/>
            <family val="2"/>
          </rPr>
          <t xml:space="preserve">Impacts tax treatment of PBI if owner is a taxable entity.
</t>
        </r>
      </text>
    </comment>
    <comment ref="I37" authorId="1">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 payments</t>
        </r>
        <r>
          <rPr>
            <sz val="14"/>
            <color indexed="81"/>
            <rFont val="Tahoma"/>
            <family val="2"/>
          </rPr>
          <t xml:space="preserve">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37"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38" authorId="1">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
If the modeled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S38"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I39" authorId="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39"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S40" authorId="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F41" authorId="0">
      <text>
        <r>
          <rPr>
            <b/>
            <sz val="8"/>
            <color indexed="81"/>
            <rFont val="Tahoma"/>
            <family val="2"/>
          </rPr>
          <t>See "unit" definitions at the bottom of this worksheet.</t>
        </r>
        <r>
          <rPr>
            <sz val="8"/>
            <color indexed="81"/>
            <rFont val="Tahoma"/>
            <family val="2"/>
          </rPr>
          <t xml:space="preserve">
</t>
        </r>
      </text>
    </comment>
    <comment ref="S41" authorId="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2" authorId="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2" authorId="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3" authorId="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I44" authorId="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S45" authorId="0">
      <text>
        <r>
          <rPr>
            <b/>
            <sz val="14"/>
            <color indexed="81"/>
            <rFont val="Tahoma"/>
            <family val="2"/>
          </rPr>
          <t>Note:</t>
        </r>
        <r>
          <rPr>
            <sz val="14"/>
            <color indexed="81"/>
            <rFont val="Tahoma"/>
            <family val="2"/>
          </rPr>
          <t xml:space="preserve">
In the case of wind energy projects, one of the major hardware components is the gearbox. Gearboxes are typically warrantied for several years, and a measurable percentage may be expected to fail after approximately 7 to 12 years of operation. One or more blade replacement may also be necessary, at approxiamtely year 15.  These input cells allow for assumptions regarding one or more gearbox, blade or other replacements over a project's useful life.  
Caution: Modelers should take into account the assumed contract duration and the project's useful life when considering whether to assume equipment replacements in the latter years of this analysis. 
Inputs should be greater than zero and less than the Project Useful Life.
</t>
        </r>
      </text>
    </comment>
    <comment ref="F46" authorId="0">
      <text>
        <r>
          <rPr>
            <b/>
            <sz val="8"/>
            <color indexed="81"/>
            <rFont val="Tahoma"/>
            <family val="2"/>
          </rPr>
          <t>See "unit" definitions at the bottom of this worksheet.</t>
        </r>
        <r>
          <rPr>
            <sz val="8"/>
            <color indexed="81"/>
            <rFont val="Tahoma"/>
            <family val="2"/>
          </rPr>
          <t xml:space="preserve">
</t>
        </r>
      </text>
    </comment>
    <comment ref="S46" authorId="0">
      <text>
        <r>
          <rPr>
            <b/>
            <sz val="14"/>
            <color indexed="81"/>
            <rFont val="Tahoma"/>
            <family val="2"/>
          </rPr>
          <t xml:space="preserve">Note:
</t>
        </r>
        <r>
          <rPr>
            <sz val="14"/>
            <color indexed="81"/>
            <rFont val="Tahoma"/>
            <family val="2"/>
          </rPr>
          <t>The cost of (or even need for) a gearbox replacement is difficult to assess, given that costs are attributable to an item that would be purchased more than 10 years from commercial operation.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gearboxes or blades, will be depreciated on 5-yr MACRS basis.
Input must be greater than or equal to zero.</t>
        </r>
      </text>
    </comment>
    <comment ref="I47" authorId="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47" authorId="0">
      <text>
        <r>
          <rPr>
            <b/>
            <sz val="14"/>
            <color indexed="81"/>
            <rFont val="Tahoma"/>
            <family val="2"/>
          </rPr>
          <t>Note:</t>
        </r>
        <r>
          <rPr>
            <sz val="14"/>
            <color indexed="81"/>
            <rFont val="Tahoma"/>
            <family val="2"/>
          </rPr>
          <t xml:space="preserve">
In the case of wind energy projects, one of the major hardware components is the gearbox. Gearboxes are typically warrantied for several years, and a measurable percentage may be expected to fail after approximately 7 to 12 years of operation. One or more blade replacement may also be necessary, at approxiamtely year 15.  These input cells allow for assumptions regarding one or more gearbox, blade or other replacements over a project's useful life.   
Caution: Modelers should take into account the assumed contract duration and the project's useful life when considering whether to assume equipment replacements in the latter years of this analysis. 
Inputs should be greater than zero and less than the Project Useful Life.
</t>
        </r>
      </text>
    </comment>
    <comment ref="I48" authorId="1">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48" authorId="0">
      <text>
        <r>
          <rPr>
            <b/>
            <sz val="14"/>
            <color indexed="81"/>
            <rFont val="Tahoma"/>
            <family val="2"/>
          </rPr>
          <t xml:space="preserve">Note:
</t>
        </r>
        <r>
          <rPr>
            <sz val="14"/>
            <color indexed="81"/>
            <rFont val="Tahoma"/>
            <family val="2"/>
          </rPr>
          <t>The cost of (or even need for) a gearbox replacement is difficult to assess, given that costs are attributable to an item that would be purchased more than 10 years from commercial operation.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gearboxes or blades, will be depreciated on 5-yr MACRS basis.
Input must be greater than or equal to zero.</t>
        </r>
      </text>
    </comment>
    <comment ref="I49" authorId="1">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49" authorId="0">
      <text>
        <r>
          <rPr>
            <b/>
            <sz val="14"/>
            <color indexed="81"/>
            <rFont val="Tahoma"/>
            <family val="2"/>
          </rPr>
          <t>Note:</t>
        </r>
        <r>
          <rPr>
            <sz val="14"/>
            <color indexed="81"/>
            <rFont val="Tahoma"/>
            <family val="2"/>
          </rPr>
          <t xml:space="preserve">
In the case of wind energy projects, one of the major hardware components is the gearbox. Gearboxes are typically warrantied for several years, and a measurable percentage may be expected to fail after approximately 7 to 12 years of operation. One or more blade replacement may also be necessary, at approxiamtely year 15.  These input cells allow for assumptions regarding one or more gearbox, blade or other replacements over a project's useful life.  
Caution: Modelers should take into account the assumed contract duration and the project's useful life when considering whether to assume equipment replacements in the latter years of this analysis. 
Inputs should be greater than zero and less than the Project Useful Life.
</t>
        </r>
      </text>
    </comment>
    <comment ref="I50" authorId="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S50" authorId="0">
      <text>
        <r>
          <rPr>
            <b/>
            <sz val="14"/>
            <color indexed="81"/>
            <rFont val="Tahoma"/>
            <family val="2"/>
          </rPr>
          <t xml:space="preserve">Note:
</t>
        </r>
        <r>
          <rPr>
            <sz val="14"/>
            <color indexed="81"/>
            <rFont val="Tahoma"/>
            <family val="2"/>
          </rPr>
          <t>The cost of (or even need for) a gearbox replacement is difficult to assess, given that costs are attributable to an item that would be purchased more than 10 years from commercial operation.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gearboxes or blades, will be depreciated on 5-yr MACRS basis.
Input must be greater than or equal to zero.</t>
        </r>
      </text>
    </comment>
    <comment ref="I51"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S51" authorId="0">
      <text>
        <r>
          <rPr>
            <b/>
            <sz val="14"/>
            <color indexed="81"/>
            <rFont val="Tahoma"/>
            <family val="2"/>
          </rPr>
          <t>Note:</t>
        </r>
        <r>
          <rPr>
            <sz val="14"/>
            <color indexed="81"/>
            <rFont val="Tahoma"/>
            <family val="2"/>
          </rPr>
          <t xml:space="preserve">
In the case of wind energy projects, one of the major hardware components is the gearbox. Gearboxes are typically warrantied for several years, and a measurable percentage may be expected to fail after approximately 7 to 12 years of operation. One or more blade replacement may also be necessary, at approxiamtely year 15.  These input cells allow for assumptions regarding one or more gearbox, blade or other replacements over a project's useful life.   
Caution: Modelers should take into account the assumed contract duration and the project's useful life when considering whether to assume equipment replacements in the latter years of this analysis. 
Inputs should be greater than zero and less than the Project Useful Life.
</t>
        </r>
      </text>
    </comment>
    <comment ref="I52" authorId="0">
      <text>
        <r>
          <rPr>
            <b/>
            <sz val="14"/>
            <color indexed="81"/>
            <rFont val="Tahoma"/>
            <family val="2"/>
          </rPr>
          <t>Note:</t>
        </r>
        <r>
          <rPr>
            <sz val="14"/>
            <color indexed="81"/>
            <rFont val="Tahoma"/>
            <family val="2"/>
          </rPr>
          <t xml:space="preserve">
If "#N/A" appears, F9 should be pressed until the calculated COE achieves it's final value.</t>
        </r>
      </text>
    </comment>
    <comment ref="S52" authorId="0">
      <text>
        <r>
          <rPr>
            <b/>
            <sz val="14"/>
            <color indexed="81"/>
            <rFont val="Tahoma"/>
            <family val="2"/>
          </rPr>
          <t xml:space="preserve">Note:
</t>
        </r>
        <r>
          <rPr>
            <sz val="14"/>
            <color indexed="81"/>
            <rFont val="Tahoma"/>
            <family val="2"/>
          </rPr>
          <t>The cost of (or even need for) a gearbox replacement is difficult to assess, given that costs are attributable to an item that would be purchased more than 10 years from commercial operation.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gearboxes or blades, will be depreciated on 5-yr MACRS basis.
Input must be greater than or equal to zero.</t>
        </r>
      </text>
    </comment>
    <comment ref="I53" authorId="1">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I54"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P54" authorId="0">
      <text>
        <r>
          <rPr>
            <b/>
            <sz val="8"/>
            <color indexed="81"/>
            <rFont val="Tahoma"/>
            <family val="2"/>
          </rPr>
          <t>See "unit" definitions at the bottom of this worksheet.</t>
        </r>
        <r>
          <rPr>
            <sz val="8"/>
            <color indexed="81"/>
            <rFont val="Tahoma"/>
            <family val="2"/>
          </rPr>
          <t xml:space="preserve">
</t>
        </r>
      </text>
    </comment>
    <comment ref="I55" authorId="0">
      <text>
        <r>
          <rPr>
            <b/>
            <sz val="12"/>
            <color indexed="81"/>
            <rFont val="Tahoma"/>
            <family val="2"/>
          </rPr>
          <t>Note:</t>
        </r>
        <r>
          <rPr>
            <sz val="12"/>
            <color indexed="81"/>
            <rFont val="Tahoma"/>
            <family val="2"/>
          </rPr>
          <t xml:space="preserve">
If "#N/A" appears, F9 should be pressed until the calculated COE achieves it's final value.</t>
        </r>
      </text>
    </comment>
    <comment ref="I56" authorId="1">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6" authorId="1">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7" authorId="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S57" authorId="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8" authorId="1">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I59" authorId="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P59" authorId="0">
      <text>
        <r>
          <rPr>
            <b/>
            <sz val="8"/>
            <color indexed="81"/>
            <rFont val="Tahoma"/>
            <family val="2"/>
          </rPr>
          <t>See "unit" definitions at the bottom of this worksheet.</t>
        </r>
        <r>
          <rPr>
            <sz val="8"/>
            <color indexed="81"/>
            <rFont val="Tahoma"/>
            <family val="2"/>
          </rPr>
          <t xml:space="preserve">
</t>
        </r>
      </text>
    </comment>
    <comment ref="I60" authorId="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1"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S62" authorId="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3"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I64"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64"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I65" authorId="1">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S65" authorId="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6"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66" authorId="0">
      <text>
        <r>
          <rPr>
            <b/>
            <sz val="14"/>
            <color indexed="81"/>
            <rFont val="Tahoma"/>
            <family val="2"/>
          </rPr>
          <t>Note:</t>
        </r>
        <r>
          <rPr>
            <sz val="14"/>
            <color indexed="81"/>
            <rFont val="Tahoma"/>
            <family val="2"/>
          </rPr>
          <t xml:space="preserve">
Unused reserves earn interest at this rate. Input cannot be less than zero.
</t>
        </r>
      </text>
    </comment>
    <comment ref="F68" authorId="0">
      <text>
        <r>
          <rPr>
            <b/>
            <sz val="8"/>
            <color indexed="81"/>
            <rFont val="Tahoma"/>
            <family val="2"/>
          </rPr>
          <t>See "unit" definitions at the bottom of this worksheet.</t>
        </r>
        <r>
          <rPr>
            <sz val="8"/>
            <color indexed="81"/>
            <rFont val="Tahoma"/>
            <family val="2"/>
          </rPr>
          <t xml:space="preserve">
</t>
        </r>
      </text>
    </comment>
    <comment ref="I69" authorId="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S69" authorId="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I70" authorId="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S70" authorId="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I71"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I72" authorId="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I73"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3" authorId="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4"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5"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AB76"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AB77"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AB78"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AB79" authorId="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authors>
    <author>Jason Gifford</author>
  </authors>
  <commentList>
    <comment ref="B5" authorId="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authors>
    <author>Jason Gifford</author>
  </authors>
  <commentList>
    <comment ref="C4" authorId="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text>
        <r>
          <rPr>
            <b/>
            <sz val="14"/>
            <color indexed="81"/>
            <rFont val="Tahoma"/>
            <family val="2"/>
          </rPr>
          <t>Note:</t>
        </r>
        <r>
          <rPr>
            <sz val="14"/>
            <color indexed="81"/>
            <rFont val="Tahoma"/>
            <family val="2"/>
          </rPr>
          <t xml:space="preserve">
Includes all land lease, royalty and local tax or PILOT.
</t>
        </r>
      </text>
    </comment>
    <comment ref="F4" authorId="0">
      <text>
        <r>
          <rPr>
            <b/>
            <sz val="12"/>
            <color indexed="81"/>
            <rFont val="Tahoma"/>
            <family val="2"/>
          </rPr>
          <t xml:space="preserve">Note:
</t>
        </r>
        <r>
          <rPr>
            <sz val="12"/>
            <color indexed="81"/>
            <rFont val="Tahoma"/>
            <family val="2"/>
          </rPr>
          <t>Includes principle and interest, if debt is used.</t>
        </r>
      </text>
    </comment>
    <comment ref="G4" authorId="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authors>
    <author>Jason Gifford</author>
  </authors>
  <commentList>
    <comment ref="E60" authorId="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9" authorId="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206" authorId="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<sst xmlns="http://schemas.openxmlformats.org/spreadsheetml/2006/main" count="961" uniqueCount="466">
  <si>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</si>
  <si>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</si>
  <si>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</si>
  <si>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</si>
  <si>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</si>
  <si>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</si>
  <si>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</si>
  <si>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</si>
  <si>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</si>
  <si>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</si>
  <si>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</si>
  <si>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</si>
  <si>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</si>
  <si>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</si>
  <si>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Technology Options</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</si>
  <si>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</si>
  <si>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</si>
  <si>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</si>
  <si>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</si>
  <si>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</si>
  <si>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</si>
  <si>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</si>
  <si>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</si>
  <si>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</si>
  <si>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</si>
  <si>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</si>
  <si>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</si>
  <si>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</si>
  <si>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</si>
  <si>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</si>
  <si>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</si>
  <si>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</si>
  <si>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</si>
  <si>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</si>
  <si>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</si>
  <si>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</si>
  <si>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</si>
  <si>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</si>
  <si>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</si>
  <si>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</si>
  <si>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</si>
  <si>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</si>
  <si>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</si>
  <si>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</si>
  <si>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</si>
  <si>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</si>
  <si>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</si>
  <si>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</si>
  <si>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</si>
  <si>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</si>
  <si>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</si>
  <si>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</si>
  <si>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</si>
  <si>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</si>
  <si>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</si>
  <si>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</si>
  <si>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</si>
  <si>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</si>
  <si>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</si>
  <si>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</si>
  <si>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</si>
  <si>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</si>
  <si>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</si>
  <si>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</si>
  <si>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</si>
  <si>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</si>
  <si>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</si>
  <si>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</si>
  <si>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</si>
  <si>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</si>
  <si>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</si>
  <si>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</si>
  <si>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</si>
  <si>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</si>
  <si>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</si>
  <si>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</si>
  <si>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</si>
  <si>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</si>
  <si>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</si>
  <si>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</si>
  <si>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</si>
  <si>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</si>
  <si>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</si>
  <si>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</si>
  <si>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</si>
  <si>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</si>
  <si>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</si>
  <si>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</si>
  <si>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</si>
  <si>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</si>
  <si>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</si>
  <si>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</si>
  <si>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</si>
  <si>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</si>
  <si>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</si>
  <si>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</si>
  <si>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</si>
  <si>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</si>
  <si>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</si>
  <si>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</si>
  <si>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</si>
  <si>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</si>
  <si>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</si>
  <si>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</si>
  <si>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</si>
  <si>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</si>
  <si>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</si>
  <si>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</si>
  <si>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</si>
  <si>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</si>
  <si>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</si>
  <si>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</si>
  <si>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</si>
  <si>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</si>
  <si>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</si>
  <si>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</si>
  <si>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</si>
  <si>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</si>
  <si>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</si>
  <si>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</si>
  <si>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</si>
  <si>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</si>
  <si>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</si>
  <si>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</si>
  <si>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</si>
  <si>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</si>
  <si>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</si>
  <si>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</si>
  <si>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</si>
  <si>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</si>
  <si>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</si>
  <si>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</si>
  <si>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</si>
  <si>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</si>
  <si>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</si>
  <si>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</si>
  <si>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</si>
  <si>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</si>
  <si>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</si>
  <si>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</si>
  <si>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No</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</si>
  <si>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</si>
  <si>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</si>
  <si>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</si>
  <si>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</si>
  <si>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</si>
  <si>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</si>
  <si>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</si>
  <si>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</si>
  <si>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</si>
  <si>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</si>
  <si>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</si>
  <si>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</si>
  <si>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</si>
  <si>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</si>
  <si>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</si>
  <si>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</si>
  <si>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</si>
  <si>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</si>
  <si>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</si>
  <si>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</si>
  <si>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</si>
  <si>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</si>
  <si>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</si>
  <si>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</si>
  <si>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</si>
  <si>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</si>
  <si>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</si>
  <si>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</si>
  <si>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</si>
  <si>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</si>
  <si>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</si>
  <si>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</si>
  <si>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</si>
  <si>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</si>
  <si>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</si>
  <si>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</si>
  <si>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</si>
  <si>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Access Roads</t>
  </si>
  <si>
    <t>Site Selection &amp; Evaluation</t>
  </si>
  <si>
    <t>Permitting</t>
  </si>
  <si>
    <t>Engineering/Design</t>
  </si>
  <si>
    <t>Site Acquisition Cost</t>
  </si>
  <si>
    <t>Other Development Costs</t>
  </si>
  <si>
    <t>Resource Analysis</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</si>
  <si>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</si>
  <si>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</si>
  <si>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</si>
  <si>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</si>
  <si>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</si>
  <si>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</si>
  <si>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</si>
  <si>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</si>
  <si>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</si>
  <si>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</si>
  <si>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</si>
  <si>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</si>
  <si>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</si>
  <si>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</si>
  <si>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</si>
  <si>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</si>
  <si>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</si>
  <si>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</si>
  <si>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</si>
  <si>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</si>
  <si>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</si>
  <si>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</si>
  <si>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</si>
  <si>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</si>
  <si>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</si>
  <si>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</si>
  <si>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</si>
  <si>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</si>
  <si>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</si>
  <si>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</si>
  <si>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</si>
  <si>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</si>
  <si>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</si>
  <si>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</si>
  <si>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</si>
  <si>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</si>
  <si>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</si>
  <si>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</si>
  <si>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</si>
  <si>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</si>
  <si>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</si>
  <si>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</si>
  <si>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</si>
  <si>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</si>
  <si>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</si>
  <si>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</si>
  <si>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</si>
  <si>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</si>
  <si>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</si>
  <si>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</si>
  <si>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</si>
  <si>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</si>
  <si>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</si>
  <si>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</si>
  <si>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</si>
  <si>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</si>
  <si>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</si>
  <si>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</si>
  <si>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</si>
  <si>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</si>
  <si>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</si>
  <si>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</si>
  <si>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</si>
  <si>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</si>
  <si>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</si>
  <si>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</si>
  <si>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</si>
  <si>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</si>
  <si>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</si>
  <si>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</si>
  <si>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State Grants Treated as Taxable Income?</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</si>
  <si>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</si>
  <si>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</si>
  <si>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</si>
  <si>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</si>
  <si>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</si>
  <si>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</si>
  <si>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</si>
  <si>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</si>
  <si>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</si>
  <si>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</si>
  <si>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</si>
  <si>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</si>
  <si>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</si>
  <si>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</si>
  <si>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</si>
  <si>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</si>
  <si>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</si>
  <si>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</si>
  <si>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</si>
  <si>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</si>
  <si>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</si>
  <si>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</si>
  <si>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</si>
  <si>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</si>
  <si>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</si>
  <si>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</si>
  <si>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</si>
  <si>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</si>
  <si>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</si>
  <si>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</si>
  <si>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</si>
  <si>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</si>
  <si>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</si>
  <si>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</si>
  <si>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</si>
  <si>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</si>
  <si>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</si>
  <si>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</si>
  <si>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</si>
  <si>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r>
      <t>Taxable Income (Federal)</t>
    </r>
    <r>
      <rPr>
        <sz val="12"/>
        <rFont val="Arial"/>
        <family val="2"/>
      </rPr>
      <t>,           operating loss treatment ==&gt;&gt;</t>
    </r>
  </si>
  <si>
    <r>
      <t>Taxable Income (State),</t>
    </r>
    <r>
      <rPr>
        <sz val="12"/>
        <rFont val="Arial"/>
        <family val="2"/>
      </rPr>
      <t xml:space="preserve">               operating loss treatment ==&gt;&gt;</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</si>
  <si>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</si>
  <si>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</si>
  <si>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</si>
  <si>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</si>
  <si>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</si>
  <si>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</si>
  <si>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</si>
  <si>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</si>
  <si>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</si>
  <si>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</si>
  <si>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</si>
  <si>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</si>
  <si>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</si>
  <si>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</si>
  <si>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</si>
  <si>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</si>
  <si>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</si>
  <si>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</si>
  <si>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</si>
  <si>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</si>
  <si>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</si>
  <si>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</si>
  <si>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</si>
  <si>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</si>
  <si>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</si>
  <si>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</si>
  <si>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Year One</t>
  </si>
  <si>
    <t>As Generated</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</si>
  <si>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</si>
  <si>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</si>
  <si>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</si>
  <si>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</si>
  <si>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</si>
  <si>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</si>
  <si>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</si>
  <si>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</si>
  <si>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</si>
  <si>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</si>
  <si>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</si>
  <si>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</si>
  <si>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</si>
  <si>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</si>
  <si>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</si>
  <si>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$/kW-yr</t>
  </si>
  <si>
    <t>kW</t>
  </si>
  <si>
    <t>Wind Turbine Generator and Blades</t>
  </si>
  <si>
    <t>Tower</t>
  </si>
  <si>
    <t>SCADA</t>
  </si>
  <si>
    <t>Cold Weather Package</t>
  </si>
  <si>
    <t>FAA Lighting</t>
  </si>
  <si>
    <t>Man-Lift</t>
  </si>
  <si>
    <t>Transportation to Site</t>
  </si>
  <si>
    <t>Sales Tax</t>
  </si>
  <si>
    <t>Mobilization</t>
  </si>
  <si>
    <t>Site Survey</t>
  </si>
  <si>
    <t>Clear &amp; Grub</t>
  </si>
  <si>
    <t>Site Preparation</t>
  </si>
  <si>
    <t>Foundations</t>
  </si>
  <si>
    <t>Wind Turbine Generator Installation</t>
  </si>
  <si>
    <t>Engineering</t>
  </si>
  <si>
    <t>O&amp;M Building</t>
  </si>
  <si>
    <t>$/kW</t>
  </si>
  <si>
    <t>Capital Expenditures During Operations: E.g. Gearbox or Blade Replacements</t>
  </si>
  <si>
    <t>Cost of Renewable Energy Spreadsheet Tool (CREST)</t>
  </si>
  <si>
    <t>Land Lease</t>
  </si>
  <si>
    <t>Adjustment to Cost Basis for ITC &amp; Non-taxable Grants</t>
  </si>
  <si>
    <t>Bonus Depreciation</t>
  </si>
  <si>
    <t>% of Bonus Depreciation applied in Year 1</t>
  </si>
  <si>
    <t>Allocation of Costs</t>
  </si>
  <si>
    <t>Project Cost Allocation</t>
  </si>
  <si>
    <t>Before</t>
  </si>
  <si>
    <t xml:space="preserve">% </t>
  </si>
  <si>
    <t xml:space="preserve">After </t>
  </si>
  <si>
    <t>Adjustments</t>
  </si>
  <si>
    <t>Unadjusted</t>
  </si>
  <si>
    <t>Adjusted</t>
  </si>
  <si>
    <t>Project Cost Basis</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</si>
  <si>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</si>
  <si>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</si>
  <si>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</si>
  <si>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</si>
  <si>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</si>
  <si>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</si>
  <si>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Cost-Based</t>
  </si>
  <si>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</si>
  <si>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</si>
  <si>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</si>
  <si>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</si>
  <si>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</si>
  <si>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</si>
  <si>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</si>
  <si>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</si>
  <si>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Notes: (Users may enter descriptive text about their model run)</t>
  </si>
  <si>
    <t xml:space="preserve">3rd Equipment Replacement </t>
  </si>
  <si>
    <t>3rd Replacement Cost ($ in year replaced)</t>
  </si>
  <si>
    <t xml:space="preserve">4th Equipment Replacement </t>
  </si>
  <si>
    <t>4th Replacement Cost ($ in year replaced)</t>
  </si>
  <si>
    <t>3rd Replacement</t>
  </si>
  <si>
    <t>4th Replacement</t>
  </si>
  <si>
    <t>Major Equipment Replacement Reserves #1</t>
  </si>
  <si>
    <t>Major Equipment Replacement Reserves #2</t>
  </si>
  <si>
    <t>Major Equipment Replacement Reserves #3</t>
  </si>
  <si>
    <t>Major Equipment Replacement Reserves #4</t>
  </si>
  <si>
    <t>(max funding period, yrs)</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</si>
  <si>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</si>
  <si>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http://dsireusa.org/</t>
  </si>
  <si>
    <t>http://dsireusa.org/incentives/incentive.cfm?Incentive_Code=US02F&amp;re=1&amp;ee=1</t>
  </si>
  <si>
    <t>http://dsireusa.org/incentives/index.cfm?state=us&amp;re=1&amp;EE=1</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</si>
  <si>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</si>
  <si>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</si>
  <si>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DSIRE</t>
  </si>
  <si>
    <t>DSIRE: Tax/Grants</t>
  </si>
  <si>
    <t>DSIRE: Other Fed Incentives</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</si>
  <si>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</si>
  <si>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</si>
  <si>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</si>
  <si>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</si>
  <si>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</si>
  <si>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sz val="12"/>
        <color theme="1"/>
        <rFont val="Calibri"/>
        <family val="2"/>
        <scheme val="minor"/>
      </rPr>
      <t xml:space="preserve">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</si>
  <si>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</si>
  <si>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</si>
  <si>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</si>
  <si>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</si>
  <si>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</si>
  <si>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</si>
  <si>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</si>
  <si>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</si>
  <si>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</si>
  <si>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</si>
  <si>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</si>
  <si>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</si>
  <si>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Author:</t>
  </si>
  <si>
    <t>Sustainable Energy Advantage, LLC</t>
  </si>
  <si>
    <t>For Technical Support, Please Contact:</t>
  </si>
  <si>
    <t xml:space="preserve">Michael Mendelsohn, NREL
(303) 384-7363
michael.mendelsohn@nrel.gov </t>
  </si>
  <si>
    <t>For Model Customization, Please Contact:</t>
  </si>
  <si>
    <t xml:space="preserve">Sustainable Energy Advantage, LLC
(508) 665-5850
CREST@seadvantage.com </t>
  </si>
  <si>
    <t>Total Installed Cost (before grants, if applicable)</t>
  </si>
  <si>
    <t>Cash</t>
  </si>
  <si>
    <t>Simple</t>
  </si>
  <si>
    <t>Payment Duration for Cost-Based Tariff</t>
  </si>
  <si>
    <t>Tax Credit-  or Cash- Based?</t>
  </si>
  <si>
    <t>% of Year 1 Tariff Rate Escalated</t>
  </si>
  <si>
    <t>Net Installed Cost (Total Installed Cost less Grants)</t>
  </si>
  <si>
    <t>Operating Expenses, Aggregated, Yr 1</t>
  </si>
  <si>
    <t>Debt Term</t>
  </si>
  <si>
    <t>Federal Tax Benefts Used "as generated" or "carried forward"?</t>
  </si>
  <si>
    <t>State Tax Benefts Used "as generated" or "carried forward"?</t>
  </si>
  <si>
    <t>Total of Grants or Rebates</t>
  </si>
  <si>
    <t>Bonus Depreciation assumed?</t>
  </si>
  <si>
    <r>
      <rPr>
        <sz val="11"/>
        <color theme="1"/>
        <rFont val="Calibri"/>
        <family val="2"/>
      </rPr>
      <t>¢</t>
    </r>
    <r>
      <rPr>
        <i/>
        <sz val="11"/>
        <color theme="1"/>
        <rFont val="Arial"/>
        <family val="2"/>
      </rPr>
      <t>/kWh</t>
    </r>
  </si>
  <si>
    <t>Total $ Cap on State Rebates/Grants</t>
  </si>
  <si>
    <t>Annual $ Cap on Performance-Based Incentive</t>
  </si>
  <si>
    <t>PBI or REC Rate</t>
  </si>
  <si>
    <t>PBI or REC PaymentDuration</t>
  </si>
  <si>
    <t>PBI or REC Escalation Rate (pos. or neg.)</t>
  </si>
  <si>
    <t>State Rebates, Tax Credits and/or REC Revenue</t>
  </si>
  <si>
    <t>Net Year-One Cost of Energy (COE)</t>
  </si>
  <si>
    <t>Net Nominal Levelized Cost of Energy</t>
  </si>
  <si>
    <t>Cash Grant</t>
  </si>
  <si>
    <r>
      <t xml:space="preserve">Additional Federal Grants </t>
    </r>
    <r>
      <rPr>
        <b/>
        <sz val="10"/>
        <rFont val="Arial"/>
        <family val="2"/>
      </rPr>
      <t>(Other than Section 1603)</t>
    </r>
  </si>
  <si>
    <t>Select Form of Federal Incentives</t>
  </si>
  <si>
    <t>Additional State Rebates/Grants</t>
  </si>
  <si>
    <t>Select Form of State Incentive</t>
  </si>
  <si>
    <t>If cash, is state PBI or REC taxable?</t>
  </si>
  <si>
    <t>Operations</t>
  </si>
  <si>
    <t>Neither</t>
  </si>
  <si>
    <t>Wind, version 1.3</t>
  </si>
  <si>
    <t>Intermediate</t>
  </si>
</sst>
</file>

<file path=xl/styles.xml><?xml version="1.0" encoding="utf-8"?>
<styleSheet xmlns="http://schemas.openxmlformats.org/spreadsheetml/2006/main">
  <numFmts count="2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0.0"/>
    <numFmt numFmtId="178" formatCode="&quot;Net Present Value @&quot;\ ##.00%\ &quot;(over defined Useful Life)&quot;"/>
  </numFmts>
  <fonts count="96">
    <font>
      <sz val="11"/>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i/>
      <u/>
      <sz val="12"/>
      <color theme="1"/>
      <name val="Calibri"/>
      <family val="2"/>
      <scheme val="minor"/>
    </font>
    <font>
      <b/>
      <sz val="14"/>
      <color rgb="FFFF000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
      <b/>
      <sz val="10"/>
      <name val="Arial"/>
      <family val="2"/>
    </font>
    <font>
      <i/>
      <sz val="12"/>
      <color theme="0"/>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7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9" fontId="19" fillId="0" borderId="0" applyFont="0" applyFill="0" applyBorder="0" applyAlignment="0" applyProtection="0"/>
    <xf numFmtId="43" fontId="1" fillId="0" borderId="0" applyFont="0" applyFill="0" applyBorder="0" applyAlignment="0" applyProtection="0"/>
  </cellStyleXfs>
  <cellXfs count="793">
    <xf numFmtId="0" fontId="0" fillId="0" borderId="0" xfId="0"/>
    <xf numFmtId="0" fontId="5" fillId="0" borderId="0" xfId="0" applyFont="1" applyFill="1" applyBorder="1"/>
    <xf numFmtId="0" fontId="2" fillId="5" borderId="1" xfId="0" applyNumberFormat="1" applyFont="1" applyFill="1" applyBorder="1" applyAlignment="1">
      <alignment horizontal="left"/>
    </xf>
    <xf numFmtId="0" fontId="9" fillId="5" borderId="2" xfId="0" applyNumberFormat="1" applyFont="1" applyFill="1" applyBorder="1" applyAlignment="1">
      <alignment horizontal="center"/>
    </xf>
    <xf numFmtId="166" fontId="10" fillId="5" borderId="3" xfId="0" applyNumberFormat="1" applyFont="1" applyFill="1" applyBorder="1" applyAlignment="1">
      <alignment horizontal="center"/>
    </xf>
    <xf numFmtId="0" fontId="2" fillId="5" borderId="1" xfId="0" applyNumberFormat="1" applyFont="1" applyFill="1" applyBorder="1" applyAlignment="1"/>
    <xf numFmtId="0" fontId="3" fillId="2" borderId="5" xfId="0" applyNumberFormat="1" applyFont="1" applyFill="1" applyBorder="1" applyAlignment="1">
      <alignment horizontal="center"/>
    </xf>
    <xf numFmtId="0" fontId="3" fillId="2" borderId="4" xfId="0" applyNumberFormat="1" applyFont="1" applyFill="1" applyBorder="1" applyAlignment="1">
      <alignment horizontal="center"/>
    </xf>
    <xf numFmtId="0" fontId="3" fillId="0" borderId="4" xfId="0" applyFont="1" applyBorder="1" applyAlignment="1">
      <alignment horizontal="center"/>
    </xf>
    <xf numFmtId="0" fontId="5" fillId="2" borderId="4" xfId="0" applyNumberFormat="1" applyFont="1" applyFill="1" applyBorder="1" applyAlignment="1"/>
    <xf numFmtId="3" fontId="2" fillId="5" borderId="1" xfId="0" applyNumberFormat="1" applyFont="1" applyFill="1" applyBorder="1" applyAlignment="1">
      <alignment horizontal="left"/>
    </xf>
    <xf numFmtId="0" fontId="3" fillId="0" borderId="4" xfId="0" applyNumberFormat="1" applyFont="1" applyFill="1" applyBorder="1" applyAlignment="1">
      <alignment horizontal="center"/>
    </xf>
    <xf numFmtId="0" fontId="5" fillId="0" borderId="8" xfId="0" applyFont="1" applyFill="1" applyBorder="1"/>
    <xf numFmtId="0" fontId="5" fillId="0" borderId="0" xfId="0" applyFont="1" applyBorder="1"/>
    <xf numFmtId="0" fontId="14" fillId="0" borderId="4" xfId="0" applyFont="1" applyFill="1" applyBorder="1" applyAlignment="1">
      <alignment horizontal="center"/>
    </xf>
    <xf numFmtId="0" fontId="0" fillId="0" borderId="0" xfId="0" applyBorder="1"/>
    <xf numFmtId="0" fontId="14" fillId="0" borderId="0" xfId="0" applyFont="1" applyFill="1" applyBorder="1" applyAlignment="1">
      <alignment horizontal="center"/>
    </xf>
    <xf numFmtId="0" fontId="7" fillId="0" borderId="0" xfId="0" applyFont="1" applyFill="1" applyBorder="1" applyAlignment="1">
      <alignment horizontal="center"/>
    </xf>
    <xf numFmtId="0" fontId="2" fillId="0" borderId="0" xfId="0" applyFont="1" applyFill="1" applyBorder="1" applyAlignment="1">
      <alignment horizontal="center"/>
    </xf>
    <xf numFmtId="0" fontId="5" fillId="0" borderId="2" xfId="0" applyFont="1" applyBorder="1"/>
    <xf numFmtId="0" fontId="5" fillId="0" borderId="0" xfId="0" applyFont="1" applyFill="1" applyBorder="1" applyAlignment="1">
      <alignment horizontal="center"/>
    </xf>
    <xf numFmtId="0" fontId="5" fillId="2" borderId="0" xfId="0" applyNumberFormat="1" applyFont="1" applyFill="1" applyBorder="1" applyAlignment="1"/>
    <xf numFmtId="0" fontId="3" fillId="0" borderId="4" xfId="0" applyFont="1" applyFill="1" applyBorder="1" applyAlignment="1">
      <alignment horizontal="center"/>
    </xf>
    <xf numFmtId="0" fontId="23" fillId="0" borderId="2" xfId="0" applyFont="1" applyBorder="1" applyAlignment="1">
      <alignment horizontal="center" vertical="center"/>
    </xf>
    <xf numFmtId="0" fontId="7" fillId="0" borderId="2" xfId="0" applyFont="1" applyFill="1" applyBorder="1" applyAlignment="1">
      <alignment horizontal="left"/>
    </xf>
    <xf numFmtId="9" fontId="8" fillId="0" borderId="0" xfId="0" applyNumberFormat="1" applyFont="1" applyFill="1" applyBorder="1" applyAlignment="1">
      <alignment horizontal="center"/>
    </xf>
    <xf numFmtId="0" fontId="0" fillId="0" borderId="0" xfId="0" applyFill="1" applyBorder="1"/>
    <xf numFmtId="0" fontId="5" fillId="5" borderId="2" xfId="0" applyFont="1" applyFill="1" applyBorder="1"/>
    <xf numFmtId="0" fontId="2" fillId="0" borderId="14" xfId="0" applyFont="1" applyFill="1" applyBorder="1" applyAlignment="1">
      <alignment horizontal="center"/>
    </xf>
    <xf numFmtId="0" fontId="3" fillId="0" borderId="5" xfId="0" applyFont="1" applyFill="1" applyBorder="1" applyAlignment="1">
      <alignment horizontal="center"/>
    </xf>
    <xf numFmtId="0" fontId="5" fillId="0" borderId="0" xfId="0" applyNumberFormat="1" applyFont="1" applyAlignment="1"/>
    <xf numFmtId="0" fontId="2" fillId="0" borderId="0" xfId="0" applyNumberFormat="1" applyFont="1" applyAlignment="1">
      <alignment horizontal="center"/>
    </xf>
    <xf numFmtId="0" fontId="5" fillId="0" borderId="0" xfId="0" applyNumberFormat="1" applyFont="1" applyFill="1" applyAlignment="1"/>
    <xf numFmtId="0" fontId="5" fillId="0" borderId="0" xfId="0" applyNumberFormat="1" applyFont="1" applyAlignment="1">
      <alignment horizontal="center"/>
    </xf>
    <xf numFmtId="173" fontId="5" fillId="0" borderId="0" xfId="0" applyNumberFormat="1" applyFont="1" applyAlignment="1"/>
    <xf numFmtId="0" fontId="2" fillId="0" borderId="0" xfId="0" applyNumberFormat="1" applyFont="1" applyAlignment="1"/>
    <xf numFmtId="3" fontId="5" fillId="0" borderId="0" xfId="0" applyNumberFormat="1" applyFont="1" applyAlignment="1"/>
    <xf numFmtId="0" fontId="5" fillId="0" borderId="0" xfId="0" applyNumberFormat="1" applyFont="1" applyFill="1" applyBorder="1" applyAlignment="1"/>
    <xf numFmtId="169" fontId="5" fillId="0" borderId="0" xfId="0" applyNumberFormat="1" applyFont="1" applyBorder="1" applyAlignment="1"/>
    <xf numFmtId="0" fontId="5" fillId="0" borderId="0" xfId="0" applyNumberFormat="1" applyFont="1" applyBorder="1" applyAlignment="1"/>
    <xf numFmtId="0" fontId="5" fillId="0" borderId="9" xfId="0" applyNumberFormat="1" applyFont="1" applyFill="1" applyBorder="1" applyAlignment="1"/>
    <xf numFmtId="0" fontId="5" fillId="0" borderId="9" xfId="0" applyNumberFormat="1" applyFont="1" applyBorder="1" applyAlignment="1"/>
    <xf numFmtId="169" fontId="2" fillId="0" borderId="0" xfId="0" applyNumberFormat="1" applyFont="1" applyAlignment="1"/>
    <xf numFmtId="6" fontId="5" fillId="0" borderId="0" xfId="0" applyNumberFormat="1" applyFont="1" applyFill="1" applyBorder="1" applyAlignment="1"/>
    <xf numFmtId="6" fontId="5" fillId="0" borderId="9" xfId="0" applyNumberFormat="1" applyFont="1" applyFill="1" applyBorder="1" applyAlignment="1"/>
    <xf numFmtId="0" fontId="2" fillId="0" borderId="0" xfId="0" applyNumberFormat="1" applyFont="1" applyFill="1" applyBorder="1" applyAlignment="1"/>
    <xf numFmtId="6" fontId="2" fillId="0" borderId="0" xfId="0" applyNumberFormat="1" applyFont="1" applyAlignment="1"/>
    <xf numFmtId="0" fontId="3" fillId="0" borderId="0" xfId="0" applyNumberFormat="1" applyFont="1" applyFill="1" applyBorder="1" applyAlignment="1"/>
    <xf numFmtId="0" fontId="3" fillId="0" borderId="0" xfId="0" applyNumberFormat="1" applyFont="1" applyAlignment="1"/>
    <xf numFmtId="0" fontId="3" fillId="0" borderId="0" xfId="0" applyNumberFormat="1" applyFont="1" applyFill="1" applyAlignment="1"/>
    <xf numFmtId="40" fontId="3" fillId="0" borderId="0" xfId="0" applyNumberFormat="1" applyFont="1" applyFill="1" applyAlignment="1">
      <alignment horizontal="center"/>
    </xf>
    <xf numFmtId="0" fontId="2" fillId="0" borderId="0" xfId="0" applyNumberFormat="1" applyFont="1" applyFill="1" applyAlignment="1"/>
    <xf numFmtId="6" fontId="2" fillId="0" borderId="0" xfId="0" applyNumberFormat="1" applyFont="1" applyFill="1" applyAlignment="1"/>
    <xf numFmtId="0" fontId="2" fillId="0" borderId="0" xfId="0" applyNumberFormat="1" applyFont="1" applyAlignment="1">
      <alignment wrapText="1"/>
    </xf>
    <xf numFmtId="6" fontId="5" fillId="0" borderId="0" xfId="0" applyNumberFormat="1" applyFont="1" applyAlignment="1"/>
    <xf numFmtId="6" fontId="5" fillId="0" borderId="9" xfId="0" applyNumberFormat="1" applyFont="1" applyBorder="1" applyAlignment="1"/>
    <xf numFmtId="0" fontId="20" fillId="0" borderId="0" xfId="0" applyNumberFormat="1" applyFont="1" applyAlignment="1">
      <alignment wrapText="1"/>
    </xf>
    <xf numFmtId="164" fontId="3" fillId="0" borderId="0" xfId="2" applyNumberFormat="1" applyFont="1" applyAlignment="1"/>
    <xf numFmtId="6" fontId="30" fillId="0" borderId="0" xfId="0" applyNumberFormat="1" applyFont="1" applyFill="1" applyAlignment="1">
      <alignment horizontal="center"/>
    </xf>
    <xf numFmtId="0" fontId="2" fillId="0" borderId="22" xfId="0" applyNumberFormat="1" applyFont="1" applyBorder="1" applyAlignment="1"/>
    <xf numFmtId="0" fontId="5" fillId="0" borderId="22" xfId="0" applyNumberFormat="1" applyFont="1" applyBorder="1" applyAlignment="1"/>
    <xf numFmtId="0" fontId="2" fillId="9" borderId="0" xfId="0" applyNumberFormat="1" applyFont="1" applyFill="1" applyBorder="1" applyAlignment="1"/>
    <xf numFmtId="0" fontId="5" fillId="9" borderId="0" xfId="0" applyNumberFormat="1" applyFont="1" applyFill="1" applyBorder="1" applyAlignment="1"/>
    <xf numFmtId="6" fontId="5" fillId="9" borderId="0" xfId="0" applyNumberFormat="1" applyFont="1" applyFill="1" applyBorder="1" applyAlignment="1"/>
    <xf numFmtId="0" fontId="20" fillId="9" borderId="0" xfId="0" applyNumberFormat="1" applyFont="1" applyFill="1" applyBorder="1" applyAlignment="1">
      <alignment horizontal="center"/>
    </xf>
    <xf numFmtId="0" fontId="5" fillId="9" borderId="0" xfId="0" applyNumberFormat="1" applyFont="1" applyFill="1" applyAlignment="1"/>
    <xf numFmtId="0" fontId="0" fillId="0" borderId="0" xfId="0" applyNumberFormat="1" applyAlignment="1"/>
    <xf numFmtId="0" fontId="24" fillId="0" borderId="0" xfId="0" applyFont="1" applyFill="1" applyAlignment="1">
      <alignment horizontal="center"/>
    </xf>
    <xf numFmtId="0" fontId="0" fillId="0" borderId="0" xfId="0" applyFill="1"/>
    <xf numFmtId="3" fontId="2" fillId="9" borderId="1" xfId="0" applyNumberFormat="1" applyFont="1" applyFill="1" applyBorder="1" applyAlignment="1">
      <alignment horizontal="left" vertical="center"/>
    </xf>
    <xf numFmtId="3" fontId="3"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5" fillId="2" borderId="4" xfId="0" applyNumberFormat="1" applyFont="1" applyFill="1" applyBorder="1" applyAlignment="1">
      <alignment vertical="center"/>
    </xf>
    <xf numFmtId="0" fontId="5" fillId="0" borderId="4" xfId="0" applyNumberFormat="1" applyFont="1" applyFill="1" applyBorder="1" applyAlignment="1">
      <alignment vertical="center"/>
    </xf>
    <xf numFmtId="9" fontId="2" fillId="2" borderId="5" xfId="2" applyFont="1" applyFill="1" applyBorder="1" applyAlignment="1">
      <alignment horizontal="center"/>
    </xf>
    <xf numFmtId="0" fontId="33" fillId="0" borderId="0" xfId="3" applyNumberFormat="1" applyFont="1" applyBorder="1" applyAlignment="1" applyProtection="1">
      <alignment vertical="center"/>
    </xf>
    <xf numFmtId="9" fontId="34" fillId="2" borderId="5" xfId="2" applyFont="1" applyFill="1" applyBorder="1" applyAlignment="1">
      <alignment horizontal="center"/>
    </xf>
    <xf numFmtId="0" fontId="3" fillId="0" borderId="0" xfId="0" applyNumberFormat="1" applyFont="1" applyFill="1" applyBorder="1" applyAlignment="1">
      <alignment horizontal="center"/>
    </xf>
    <xf numFmtId="9" fontId="5" fillId="2" borderId="5" xfId="2" applyFont="1" applyFill="1" applyBorder="1" applyAlignment="1">
      <alignment horizontal="center" vertical="center"/>
    </xf>
    <xf numFmtId="166" fontId="10" fillId="0" borderId="0" xfId="0" applyNumberFormat="1" applyFont="1" applyFill="1" applyBorder="1" applyAlignment="1">
      <alignment horizontal="center"/>
    </xf>
    <xf numFmtId="0" fontId="3" fillId="0" borderId="0" xfId="0" applyNumberFormat="1" applyFont="1" applyAlignment="1">
      <alignment horizontal="center"/>
    </xf>
    <xf numFmtId="0" fontId="3" fillId="0" borderId="9" xfId="0" applyNumberFormat="1" applyFont="1" applyFill="1" applyBorder="1" applyAlignment="1">
      <alignment horizontal="center"/>
    </xf>
    <xf numFmtId="0" fontId="20" fillId="0" borderId="0" xfId="0" applyNumberFormat="1" applyFont="1" applyAlignment="1">
      <alignment horizontal="center"/>
    </xf>
    <xf numFmtId="0" fontId="3" fillId="0" borderId="0" xfId="0" applyNumberFormat="1" applyFont="1" applyFill="1" applyAlignment="1">
      <alignment horizontal="center"/>
    </xf>
    <xf numFmtId="172" fontId="5" fillId="0" borderId="0" xfId="0" applyNumberFormat="1" applyFont="1" applyFill="1" applyAlignment="1">
      <alignment horizontal="center"/>
    </xf>
    <xf numFmtId="6" fontId="5" fillId="0" borderId="0" xfId="0" applyNumberFormat="1" applyFont="1" applyBorder="1" applyAlignment="1"/>
    <xf numFmtId="10" fontId="5" fillId="0" borderId="0" xfId="2" applyNumberFormat="1" applyFont="1" applyAlignment="1"/>
    <xf numFmtId="9" fontId="5" fillId="0" borderId="0" xfId="0" applyNumberFormat="1" applyFont="1" applyAlignment="1"/>
    <xf numFmtId="41" fontId="5" fillId="0" borderId="0" xfId="0" applyNumberFormat="1" applyFont="1" applyAlignment="1"/>
    <xf numFmtId="2" fontId="30" fillId="0" borderId="0" xfId="0" applyNumberFormat="1" applyFont="1" applyFill="1" applyAlignment="1">
      <alignment horizontal="center"/>
    </xf>
    <xf numFmtId="0" fontId="5" fillId="9" borderId="22" xfId="0" applyNumberFormat="1" applyFont="1" applyFill="1" applyBorder="1" applyAlignment="1"/>
    <xf numFmtId="2" fontId="3" fillId="0" borderId="0" xfId="0" applyNumberFormat="1" applyFont="1" applyBorder="1" applyAlignment="1"/>
    <xf numFmtId="0" fontId="3" fillId="0" borderId="0" xfId="0" applyNumberFormat="1" applyFont="1" applyBorder="1" applyAlignment="1">
      <alignment horizontal="center"/>
    </xf>
    <xf numFmtId="0" fontId="5" fillId="0" borderId="22" xfId="0" applyFont="1" applyFill="1" applyBorder="1"/>
    <xf numFmtId="8" fontId="3" fillId="0" borderId="0" xfId="0" applyNumberFormat="1" applyFont="1" applyFill="1" applyBorder="1" applyAlignment="1">
      <alignment horizontal="center"/>
    </xf>
    <xf numFmtId="0" fontId="37" fillId="4" borderId="1" xfId="0" applyFont="1" applyFill="1" applyBorder="1" applyAlignment="1">
      <alignment horizontal="left" vertical="center"/>
    </xf>
    <xf numFmtId="0" fontId="24" fillId="4" borderId="2" xfId="0" applyFont="1" applyFill="1" applyBorder="1" applyAlignment="1">
      <alignment horizontal="center"/>
    </xf>
    <xf numFmtId="0" fontId="38" fillId="6" borderId="1" xfId="0" applyFont="1" applyFill="1" applyBorder="1"/>
    <xf numFmtId="0" fontId="39" fillId="6" borderId="2" xfId="0" applyFont="1" applyFill="1" applyBorder="1"/>
    <xf numFmtId="0" fontId="40" fillId="6" borderId="2" xfId="0" applyFont="1" applyFill="1" applyBorder="1" applyAlignment="1">
      <alignment horizontal="center"/>
    </xf>
    <xf numFmtId="9" fontId="23" fillId="0" borderId="4" xfId="0" applyNumberFormat="1" applyFont="1" applyFill="1" applyBorder="1" applyAlignment="1">
      <alignment horizontal="center"/>
    </xf>
    <xf numFmtId="0" fontId="3" fillId="4" borderId="3" xfId="0" applyNumberFormat="1" applyFont="1" applyFill="1" applyBorder="1" applyAlignment="1">
      <alignment horizontal="center" vertical="center"/>
    </xf>
    <xf numFmtId="9" fontId="5" fillId="0" borderId="0" xfId="2" applyFont="1" applyFill="1" applyBorder="1" applyAlignment="1">
      <alignment horizontal="center" vertical="center"/>
    </xf>
    <xf numFmtId="0" fontId="20" fillId="4" borderId="1" xfId="0" applyFont="1" applyFill="1" applyBorder="1"/>
    <xf numFmtId="0" fontId="5" fillId="4" borderId="2" xfId="0" applyFont="1" applyFill="1" applyBorder="1"/>
    <xf numFmtId="0" fontId="5" fillId="4" borderId="3" xfId="0" applyFont="1" applyFill="1" applyBorder="1"/>
    <xf numFmtId="0" fontId="39" fillId="6" borderId="3" xfId="0" applyFont="1" applyFill="1" applyBorder="1"/>
    <xf numFmtId="0" fontId="5" fillId="2" borderId="5" xfId="0" applyNumberFormat="1" applyFont="1" applyFill="1" applyBorder="1" applyAlignment="1">
      <alignment vertical="center"/>
    </xf>
    <xf numFmtId="169" fontId="5" fillId="0" borderId="5" xfId="1" applyNumberFormat="1" applyFont="1" applyBorder="1" applyAlignment="1">
      <alignment horizontal="center" vertical="center"/>
    </xf>
    <xf numFmtId="0" fontId="0" fillId="0" borderId="4" xfId="0" applyFill="1" applyBorder="1"/>
    <xf numFmtId="0" fontId="3" fillId="9" borderId="29" xfId="0" applyNumberFormat="1" applyFont="1" applyFill="1" applyBorder="1" applyAlignment="1">
      <alignment horizontal="center" vertical="center"/>
    </xf>
    <xf numFmtId="0" fontId="3" fillId="9" borderId="29" xfId="0" applyNumberFormat="1" applyFont="1" applyFill="1" applyBorder="1" applyAlignment="1">
      <alignment horizontal="center" vertical="center" wrapText="1"/>
    </xf>
    <xf numFmtId="0" fontId="32" fillId="2" borderId="0" xfId="0" applyNumberFormat="1" applyFont="1" applyFill="1" applyBorder="1" applyAlignment="1">
      <alignment vertical="center"/>
    </xf>
    <xf numFmtId="9" fontId="6" fillId="2" borderId="0" xfId="2" applyFont="1" applyFill="1" applyBorder="1" applyAlignment="1">
      <alignment horizontal="center" vertical="center"/>
    </xf>
    <xf numFmtId="9" fontId="23" fillId="0" borderId="0" xfId="0" applyNumberFormat="1" applyFont="1" applyFill="1" applyBorder="1" applyAlignment="1">
      <alignment horizontal="center"/>
    </xf>
    <xf numFmtId="0" fontId="5" fillId="0" borderId="0" xfId="0" applyNumberFormat="1" applyFont="1" applyFill="1" applyBorder="1" applyAlignment="1">
      <alignment vertical="center"/>
    </xf>
    <xf numFmtId="169" fontId="5" fillId="0" borderId="0" xfId="1" applyNumberFormat="1" applyFont="1" applyFill="1" applyBorder="1" applyAlignment="1">
      <alignment horizontal="center" vertical="center"/>
    </xf>
    <xf numFmtId="0" fontId="32" fillId="0" borderId="0" xfId="0" applyNumberFormat="1" applyFont="1" applyFill="1" applyBorder="1" applyAlignment="1">
      <alignment vertical="center"/>
    </xf>
    <xf numFmtId="169" fontId="6" fillId="0" borderId="0" xfId="1" applyNumberFormat="1" applyFont="1" applyFill="1" applyBorder="1" applyAlignment="1">
      <alignment horizontal="center" vertical="center"/>
    </xf>
    <xf numFmtId="9" fontId="6" fillId="0" borderId="0" xfId="2" applyFont="1" applyFill="1" applyBorder="1" applyAlignment="1">
      <alignment horizontal="center" vertical="center"/>
    </xf>
    <xf numFmtId="0" fontId="2" fillId="9" borderId="30" xfId="0" applyNumberFormat="1" applyFont="1" applyFill="1" applyBorder="1" applyAlignment="1">
      <alignment vertical="center"/>
    </xf>
    <xf numFmtId="169" fontId="5"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5" fillId="0" borderId="5" xfId="0" applyNumberFormat="1" applyFont="1" applyFill="1" applyBorder="1" applyAlignment="1">
      <alignment vertical="center"/>
    </xf>
    <xf numFmtId="0" fontId="5" fillId="0" borderId="28" xfId="0" applyNumberFormat="1" applyFont="1" applyFill="1" applyBorder="1" applyAlignment="1">
      <alignment vertical="center"/>
    </xf>
    <xf numFmtId="6" fontId="5" fillId="0" borderId="28" xfId="0" applyNumberFormat="1" applyFont="1" applyFill="1" applyBorder="1" applyAlignment="1">
      <alignment vertical="center"/>
    </xf>
    <xf numFmtId="169" fontId="5" fillId="0" borderId="5" xfId="0" applyNumberFormat="1" applyFont="1" applyFill="1" applyBorder="1" applyAlignment="1">
      <alignment vertical="center"/>
    </xf>
    <xf numFmtId="169" fontId="2" fillId="0" borderId="5" xfId="0" applyNumberFormat="1" applyFont="1" applyFill="1" applyBorder="1" applyAlignment="1">
      <alignment vertical="center"/>
    </xf>
    <xf numFmtId="169" fontId="5" fillId="0" borderId="4" xfId="2" applyNumberFormat="1" applyFont="1" applyFill="1" applyBorder="1" applyAlignment="1">
      <alignment vertical="center"/>
    </xf>
    <xf numFmtId="9" fontId="34" fillId="0" borderId="0" xfId="2" applyFont="1" applyFill="1" applyBorder="1" applyAlignment="1">
      <alignment horizontal="center"/>
    </xf>
    <xf numFmtId="165" fontId="6" fillId="0" borderId="0" xfId="1" applyNumberFormat="1" applyFont="1" applyBorder="1" applyAlignment="1">
      <alignment horizontal="center" vertical="center"/>
    </xf>
    <xf numFmtId="169" fontId="5" fillId="0" borderId="4" xfId="1" applyNumberFormat="1" applyFont="1" applyBorder="1" applyAlignment="1">
      <alignment horizontal="center" vertical="center"/>
    </xf>
    <xf numFmtId="0" fontId="5" fillId="2" borderId="28" xfId="0" applyNumberFormat="1" applyFont="1" applyFill="1" applyBorder="1" applyAlignment="1">
      <alignment vertical="center"/>
    </xf>
    <xf numFmtId="169" fontId="5" fillId="0" borderId="28" xfId="1" applyNumberFormat="1" applyFont="1" applyBorder="1" applyAlignment="1">
      <alignment horizontal="center" vertical="center"/>
    </xf>
    <xf numFmtId="169" fontId="5" fillId="0" borderId="28" xfId="2" applyNumberFormat="1" applyFont="1" applyFill="1" applyBorder="1" applyAlignment="1">
      <alignment vertical="center"/>
    </xf>
    <xf numFmtId="0" fontId="3"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xf>
    <xf numFmtId="169" fontId="5" fillId="0" borderId="28" xfId="0" applyNumberFormat="1" applyFont="1" applyFill="1" applyBorder="1" applyAlignment="1">
      <alignment vertical="center"/>
    </xf>
    <xf numFmtId="0" fontId="5" fillId="0" borderId="4" xfId="0" applyNumberFormat="1" applyFont="1" applyFill="1" applyBorder="1" applyAlignment="1">
      <alignment horizontal="right" vertical="center"/>
    </xf>
    <xf numFmtId="0" fontId="5" fillId="0" borderId="28" xfId="0" applyNumberFormat="1" applyFont="1" applyFill="1" applyBorder="1" applyAlignment="1">
      <alignment horizontal="right" vertical="center"/>
    </xf>
    <xf numFmtId="169" fontId="5" fillId="0" borderId="5" xfId="2" applyNumberFormat="1" applyFont="1" applyFill="1" applyBorder="1" applyAlignment="1">
      <alignment vertical="center"/>
    </xf>
    <xf numFmtId="0" fontId="5" fillId="0" borderId="5" xfId="0" applyNumberFormat="1" applyFont="1" applyFill="1" applyBorder="1" applyAlignment="1">
      <alignment horizontal="right" vertical="center"/>
    </xf>
    <xf numFmtId="0" fontId="3" fillId="9" borderId="31" xfId="0" applyNumberFormat="1" applyFont="1" applyFill="1" applyBorder="1" applyAlignment="1">
      <alignment horizontal="center" vertical="center" wrapText="1"/>
    </xf>
    <xf numFmtId="0" fontId="41" fillId="2" borderId="5" xfId="0" applyNumberFormat="1" applyFont="1" applyFill="1" applyBorder="1" applyAlignment="1">
      <alignment vertical="center"/>
    </xf>
    <xf numFmtId="9" fontId="23" fillId="2" borderId="5" xfId="2" applyFont="1" applyFill="1" applyBorder="1" applyAlignment="1">
      <alignment horizontal="center" vertical="center"/>
    </xf>
    <xf numFmtId="0" fontId="41" fillId="2" borderId="4" xfId="0" applyNumberFormat="1" applyFont="1" applyFill="1" applyBorder="1" applyAlignment="1">
      <alignment vertical="center"/>
    </xf>
    <xf numFmtId="169" fontId="23" fillId="0" borderId="4" xfId="1" applyNumberFormat="1" applyFont="1" applyBorder="1" applyAlignment="1">
      <alignment horizontal="center" vertical="center"/>
    </xf>
    <xf numFmtId="0" fontId="41" fillId="2" borderId="28" xfId="0" applyNumberFormat="1" applyFont="1" applyFill="1" applyBorder="1" applyAlignment="1">
      <alignment vertical="center"/>
    </xf>
    <xf numFmtId="169" fontId="23" fillId="0" borderId="28" xfId="1" applyNumberFormat="1" applyFont="1" applyBorder="1" applyAlignment="1">
      <alignment horizontal="center" vertical="center"/>
    </xf>
    <xf numFmtId="9" fontId="23" fillId="2" borderId="28" xfId="2" applyFont="1" applyFill="1" applyBorder="1" applyAlignment="1">
      <alignment horizontal="center" vertical="center"/>
    </xf>
    <xf numFmtId="0" fontId="42" fillId="0" borderId="0" xfId="0" applyFont="1" applyFill="1" applyBorder="1" applyAlignment="1">
      <alignment horizontal="left"/>
    </xf>
    <xf numFmtId="0" fontId="42" fillId="0" borderId="0" xfId="0" applyFont="1" applyFill="1" applyBorder="1"/>
    <xf numFmtId="169" fontId="5" fillId="0" borderId="9" xfId="0" applyNumberFormat="1" applyFont="1" applyFill="1" applyBorder="1" applyAlignment="1"/>
    <xf numFmtId="0" fontId="45" fillId="0" borderId="0" xfId="0" applyFont="1" applyBorder="1"/>
    <xf numFmtId="0" fontId="46" fillId="0" borderId="0" xfId="0" applyFont="1" applyBorder="1"/>
    <xf numFmtId="0" fontId="44" fillId="0" borderId="0" xfId="0" applyFont="1" applyBorder="1" applyAlignment="1">
      <alignment vertical="center"/>
    </xf>
    <xf numFmtId="0" fontId="28" fillId="0" borderId="0" xfId="0" applyFont="1" applyBorder="1" applyAlignment="1">
      <alignment vertical="center"/>
    </xf>
    <xf numFmtId="0" fontId="44" fillId="0" borderId="0" xfId="0" applyFont="1" applyBorder="1" applyAlignment="1">
      <alignment vertical="center" wrapText="1"/>
    </xf>
    <xf numFmtId="0" fontId="44" fillId="0" borderId="0" xfId="0" applyFont="1" applyBorder="1" applyAlignment="1"/>
    <xf numFmtId="0" fontId="44" fillId="0" borderId="0" xfId="0" applyFont="1" applyBorder="1" applyAlignment="1">
      <alignment wrapText="1"/>
    </xf>
    <xf numFmtId="0" fontId="44" fillId="0" borderId="0" xfId="0" applyFont="1" applyBorder="1"/>
    <xf numFmtId="0" fontId="44" fillId="0" borderId="0" xfId="0" applyFont="1" applyFill="1" applyBorder="1" applyAlignment="1">
      <alignment wrapText="1"/>
    </xf>
    <xf numFmtId="0" fontId="44" fillId="0" borderId="0" xfId="0" applyFont="1" applyFill="1" applyBorder="1" applyAlignment="1"/>
    <xf numFmtId="0" fontId="28" fillId="0" borderId="0" xfId="0" applyFont="1" applyBorder="1" applyAlignment="1">
      <alignment wrapText="1"/>
    </xf>
    <xf numFmtId="0" fontId="48" fillId="0" borderId="0" xfId="0" applyFont="1"/>
    <xf numFmtId="0" fontId="48" fillId="0" borderId="0" xfId="0" applyFont="1" applyAlignment="1">
      <alignment horizontal="center"/>
    </xf>
    <xf numFmtId="0" fontId="48" fillId="0" borderId="0" xfId="0" applyFont="1" applyAlignment="1">
      <alignment horizontal="center" vertical="center"/>
    </xf>
    <xf numFmtId="0" fontId="50" fillId="5" borderId="19" xfId="0" applyFont="1" applyFill="1" applyBorder="1" applyAlignment="1">
      <alignment horizontal="center" wrapText="1"/>
    </xf>
    <xf numFmtId="0" fontId="50" fillId="5" borderId="11" xfId="0" applyFont="1" applyFill="1" applyBorder="1" applyAlignment="1">
      <alignment horizontal="center" wrapText="1"/>
    </xf>
    <xf numFmtId="0" fontId="50" fillId="5" borderId="20" xfId="0" applyFont="1" applyFill="1" applyBorder="1" applyAlignment="1">
      <alignment horizontal="center" wrapText="1"/>
    </xf>
    <xf numFmtId="0" fontId="50" fillId="5" borderId="17" xfId="0" applyFont="1" applyFill="1" applyBorder="1" applyAlignment="1">
      <alignment horizontal="center"/>
    </xf>
    <xf numFmtId="0" fontId="50" fillId="5" borderId="0" xfId="0" applyFont="1" applyFill="1" applyBorder="1" applyAlignment="1">
      <alignment horizontal="center"/>
    </xf>
    <xf numFmtId="0" fontId="50" fillId="5" borderId="9" xfId="0" applyFont="1" applyFill="1" applyBorder="1" applyAlignment="1">
      <alignment horizontal="center"/>
    </xf>
    <xf numFmtId="0" fontId="50" fillId="5" borderId="18" xfId="0" applyFont="1" applyFill="1" applyBorder="1" applyAlignment="1">
      <alignment horizontal="center"/>
    </xf>
    <xf numFmtId="0" fontId="48" fillId="0" borderId="19" xfId="0" applyFont="1" applyBorder="1" applyAlignment="1">
      <alignment horizontal="center"/>
    </xf>
    <xf numFmtId="0" fontId="48" fillId="0" borderId="11" xfId="0" applyFont="1" applyBorder="1" applyAlignment="1">
      <alignment horizontal="center"/>
    </xf>
    <xf numFmtId="0" fontId="48" fillId="0" borderId="11" xfId="0" applyFont="1" applyBorder="1"/>
    <xf numFmtId="6" fontId="48" fillId="0" borderId="0" xfId="0" applyNumberFormat="1" applyFont="1" applyBorder="1" applyAlignment="1">
      <alignment horizontal="center" wrapText="1"/>
    </xf>
    <xf numFmtId="0" fontId="48" fillId="0" borderId="0" xfId="0" applyFont="1" applyFill="1" applyBorder="1"/>
    <xf numFmtId="0" fontId="48" fillId="0" borderId="17" xfId="0" applyFont="1" applyBorder="1" applyAlignment="1">
      <alignment horizontal="center"/>
    </xf>
    <xf numFmtId="2" fontId="48" fillId="0" borderId="0" xfId="0" applyNumberFormat="1" applyFont="1" applyBorder="1" applyAlignment="1">
      <alignment horizontal="center" wrapText="1"/>
    </xf>
    <xf numFmtId="10" fontId="48" fillId="0" borderId="0" xfId="2" applyNumberFormat="1" applyFont="1" applyBorder="1" applyAlignment="1">
      <alignment horizontal="center" wrapText="1"/>
    </xf>
    <xf numFmtId="2" fontId="48" fillId="0" borderId="18" xfId="2" applyNumberFormat="1" applyFont="1" applyBorder="1" applyAlignment="1">
      <alignment horizontal="center" wrapText="1"/>
    </xf>
    <xf numFmtId="0" fontId="48" fillId="0" borderId="0" xfId="0" applyFont="1" applyFill="1" applyBorder="1" applyAlignment="1">
      <alignment wrapText="1"/>
    </xf>
    <xf numFmtId="0" fontId="48" fillId="0" borderId="0" xfId="0" applyFont="1" applyAlignment="1">
      <alignment wrapText="1"/>
    </xf>
    <xf numFmtId="0" fontId="48" fillId="0" borderId="17" xfId="0" applyFont="1" applyBorder="1" applyAlignment="1">
      <alignment horizontal="center" wrapText="1"/>
    </xf>
    <xf numFmtId="0" fontId="48" fillId="0" borderId="15" xfId="0" applyFont="1" applyBorder="1"/>
    <xf numFmtId="0" fontId="48" fillId="0" borderId="9" xfId="0" applyFont="1" applyBorder="1"/>
    <xf numFmtId="0" fontId="50" fillId="4" borderId="1" xfId="0" applyFont="1" applyFill="1" applyBorder="1" applyAlignment="1">
      <alignment horizontal="left" vertical="center"/>
    </xf>
    <xf numFmtId="0" fontId="48" fillId="4" borderId="2" xfId="0" applyFont="1" applyFill="1" applyBorder="1" applyAlignment="1">
      <alignment horizontal="left" vertical="center"/>
    </xf>
    <xf numFmtId="0" fontId="51" fillId="4" borderId="2" xfId="0" applyFont="1" applyFill="1" applyBorder="1" applyAlignment="1">
      <alignment horizontal="left" vertical="center"/>
    </xf>
    <xf numFmtId="167" fontId="51" fillId="4" borderId="2" xfId="0" applyNumberFormat="1" applyFont="1" applyFill="1" applyBorder="1" applyAlignment="1">
      <alignment horizontal="left" vertical="center"/>
    </xf>
    <xf numFmtId="0" fontId="51" fillId="4" borderId="3" xfId="0" applyFont="1" applyFill="1" applyBorder="1" applyAlignment="1">
      <alignment horizontal="left" vertical="center"/>
    </xf>
    <xf numFmtId="0" fontId="51" fillId="0" borderId="0" xfId="0" applyFont="1" applyFill="1" applyBorder="1" applyAlignment="1">
      <alignment horizontal="center"/>
    </xf>
    <xf numFmtId="169" fontId="51" fillId="0" borderId="0" xfId="0" applyNumberFormat="1" applyFont="1" applyFill="1" applyBorder="1" applyAlignment="1">
      <alignment horizontal="center"/>
    </xf>
    <xf numFmtId="0" fontId="51" fillId="0" borderId="0" xfId="0" applyFont="1" applyFill="1" applyBorder="1"/>
    <xf numFmtId="0" fontId="52" fillId="0" borderId="11" xfId="0" applyFont="1" applyFill="1" applyBorder="1"/>
    <xf numFmtId="0" fontId="52" fillId="0" borderId="20" xfId="0" applyFont="1" applyFill="1" applyBorder="1"/>
    <xf numFmtId="6" fontId="53" fillId="0" borderId="9" xfId="0" applyNumberFormat="1" applyFont="1" applyFill="1" applyBorder="1" applyAlignment="1">
      <alignment horizontal="center" wrapText="1"/>
    </xf>
    <xf numFmtId="6" fontId="53" fillId="0" borderId="16" xfId="0" applyNumberFormat="1" applyFont="1" applyFill="1" applyBorder="1" applyAlignment="1">
      <alignment horizontal="center" wrapText="1"/>
    </xf>
    <xf numFmtId="6" fontId="53" fillId="0" borderId="0" xfId="0" applyNumberFormat="1" applyFont="1" applyFill="1" applyBorder="1" applyAlignment="1">
      <alignment horizontal="center" wrapText="1"/>
    </xf>
    <xf numFmtId="0" fontId="49" fillId="8" borderId="12" xfId="0" applyFont="1" applyFill="1" applyBorder="1" applyAlignment="1">
      <alignment vertical="center"/>
    </xf>
    <xf numFmtId="0" fontId="49" fillId="8" borderId="13" xfId="0" applyFont="1" applyFill="1" applyBorder="1" applyAlignment="1">
      <alignment vertical="center"/>
    </xf>
    <xf numFmtId="0" fontId="49" fillId="8" borderId="14" xfId="0" applyFont="1" applyFill="1" applyBorder="1" applyAlignment="1">
      <alignment vertical="center"/>
    </xf>
    <xf numFmtId="0" fontId="50" fillId="0" borderId="17" xfId="0" applyFont="1" applyBorder="1"/>
    <xf numFmtId="0" fontId="54" fillId="0" borderId="0" xfId="0" applyFont="1" applyBorder="1" applyAlignment="1">
      <alignment horizontal="center"/>
    </xf>
    <xf numFmtId="0" fontId="50" fillId="0" borderId="15" xfId="0" applyFont="1" applyBorder="1"/>
    <xf numFmtId="0" fontId="54" fillId="0" borderId="9" xfId="0" applyFont="1" applyBorder="1" applyAlignment="1">
      <alignment horizontal="center"/>
    </xf>
    <xf numFmtId="0" fontId="54" fillId="0" borderId="0" xfId="0" applyFont="1" applyAlignment="1">
      <alignment horizontal="center" wrapText="1"/>
    </xf>
    <xf numFmtId="0" fontId="48" fillId="0" borderId="0" xfId="0" applyFont="1" applyBorder="1" applyAlignment="1">
      <alignment wrapText="1"/>
    </xf>
    <xf numFmtId="0" fontId="43" fillId="5" borderId="12" xfId="0" applyFont="1" applyFill="1" applyBorder="1"/>
    <xf numFmtId="0" fontId="48" fillId="0" borderId="0" xfId="0" applyFont="1" applyFill="1" applyBorder="1" applyAlignment="1">
      <alignment horizontal="center"/>
    </xf>
    <xf numFmtId="167" fontId="48" fillId="0" borderId="0" xfId="0" applyNumberFormat="1" applyFont="1" applyFill="1" applyBorder="1" applyAlignment="1">
      <alignment horizontal="center"/>
    </xf>
    <xf numFmtId="164" fontId="48" fillId="0" borderId="21" xfId="2" applyNumberFormat="1" applyFont="1" applyBorder="1" applyAlignment="1">
      <alignment horizontal="center"/>
    </xf>
    <xf numFmtId="164" fontId="48" fillId="0" borderId="0" xfId="2" applyNumberFormat="1" applyFont="1" applyFill="1" applyBorder="1" applyAlignment="1">
      <alignment horizontal="center"/>
    </xf>
    <xf numFmtId="0" fontId="48" fillId="0" borderId="21" xfId="0" applyFont="1" applyBorder="1" applyAlignment="1">
      <alignment horizontal="center"/>
    </xf>
    <xf numFmtId="169" fontId="48" fillId="0" borderId="21" xfId="0" applyNumberFormat="1" applyFont="1" applyBorder="1" applyAlignment="1">
      <alignment horizontal="center"/>
    </xf>
    <xf numFmtId="169" fontId="48" fillId="0" borderId="0" xfId="0" applyNumberFormat="1" applyFont="1" applyFill="1" applyBorder="1" applyAlignment="1">
      <alignment horizontal="center"/>
    </xf>
    <xf numFmtId="0" fontId="54" fillId="0" borderId="0" xfId="0" applyFont="1" applyBorder="1" applyAlignment="1">
      <alignment horizontal="center" wrapText="1"/>
    </xf>
    <xf numFmtId="171" fontId="48" fillId="0" borderId="0" xfId="0" applyNumberFormat="1" applyFont="1" applyFill="1" applyBorder="1" applyAlignment="1">
      <alignment horizontal="center"/>
    </xf>
    <xf numFmtId="9" fontId="48" fillId="0" borderId="21" xfId="0" applyNumberFormat="1" applyFont="1" applyBorder="1" applyAlignment="1">
      <alignment horizontal="center"/>
    </xf>
    <xf numFmtId="9" fontId="48" fillId="0" borderId="0" xfId="0" applyNumberFormat="1" applyFont="1" applyFill="1" applyBorder="1" applyAlignment="1">
      <alignment horizontal="center"/>
    </xf>
    <xf numFmtId="9" fontId="48" fillId="0" borderId="0" xfId="0" applyNumberFormat="1" applyFont="1" applyBorder="1" applyAlignment="1">
      <alignment horizontal="center"/>
    </xf>
    <xf numFmtId="0" fontId="48" fillId="0" borderId="5" xfId="0" applyFont="1" applyBorder="1" applyAlignment="1">
      <alignment horizontal="center"/>
    </xf>
    <xf numFmtId="0" fontId="48" fillId="0" borderId="0" xfId="0" applyFont="1" applyBorder="1"/>
    <xf numFmtId="0" fontId="29" fillId="5" borderId="23" xfId="0" applyFont="1" applyFill="1" applyBorder="1" applyAlignment="1">
      <alignment vertical="center"/>
    </xf>
    <xf numFmtId="0" fontId="29" fillId="5" borderId="10" xfId="0" applyFont="1" applyFill="1" applyBorder="1" applyAlignment="1">
      <alignment vertical="center"/>
    </xf>
    <xf numFmtId="0" fontId="44" fillId="5" borderId="24" xfId="0" applyFont="1" applyFill="1" applyBorder="1" applyAlignment="1">
      <alignment vertical="center"/>
    </xf>
    <xf numFmtId="0" fontId="28" fillId="8" borderId="8" xfId="0" applyFont="1" applyFill="1" applyBorder="1" applyAlignment="1">
      <alignment vertical="center"/>
    </xf>
    <xf numFmtId="0" fontId="44" fillId="8" borderId="25" xfId="0" applyFont="1" applyFill="1" applyBorder="1" applyAlignment="1">
      <alignment vertical="center"/>
    </xf>
    <xf numFmtId="0" fontId="28" fillId="8" borderId="0" xfId="0" applyFont="1" applyFill="1" applyBorder="1" applyAlignment="1">
      <alignment vertical="center"/>
    </xf>
    <xf numFmtId="0" fontId="28" fillId="8" borderId="25" xfId="0" applyFont="1" applyFill="1" applyBorder="1" applyAlignment="1">
      <alignment vertical="center"/>
    </xf>
    <xf numFmtId="0" fontId="28" fillId="8" borderId="8" xfId="0" applyFont="1" applyFill="1" applyBorder="1" applyAlignment="1">
      <alignment horizontal="left" vertical="top" wrapText="1"/>
    </xf>
    <xf numFmtId="0" fontId="44" fillId="8" borderId="0" xfId="0" applyFont="1" applyFill="1" applyBorder="1" applyAlignment="1">
      <alignment vertical="center" wrapText="1"/>
    </xf>
    <xf numFmtId="0" fontId="44" fillId="8" borderId="25" xfId="0" applyFont="1" applyFill="1" applyBorder="1" applyAlignment="1">
      <alignment vertical="center" wrapText="1"/>
    </xf>
    <xf numFmtId="0" fontId="44" fillId="8" borderId="8" xfId="0" applyFont="1" applyFill="1" applyBorder="1" applyAlignment="1"/>
    <xf numFmtId="0" fontId="44" fillId="8" borderId="0" xfId="0" applyFont="1" applyFill="1" applyBorder="1" applyAlignment="1"/>
    <xf numFmtId="0" fontId="44" fillId="8" borderId="25" xfId="0" applyFont="1" applyFill="1" applyBorder="1" applyAlignment="1"/>
    <xf numFmtId="0" fontId="28" fillId="8" borderId="8" xfId="0" applyFont="1" applyFill="1" applyBorder="1" applyAlignment="1">
      <alignment vertical="top" wrapText="1"/>
    </xf>
    <xf numFmtId="0" fontId="44" fillId="8" borderId="0" xfId="0" applyFont="1" applyFill="1" applyBorder="1" applyAlignment="1">
      <alignment wrapText="1"/>
    </xf>
    <xf numFmtId="0" fontId="44" fillId="8" borderId="25" xfId="0" applyFont="1" applyFill="1" applyBorder="1" applyAlignment="1">
      <alignment wrapText="1"/>
    </xf>
    <xf numFmtId="0" fontId="45" fillId="8" borderId="0" xfId="0" applyFont="1" applyFill="1" applyBorder="1" applyAlignment="1">
      <alignment vertical="center"/>
    </xf>
    <xf numFmtId="0" fontId="28" fillId="8" borderId="25" xfId="0" applyFont="1" applyFill="1" applyBorder="1" applyAlignment="1">
      <alignment wrapText="1"/>
    </xf>
    <xf numFmtId="0" fontId="44" fillId="8" borderId="26" xfId="0" applyFont="1" applyFill="1" applyBorder="1" applyAlignment="1"/>
    <xf numFmtId="0" fontId="44" fillId="8" borderId="22" xfId="0" applyFont="1" applyFill="1" applyBorder="1" applyAlignment="1"/>
    <xf numFmtId="0" fontId="44" fillId="8" borderId="27" xfId="0" applyFont="1" applyFill="1" applyBorder="1" applyAlignment="1"/>
    <xf numFmtId="2" fontId="48" fillId="0" borderId="0" xfId="0" applyNumberFormat="1" applyFont="1" applyBorder="1"/>
    <xf numFmtId="9" fontId="56" fillId="0" borderId="0" xfId="0" applyNumberFormat="1" applyFont="1" applyBorder="1" applyAlignment="1">
      <alignment horizontal="center"/>
    </xf>
    <xf numFmtId="0" fontId="56" fillId="0" borderId="0" xfId="0" applyFont="1" applyBorder="1" applyAlignment="1">
      <alignment horizontal="center"/>
    </xf>
    <xf numFmtId="0" fontId="49" fillId="0" borderId="0" xfId="0" applyFont="1" applyFill="1" applyBorder="1" applyAlignment="1">
      <alignment vertical="center"/>
    </xf>
    <xf numFmtId="0" fontId="48" fillId="0" borderId="0" xfId="0" applyFont="1" applyFill="1"/>
    <xf numFmtId="9" fontId="49" fillId="0" borderId="0" xfId="0" applyNumberFormat="1" applyFont="1" applyFill="1" applyBorder="1" applyAlignment="1">
      <alignment vertical="center"/>
    </xf>
    <xf numFmtId="0" fontId="48" fillId="0" borderId="0" xfId="0" applyFont="1" applyBorder="1" applyAlignment="1"/>
    <xf numFmtId="0" fontId="5" fillId="0" borderId="0" xfId="0" applyFont="1" applyFill="1" applyBorder="1" applyAlignment="1">
      <alignment horizontal="right"/>
    </xf>
    <xf numFmtId="0" fontId="35" fillId="0" borderId="0" xfId="0" applyNumberFormat="1" applyFont="1" applyAlignment="1">
      <alignment horizontal="center"/>
    </xf>
    <xf numFmtId="0" fontId="5" fillId="0" borderId="0" xfId="0" applyNumberFormat="1" applyFont="1" applyFill="1" applyBorder="1" applyAlignment="1">
      <alignment horizontal="left" vertical="center"/>
    </xf>
    <xf numFmtId="9" fontId="27" fillId="0" borderId="0" xfId="0" applyNumberFormat="1" applyFont="1" applyAlignment="1">
      <alignment horizontal="center"/>
    </xf>
    <xf numFmtId="0" fontId="48" fillId="0" borderId="17" xfId="0" applyFont="1" applyFill="1" applyBorder="1"/>
    <xf numFmtId="0" fontId="3" fillId="0" borderId="4" xfId="0" applyNumberFormat="1" applyFont="1" applyBorder="1" applyAlignment="1">
      <alignment horizontal="center"/>
    </xf>
    <xf numFmtId="0" fontId="2" fillId="8" borderId="0" xfId="0" applyNumberFormat="1" applyFont="1" applyFill="1" applyAlignment="1"/>
    <xf numFmtId="0" fontId="5" fillId="8" borderId="0" xfId="0" applyNumberFormat="1" applyFont="1" applyFill="1" applyAlignment="1"/>
    <xf numFmtId="0" fontId="5" fillId="8" borderId="0" xfId="0" applyNumberFormat="1" applyFont="1" applyFill="1" applyAlignment="1">
      <alignment horizontal="center"/>
    </xf>
    <xf numFmtId="0" fontId="36" fillId="8" borderId="0" xfId="0" applyNumberFormat="1" applyFont="1" applyFill="1" applyAlignment="1"/>
    <xf numFmtId="0" fontId="21" fillId="8" borderId="0" xfId="0" applyNumberFormat="1" applyFont="1" applyFill="1" applyAlignment="1">
      <alignment horizontal="center"/>
    </xf>
    <xf numFmtId="169" fontId="5" fillId="8" borderId="0" xfId="0" applyNumberFormat="1" applyFont="1" applyFill="1" applyAlignment="1">
      <alignment horizontal="center"/>
    </xf>
    <xf numFmtId="0" fontId="6" fillId="8" borderId="0" xfId="0" applyNumberFormat="1" applyFont="1" applyFill="1" applyAlignment="1"/>
    <xf numFmtId="10" fontId="11" fillId="8" borderId="0" xfId="2" applyNumberFormat="1" applyFont="1" applyFill="1"/>
    <xf numFmtId="10" fontId="5" fillId="8" borderId="0" xfId="2" applyNumberFormat="1" applyFont="1" applyFill="1"/>
    <xf numFmtId="169" fontId="35" fillId="8" borderId="0" xfId="0" applyNumberFormat="1" applyFont="1" applyFill="1" applyAlignment="1">
      <alignment horizontal="center"/>
    </xf>
    <xf numFmtId="169" fontId="5" fillId="8" borderId="0" xfId="0" applyNumberFormat="1" applyFont="1" applyFill="1" applyAlignment="1"/>
    <xf numFmtId="169" fontId="5" fillId="8" borderId="0" xfId="0" applyNumberFormat="1" applyFont="1" applyFill="1" applyBorder="1" applyAlignment="1"/>
    <xf numFmtId="169" fontId="5" fillId="8" borderId="0" xfId="2" applyNumberFormat="1" applyFont="1" applyFill="1"/>
    <xf numFmtId="169" fontId="5" fillId="8" borderId="0" xfId="2" applyNumberFormat="1" applyFont="1" applyFill="1" applyBorder="1"/>
    <xf numFmtId="0" fontId="5" fillId="8" borderId="9" xfId="0" applyNumberFormat="1" applyFont="1" applyFill="1" applyBorder="1" applyAlignment="1"/>
    <xf numFmtId="169" fontId="5" fillId="8" borderId="9" xfId="0" applyNumberFormat="1" applyFont="1" applyFill="1" applyBorder="1" applyAlignment="1"/>
    <xf numFmtId="0" fontId="5" fillId="8" borderId="0" xfId="0" applyNumberFormat="1" applyFont="1" applyFill="1" applyBorder="1" applyAlignment="1"/>
    <xf numFmtId="169" fontId="3" fillId="8" borderId="0" xfId="0" applyNumberFormat="1" applyFont="1" applyFill="1" applyBorder="1" applyAlignment="1">
      <alignment horizontal="center" vertical="center"/>
    </xf>
    <xf numFmtId="1" fontId="5" fillId="8" borderId="0" xfId="2" applyNumberFormat="1" applyFont="1" applyFill="1" applyBorder="1"/>
    <xf numFmtId="169" fontId="5" fillId="8" borderId="0" xfId="0" applyNumberFormat="1" applyFont="1" applyFill="1" applyBorder="1" applyAlignment="1">
      <alignment horizontal="right"/>
    </xf>
    <xf numFmtId="0" fontId="5" fillId="8" borderId="0" xfId="0" applyNumberFormat="1" applyFont="1" applyFill="1" applyAlignment="1">
      <alignment horizontal="left" indent="1"/>
    </xf>
    <xf numFmtId="6" fontId="5" fillId="8" borderId="0" xfId="0" applyNumberFormat="1" applyFont="1" applyFill="1" applyBorder="1" applyAlignment="1">
      <alignment horizontal="right"/>
    </xf>
    <xf numFmtId="0" fontId="3" fillId="8" borderId="22" xfId="0" applyNumberFormat="1" applyFont="1" applyFill="1" applyBorder="1" applyAlignment="1">
      <alignment horizontal="right"/>
    </xf>
    <xf numFmtId="0" fontId="5" fillId="8" borderId="22" xfId="0" applyNumberFormat="1" applyFont="1" applyFill="1" applyBorder="1" applyAlignment="1"/>
    <xf numFmtId="0" fontId="2" fillId="8" borderId="22" xfId="0" applyNumberFormat="1" applyFont="1" applyFill="1" applyBorder="1" applyAlignment="1">
      <alignment horizontal="center"/>
    </xf>
    <xf numFmtId="10" fontId="5" fillId="8" borderId="22" xfId="2" applyNumberFormat="1" applyFont="1" applyFill="1" applyBorder="1" applyAlignment="1">
      <alignment horizontal="right"/>
    </xf>
    <xf numFmtId="0" fontId="2" fillId="8" borderId="0" xfId="0" applyNumberFormat="1" applyFont="1" applyFill="1" applyBorder="1" applyAlignment="1">
      <alignment horizontal="center"/>
    </xf>
    <xf numFmtId="10" fontId="5" fillId="8" borderId="0" xfId="2" applyNumberFormat="1" applyFont="1" applyFill="1" applyBorder="1" applyAlignment="1">
      <alignment horizontal="right"/>
    </xf>
    <xf numFmtId="175" fontId="2" fillId="8" borderId="0" xfId="0" applyNumberFormat="1" applyFont="1" applyFill="1" applyAlignment="1">
      <alignment horizontal="left"/>
    </xf>
    <xf numFmtId="175" fontId="5" fillId="8" borderId="0" xfId="0" applyNumberFormat="1" applyFont="1" applyFill="1" applyAlignment="1">
      <alignment horizontal="left"/>
    </xf>
    <xf numFmtId="41" fontId="5" fillId="8" borderId="0" xfId="0" applyNumberFormat="1" applyFont="1" applyFill="1" applyBorder="1" applyAlignment="1">
      <alignment horizontal="right" wrapText="1"/>
    </xf>
    <xf numFmtId="174" fontId="31" fillId="8" borderId="0" xfId="1" applyNumberFormat="1" applyFont="1" applyFill="1" applyBorder="1" applyAlignment="1">
      <alignment horizontal="right"/>
    </xf>
    <xf numFmtId="9" fontId="5" fillId="8" borderId="0" xfId="0" applyNumberFormat="1" applyFont="1" applyFill="1" applyBorder="1" applyAlignment="1">
      <alignment horizontal="right" wrapText="1"/>
    </xf>
    <xf numFmtId="41" fontId="5" fillId="8" borderId="4" xfId="0" applyNumberFormat="1" applyFont="1" applyFill="1" applyBorder="1" applyAlignment="1">
      <alignment horizontal="right" wrapText="1"/>
    </xf>
    <xf numFmtId="175" fontId="5" fillId="8" borderId="0" xfId="0" applyNumberFormat="1" applyFont="1" applyFill="1" applyAlignment="1">
      <alignment horizontal="left" indent="2"/>
    </xf>
    <xf numFmtId="175" fontId="5" fillId="8" borderId="0" xfId="0" applyNumberFormat="1" applyFont="1" applyFill="1" applyAlignment="1">
      <alignment horizontal="right"/>
    </xf>
    <xf numFmtId="175" fontId="5" fillId="8" borderId="0" xfId="0" applyNumberFormat="1" applyFont="1" applyFill="1" applyAlignment="1">
      <alignment horizontal="left" indent="1"/>
    </xf>
    <xf numFmtId="41" fontId="11" fillId="8" borderId="0" xfId="0" applyNumberFormat="1" applyFont="1" applyFill="1" applyBorder="1" applyAlignment="1">
      <alignment horizontal="right" wrapText="1"/>
    </xf>
    <xf numFmtId="6" fontId="5" fillId="8" borderId="0" xfId="0" applyNumberFormat="1" applyFont="1" applyFill="1" applyAlignment="1">
      <alignment horizontal="right" wrapText="1"/>
    </xf>
    <xf numFmtId="175" fontId="5" fillId="8" borderId="0" xfId="0" applyNumberFormat="1" applyFont="1" applyFill="1" applyBorder="1" applyAlignment="1">
      <alignment horizontal="left" indent="1"/>
    </xf>
    <xf numFmtId="41" fontId="5" fillId="8" borderId="0" xfId="0" applyNumberFormat="1" applyFont="1" applyFill="1" applyAlignment="1">
      <alignment horizontal="right" wrapText="1"/>
    </xf>
    <xf numFmtId="175" fontId="5" fillId="8" borderId="0" xfId="0" applyNumberFormat="1" applyFont="1" applyFill="1" applyAlignment="1">
      <alignment horizontal="right" wrapText="1"/>
    </xf>
    <xf numFmtId="41" fontId="11" fillId="8" borderId="0" xfId="0" applyNumberFormat="1" applyFont="1" applyFill="1" applyAlignment="1">
      <alignment horizontal="right" wrapText="1"/>
    </xf>
    <xf numFmtId="41" fontId="11" fillId="8" borderId="9" xfId="0" applyNumberFormat="1" applyFont="1" applyFill="1" applyBorder="1" applyAlignment="1">
      <alignment horizontal="right" wrapText="1"/>
    </xf>
    <xf numFmtId="6" fontId="5" fillId="8" borderId="9" xfId="0" applyNumberFormat="1" applyFont="1" applyFill="1" applyBorder="1" applyAlignment="1">
      <alignment horizontal="right" wrapText="1"/>
    </xf>
    <xf numFmtId="0" fontId="0" fillId="8" borderId="0" xfId="0" applyNumberFormat="1" applyFill="1" applyAlignment="1"/>
    <xf numFmtId="175" fontId="5" fillId="8" borderId="22" xfId="0" applyNumberFormat="1" applyFont="1" applyFill="1" applyBorder="1" applyAlignment="1">
      <alignment horizontal="left" indent="1"/>
    </xf>
    <xf numFmtId="0" fontId="0" fillId="8" borderId="22" xfId="0" applyNumberFormat="1" applyFill="1" applyBorder="1" applyAlignment="1"/>
    <xf numFmtId="6" fontId="5" fillId="8" borderId="22" xfId="0" applyNumberFormat="1" applyFont="1" applyFill="1" applyBorder="1" applyAlignment="1">
      <alignment horizontal="right" wrapText="1"/>
    </xf>
    <xf numFmtId="169" fontId="57" fillId="8" borderId="0" xfId="0" applyNumberFormat="1" applyFont="1" applyFill="1" applyBorder="1" applyAlignment="1"/>
    <xf numFmtId="9" fontId="58" fillId="0" borderId="0" xfId="0" applyNumberFormat="1" applyFont="1" applyFill="1" applyBorder="1" applyAlignment="1">
      <alignment horizontal="center"/>
    </xf>
    <xf numFmtId="0" fontId="44" fillId="8" borderId="0" xfId="0" applyFont="1" applyFill="1" applyBorder="1" applyAlignment="1">
      <alignment vertical="top" wrapText="1"/>
    </xf>
    <xf numFmtId="0" fontId="29" fillId="5" borderId="8" xfId="0" applyFont="1" applyFill="1" applyBorder="1" applyAlignment="1">
      <alignment vertical="center"/>
    </xf>
    <xf numFmtId="0" fontId="29" fillId="5" borderId="0" xfId="0" applyFont="1" applyFill="1" applyBorder="1" applyAlignment="1">
      <alignment vertical="center"/>
    </xf>
    <xf numFmtId="0" fontId="44" fillId="5" borderId="25" xfId="0" applyFont="1" applyFill="1" applyBorder="1" applyAlignment="1">
      <alignment vertical="center"/>
    </xf>
    <xf numFmtId="0" fontId="44" fillId="8" borderId="0" xfId="0" applyFont="1" applyFill="1" applyBorder="1" applyAlignment="1">
      <alignment horizontal="left" vertical="center"/>
    </xf>
    <xf numFmtId="0" fontId="44" fillId="8" borderId="0" xfId="0" applyFont="1" applyFill="1" applyBorder="1" applyAlignment="1">
      <alignment horizontal="left" vertical="center" wrapText="1"/>
    </xf>
    <xf numFmtId="165" fontId="0" fillId="0" borderId="0" xfId="1" applyNumberFormat="1" applyFont="1"/>
    <xf numFmtId="9" fontId="23" fillId="6" borderId="5" xfId="0" applyNumberFormat="1" applyFont="1" applyFill="1" applyBorder="1" applyAlignment="1">
      <alignment horizontal="center"/>
    </xf>
    <xf numFmtId="0" fontId="41" fillId="2" borderId="6" xfId="0" applyNumberFormat="1" applyFont="1" applyFill="1" applyBorder="1" applyAlignment="1">
      <alignment vertical="center"/>
    </xf>
    <xf numFmtId="169" fontId="23" fillId="0" borderId="6" xfId="1" applyNumberFormat="1" applyFont="1" applyBorder="1" applyAlignment="1">
      <alignment horizontal="center" vertical="center"/>
    </xf>
    <xf numFmtId="2" fontId="5" fillId="0" borderId="0" xfId="0" applyNumberFormat="1" applyFont="1" applyFill="1" applyAlignment="1">
      <alignment horizontal="right"/>
    </xf>
    <xf numFmtId="6" fontId="5" fillId="8" borderId="0" xfId="0" applyNumberFormat="1" applyFont="1" applyFill="1" applyAlignment="1">
      <alignment horizontal="right" vertical="center" wrapText="1"/>
    </xf>
    <xf numFmtId="0" fontId="55" fillId="0" borderId="0" xfId="0" applyFont="1" applyBorder="1" applyAlignment="1">
      <alignment horizontal="center" vertical="center" wrapText="1"/>
    </xf>
    <xf numFmtId="164" fontId="50" fillId="0" borderId="17" xfId="2" applyNumberFormat="1" applyFont="1" applyFill="1" applyBorder="1" applyAlignment="1">
      <alignment horizontal="center"/>
    </xf>
    <xf numFmtId="10" fontId="48" fillId="0" borderId="21" xfId="0" applyNumberFormat="1" applyFont="1" applyBorder="1" applyAlignment="1">
      <alignment horizontal="center"/>
    </xf>
    <xf numFmtId="0" fontId="5" fillId="9" borderId="30" xfId="0" applyNumberFormat="1" applyFont="1" applyFill="1" applyBorder="1" applyAlignment="1">
      <alignment horizontal="center" vertical="center"/>
    </xf>
    <xf numFmtId="0" fontId="5" fillId="9" borderId="7" xfId="0" applyNumberFormat="1" applyFont="1" applyFill="1" applyBorder="1" applyAlignment="1">
      <alignment horizontal="center" vertical="center" wrapText="1"/>
    </xf>
    <xf numFmtId="0" fontId="60" fillId="0" borderId="0" xfId="0" applyFont="1" applyFill="1" applyBorder="1" applyAlignment="1">
      <alignment vertical="center"/>
    </xf>
    <xf numFmtId="0" fontId="0" fillId="0" borderId="22" xfId="0" applyBorder="1"/>
    <xf numFmtId="0" fontId="5" fillId="0" borderId="25" xfId="0" applyFont="1" applyFill="1" applyBorder="1"/>
    <xf numFmtId="0" fontId="61" fillId="0" borderId="0" xfId="0" applyFont="1" applyFill="1" applyBorder="1" applyAlignment="1">
      <alignment vertical="center"/>
    </xf>
    <xf numFmtId="176" fontId="3" fillId="0" borderId="4" xfId="0" applyNumberFormat="1" applyFont="1" applyFill="1" applyBorder="1" applyAlignment="1">
      <alignment horizontal="center"/>
    </xf>
    <xf numFmtId="2" fontId="43" fillId="0" borderId="22" xfId="0" applyNumberFormat="1" applyFont="1" applyFill="1" applyBorder="1" applyAlignment="1">
      <alignment horizontal="center"/>
    </xf>
    <xf numFmtId="6" fontId="62" fillId="0" borderId="0" xfId="0" applyNumberFormat="1" applyFont="1" applyAlignment="1"/>
    <xf numFmtId="6" fontId="62" fillId="0" borderId="9" xfId="0" applyNumberFormat="1" applyFont="1" applyBorder="1" applyAlignment="1"/>
    <xf numFmtId="0" fontId="50" fillId="0" borderId="0" xfId="0" applyFont="1" applyBorder="1"/>
    <xf numFmtId="164" fontId="50" fillId="0" borderId="0" xfId="2" applyNumberFormat="1" applyFont="1" applyFill="1" applyBorder="1" applyAlignment="1">
      <alignment horizontal="center"/>
    </xf>
    <xf numFmtId="0" fontId="48" fillId="0" borderId="4" xfId="0" applyFont="1" applyBorder="1"/>
    <xf numFmtId="0" fontId="50" fillId="0" borderId="9" xfId="0" applyFont="1" applyFill="1" applyBorder="1" applyAlignment="1">
      <alignment horizontal="center"/>
    </xf>
    <xf numFmtId="0" fontId="54" fillId="5" borderId="14" xfId="0" applyFont="1" applyFill="1" applyBorder="1" applyAlignment="1">
      <alignment horizontal="center"/>
    </xf>
    <xf numFmtId="0" fontId="5" fillId="0" borderId="0" xfId="0" applyNumberFormat="1" applyFont="1" applyAlignment="1">
      <alignment wrapText="1"/>
    </xf>
    <xf numFmtId="9" fontId="5" fillId="0" borderId="9" xfId="0" applyNumberFormat="1" applyFont="1" applyBorder="1" applyAlignment="1"/>
    <xf numFmtId="9" fontId="63" fillId="0" borderId="0" xfId="0" applyNumberFormat="1" applyFont="1" applyAlignment="1"/>
    <xf numFmtId="6" fontId="5" fillId="8" borderId="0" xfId="0" applyNumberFormat="1" applyFont="1" applyFill="1" applyBorder="1" applyAlignment="1"/>
    <xf numFmtId="0" fontId="21" fillId="8" borderId="0" xfId="0" applyNumberFormat="1" applyFont="1" applyFill="1" applyAlignment="1"/>
    <xf numFmtId="0" fontId="7" fillId="0" borderId="23" xfId="0" applyFont="1" applyFill="1" applyBorder="1" applyAlignment="1">
      <alignment horizontal="center"/>
    </xf>
    <xf numFmtId="0" fontId="7" fillId="0" borderId="10" xfId="0" applyFont="1" applyFill="1" applyBorder="1" applyAlignment="1">
      <alignment horizontal="center"/>
    </xf>
    <xf numFmtId="0" fontId="5" fillId="0" borderId="10" xfId="0" applyFont="1" applyFill="1" applyBorder="1"/>
    <xf numFmtId="6" fontId="2" fillId="0" borderId="22" xfId="0" applyNumberFormat="1" applyFont="1" applyBorder="1" applyAlignment="1"/>
    <xf numFmtId="1" fontId="23" fillId="0" borderId="0" xfId="0" applyNumberFormat="1" applyFont="1" applyFill="1" applyBorder="1" applyAlignment="1">
      <alignment horizontal="right"/>
    </xf>
    <xf numFmtId="164" fontId="23" fillId="0" borderId="0" xfId="2" applyNumberFormat="1" applyFont="1" applyFill="1" applyBorder="1" applyAlignment="1">
      <alignment horizontal="right"/>
    </xf>
    <xf numFmtId="3" fontId="5" fillId="0" borderId="0" xfId="0" applyNumberFormat="1" applyFont="1" applyFill="1" applyBorder="1" applyAlignment="1">
      <alignment horizontal="right"/>
    </xf>
    <xf numFmtId="0" fontId="23" fillId="0" borderId="0" xfId="0" applyFont="1" applyFill="1" applyBorder="1" applyAlignment="1">
      <alignment horizontal="right"/>
    </xf>
    <xf numFmtId="171" fontId="23" fillId="0" borderId="0" xfId="1" applyNumberFormat="1" applyFont="1" applyFill="1" applyBorder="1" applyAlignment="1">
      <alignment horizontal="right"/>
    </xf>
    <xf numFmtId="6" fontId="23" fillId="0" borderId="0" xfId="0" applyNumberFormat="1" applyFont="1" applyFill="1" applyBorder="1" applyAlignment="1">
      <alignment horizontal="right"/>
    </xf>
    <xf numFmtId="169" fontId="5" fillId="0" borderId="0" xfId="0" applyNumberFormat="1" applyFont="1" applyFill="1" applyBorder="1" applyAlignment="1">
      <alignment horizontal="right"/>
    </xf>
    <xf numFmtId="169" fontId="5" fillId="0" borderId="0" xfId="1" applyNumberFormat="1" applyFont="1" applyFill="1" applyBorder="1" applyAlignment="1">
      <alignment horizontal="right"/>
    </xf>
    <xf numFmtId="6" fontId="5" fillId="0" borderId="0" xfId="0" applyNumberFormat="1" applyFont="1" applyFill="1" applyBorder="1" applyAlignment="1">
      <alignment horizontal="right"/>
    </xf>
    <xf numFmtId="164" fontId="23" fillId="0" borderId="0" xfId="0" applyNumberFormat="1" applyFont="1" applyFill="1" applyBorder="1" applyAlignment="1">
      <alignment horizontal="right"/>
    </xf>
    <xf numFmtId="2" fontId="23" fillId="0" borderId="0" xfId="2" applyNumberFormat="1" applyFont="1" applyFill="1" applyBorder="1" applyAlignment="1">
      <alignment horizontal="right"/>
    </xf>
    <xf numFmtId="2" fontId="5" fillId="0" borderId="0" xfId="2" applyNumberFormat="1" applyFont="1" applyFill="1" applyBorder="1" applyAlignment="1">
      <alignment horizontal="right"/>
    </xf>
    <xf numFmtId="2" fontId="23" fillId="0" borderId="0" xfId="0" applyNumberFormat="1" applyFont="1" applyFill="1" applyBorder="1" applyAlignment="1">
      <alignment horizontal="center"/>
    </xf>
    <xf numFmtId="9" fontId="23" fillId="0" borderId="0" xfId="2" applyFont="1" applyFill="1" applyBorder="1" applyAlignment="1">
      <alignment horizontal="center"/>
    </xf>
    <xf numFmtId="164" fontId="4" fillId="0" borderId="0" xfId="2" applyNumberFormat="1" applyFont="1" applyFill="1" applyBorder="1" applyAlignment="1">
      <alignment horizontal="center"/>
    </xf>
    <xf numFmtId="171" fontId="5" fillId="0" borderId="0" xfId="1" applyNumberFormat="1" applyFont="1" applyFill="1" applyBorder="1" applyAlignment="1">
      <alignment horizontal="right"/>
    </xf>
    <xf numFmtId="170" fontId="3" fillId="0" borderId="0" xfId="0" applyNumberFormat="1" applyFont="1" applyFill="1" applyBorder="1" applyAlignment="1">
      <alignment horizontal="center"/>
    </xf>
    <xf numFmtId="171" fontId="23" fillId="0" borderId="0" xfId="0" applyNumberFormat="1" applyFont="1" applyFill="1" applyBorder="1" applyAlignment="1">
      <alignment horizontal="right"/>
    </xf>
    <xf numFmtId="2" fontId="23" fillId="0" borderId="0" xfId="0" applyNumberFormat="1" applyFont="1" applyFill="1" applyBorder="1" applyAlignment="1">
      <alignment horizontal="right"/>
    </xf>
    <xf numFmtId="169" fontId="23" fillId="0" borderId="0" xfId="0" applyNumberFormat="1" applyFont="1" applyFill="1" applyBorder="1" applyAlignment="1">
      <alignment horizontal="right"/>
    </xf>
    <xf numFmtId="9" fontId="11" fillId="0" borderId="0" xfId="2" applyFont="1" applyFill="1" applyBorder="1" applyAlignment="1">
      <alignment horizontal="right"/>
    </xf>
    <xf numFmtId="9" fontId="23" fillId="0" borderId="0" xfId="2" applyNumberFormat="1" applyFont="1" applyFill="1" applyBorder="1" applyAlignment="1">
      <alignment horizontal="right"/>
    </xf>
    <xf numFmtId="10" fontId="23" fillId="0" borderId="0" xfId="2" applyNumberFormat="1" applyFont="1" applyFill="1" applyBorder="1" applyAlignment="1">
      <alignment horizontal="right"/>
    </xf>
    <xf numFmtId="9" fontId="5" fillId="0" borderId="0" xfId="2" applyNumberFormat="1" applyFont="1" applyFill="1" applyBorder="1" applyAlignment="1">
      <alignment horizontal="right"/>
    </xf>
    <xf numFmtId="9" fontId="4" fillId="0" borderId="0" xfId="2" applyFont="1" applyFill="1" applyBorder="1" applyAlignment="1">
      <alignment horizontal="right"/>
    </xf>
    <xf numFmtId="0" fontId="14" fillId="0" borderId="32" xfId="0" applyFont="1" applyFill="1" applyBorder="1" applyAlignment="1">
      <alignment horizontal="center"/>
    </xf>
    <xf numFmtId="10" fontId="3" fillId="0" borderId="0" xfId="2" applyNumberFormat="1" applyFont="1" applyFill="1" applyBorder="1" applyAlignment="1">
      <alignment horizontal="right"/>
    </xf>
    <xf numFmtId="0" fontId="5" fillId="0" borderId="26" xfId="0" applyFont="1" applyFill="1" applyBorder="1"/>
    <xf numFmtId="0" fontId="5" fillId="0" borderId="24" xfId="0" applyFont="1" applyFill="1" applyBorder="1"/>
    <xf numFmtId="0" fontId="2" fillId="0" borderId="8" xfId="0" applyFont="1" applyFill="1" applyBorder="1" applyAlignment="1">
      <alignment horizontal="center"/>
    </xf>
    <xf numFmtId="164" fontId="3" fillId="0" borderId="0" xfId="2" applyNumberFormat="1" applyFont="1" applyAlignment="1">
      <alignment horizontal="center"/>
    </xf>
    <xf numFmtId="174" fontId="2" fillId="0" borderId="0" xfId="5" applyNumberFormat="1" applyFont="1" applyFill="1" applyBorder="1" applyAlignment="1">
      <alignment horizontal="center"/>
    </xf>
    <xf numFmtId="2" fontId="0" fillId="0" borderId="0" xfId="0" applyNumberFormat="1"/>
    <xf numFmtId="9" fontId="3" fillId="0" borderId="0" xfId="2" applyFont="1" applyAlignment="1">
      <alignment horizontal="center"/>
    </xf>
    <xf numFmtId="9" fontId="3" fillId="0" borderId="0" xfId="0" applyNumberFormat="1" applyFont="1" applyAlignment="1">
      <alignment horizontal="center"/>
    </xf>
    <xf numFmtId="0" fontId="21" fillId="0" borderId="0" xfId="0" applyNumberFormat="1" applyFont="1" applyFill="1" applyBorder="1" applyAlignment="1"/>
    <xf numFmtId="2" fontId="35" fillId="0" borderId="0" xfId="0" applyNumberFormat="1" applyFont="1" applyBorder="1" applyAlignment="1"/>
    <xf numFmtId="0" fontId="5" fillId="0" borderId="27" xfId="0" applyFont="1" applyFill="1" applyBorder="1"/>
    <xf numFmtId="0" fontId="2" fillId="0" borderId="22" xfId="0" applyFont="1" applyFill="1" applyBorder="1" applyAlignment="1">
      <alignment horizontal="center"/>
    </xf>
    <xf numFmtId="0" fontId="5" fillId="0" borderId="9" xfId="0" applyNumberFormat="1" applyFont="1" applyBorder="1" applyAlignment="1">
      <alignment wrapText="1"/>
    </xf>
    <xf numFmtId="0" fontId="65" fillId="0" borderId="19" xfId="0" applyFont="1" applyBorder="1"/>
    <xf numFmtId="0" fontId="65" fillId="0" borderId="20" xfId="0" applyFont="1" applyBorder="1"/>
    <xf numFmtId="6" fontId="65" fillId="0" borderId="17" xfId="0" applyNumberFormat="1" applyFont="1" applyBorder="1" applyAlignment="1">
      <alignment horizontal="center" wrapText="1"/>
    </xf>
    <xf numFmtId="6" fontId="65" fillId="0" borderId="18" xfId="0" applyNumberFormat="1" applyFont="1" applyBorder="1" applyAlignment="1">
      <alignment horizontal="center" wrapText="1"/>
    </xf>
    <xf numFmtId="0" fontId="65" fillId="0" borderId="15" xfId="0" applyFont="1" applyBorder="1"/>
    <xf numFmtId="0" fontId="65" fillId="0" borderId="16" xfId="0" applyFont="1" applyBorder="1"/>
    <xf numFmtId="6" fontId="66" fillId="0" borderId="0" xfId="0" applyNumberFormat="1" applyFont="1" applyAlignment="1"/>
    <xf numFmtId="6" fontId="14" fillId="0" borderId="0" xfId="0" applyNumberFormat="1" applyFont="1" applyFill="1" applyAlignment="1"/>
    <xf numFmtId="0" fontId="59" fillId="5" borderId="1" xfId="0" applyFont="1" applyFill="1" applyBorder="1"/>
    <xf numFmtId="0" fontId="5" fillId="5" borderId="3" xfId="0" applyFont="1" applyFill="1" applyBorder="1"/>
    <xf numFmtId="170" fontId="3" fillId="3" borderId="0" xfId="0" applyNumberFormat="1" applyFont="1" applyFill="1" applyBorder="1" applyAlignment="1">
      <alignment horizontal="center"/>
    </xf>
    <xf numFmtId="0" fontId="5" fillId="3" borderId="0" xfId="0" applyFont="1" applyFill="1" applyBorder="1"/>
    <xf numFmtId="14" fontId="5" fillId="3" borderId="0" xfId="0" applyNumberFormat="1" applyFont="1" applyFill="1" applyBorder="1" applyAlignment="1">
      <alignment horizontal="center"/>
    </xf>
    <xf numFmtId="168" fontId="4" fillId="0" borderId="0" xfId="0" applyNumberFormat="1" applyFont="1" applyFill="1" applyBorder="1" applyAlignment="1">
      <alignment horizontal="center"/>
    </xf>
    <xf numFmtId="167" fontId="4" fillId="0" borderId="0" xfId="0" applyNumberFormat="1" applyFont="1" applyFill="1" applyBorder="1" applyAlignment="1">
      <alignment horizontal="center"/>
    </xf>
    <xf numFmtId="169" fontId="4" fillId="0" borderId="0" xfId="1" applyNumberFormat="1" applyFont="1" applyFill="1" applyBorder="1" applyAlignment="1">
      <alignment horizontal="center"/>
    </xf>
    <xf numFmtId="169" fontId="5"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64" fontId="4" fillId="3" borderId="0" xfId="2" applyNumberFormat="1" applyFont="1" applyFill="1" applyBorder="1" applyAlignment="1">
      <alignment horizontal="center"/>
    </xf>
    <xf numFmtId="0" fontId="2" fillId="3" borderId="0" xfId="0" applyFont="1" applyFill="1" applyBorder="1" applyAlignment="1">
      <alignment horizontal="center"/>
    </xf>
    <xf numFmtId="9" fontId="4" fillId="0" borderId="0" xfId="2" applyFont="1" applyFill="1" applyBorder="1" applyAlignment="1">
      <alignment horizontal="center"/>
    </xf>
    <xf numFmtId="0" fontId="7" fillId="5" borderId="10" xfId="0" applyFont="1" applyFill="1" applyBorder="1" applyAlignment="1">
      <alignment vertical="center"/>
    </xf>
    <xf numFmtId="0" fontId="61" fillId="5" borderId="10" xfId="0" applyFont="1" applyFill="1" applyBorder="1" applyAlignment="1">
      <alignment vertical="center"/>
    </xf>
    <xf numFmtId="0" fontId="61" fillId="5" borderId="24" xfId="0" applyFont="1" applyFill="1" applyBorder="1" applyAlignment="1">
      <alignment vertical="center"/>
    </xf>
    <xf numFmtId="1" fontId="0" fillId="0" borderId="0" xfId="0" applyNumberFormat="1" applyAlignment="1"/>
    <xf numFmtId="10" fontId="5" fillId="8" borderId="0" xfId="2" applyNumberFormat="1" applyFont="1" applyFill="1" applyAlignment="1">
      <alignment horizontal="right" wrapText="1"/>
    </xf>
    <xf numFmtId="6" fontId="21" fillId="8" borderId="0" xfId="0" applyNumberFormat="1" applyFont="1" applyFill="1" applyAlignment="1">
      <alignment horizontal="center" wrapText="1"/>
    </xf>
    <xf numFmtId="177" fontId="5" fillId="8" borderId="0" xfId="0" applyNumberFormat="1" applyFont="1" applyFill="1" applyAlignment="1">
      <alignment horizontal="center" wrapText="1"/>
    </xf>
    <xf numFmtId="1" fontId="23" fillId="8" borderId="0" xfId="0" applyNumberFormat="1" applyFont="1" applyFill="1" applyAlignment="1">
      <alignment horizontal="right" wrapText="1"/>
    </xf>
    <xf numFmtId="177" fontId="5" fillId="8" borderId="0" xfId="0" applyNumberFormat="1" applyFont="1" applyFill="1" applyAlignment="1">
      <alignment horizontal="right" wrapText="1"/>
    </xf>
    <xf numFmtId="0" fontId="0" fillId="0" borderId="0" xfId="0" applyNumberFormat="1" applyFill="1" applyAlignment="1"/>
    <xf numFmtId="1" fontId="0" fillId="0" borderId="0" xfId="0" applyNumberFormat="1" applyFill="1" applyAlignment="1"/>
    <xf numFmtId="1" fontId="0" fillId="8" borderId="22" xfId="0" applyNumberFormat="1" applyFill="1" applyBorder="1" applyAlignment="1"/>
    <xf numFmtId="175" fontId="2" fillId="8" borderId="0" xfId="0" applyNumberFormat="1" applyFont="1" applyFill="1" applyAlignment="1">
      <alignment horizontal="left" indent="1"/>
    </xf>
    <xf numFmtId="176" fontId="3" fillId="0" borderId="0" xfId="0" applyNumberFormat="1" applyFont="1" applyFill="1" applyAlignment="1">
      <alignment horizontal="center"/>
    </xf>
    <xf numFmtId="1" fontId="42" fillId="0" borderId="0" xfId="0" applyNumberFormat="1" applyFont="1" applyFill="1" applyBorder="1" applyAlignment="1">
      <alignment horizontal="center"/>
    </xf>
    <xf numFmtId="0" fontId="7" fillId="0" borderId="33" xfId="0" applyFont="1" applyFill="1" applyBorder="1" applyAlignment="1">
      <alignment horizontal="center"/>
    </xf>
    <xf numFmtId="0" fontId="2" fillId="0" borderId="34" xfId="0" applyFont="1" applyFill="1" applyBorder="1" applyAlignment="1">
      <alignment horizontal="center"/>
    </xf>
    <xf numFmtId="0" fontId="68" fillId="5" borderId="4" xfId="0" applyNumberFormat="1" applyFont="1" applyFill="1" applyBorder="1" applyAlignment="1">
      <alignment horizontal="center"/>
    </xf>
    <xf numFmtId="0" fontId="68" fillId="5" borderId="6" xfId="0" applyNumberFormat="1" applyFont="1" applyFill="1" applyBorder="1" applyAlignment="1">
      <alignment horizontal="center"/>
    </xf>
    <xf numFmtId="2" fontId="15" fillId="5" borderId="5" xfId="0" applyNumberFormat="1" applyFont="1" applyFill="1" applyBorder="1" applyAlignment="1">
      <alignment horizontal="center"/>
    </xf>
    <xf numFmtId="0" fontId="69" fillId="0" borderId="0" xfId="0" applyFont="1" applyFill="1" applyBorder="1"/>
    <xf numFmtId="0" fontId="20" fillId="5" borderId="2" xfId="0" applyNumberFormat="1" applyFont="1" applyFill="1" applyBorder="1" applyAlignment="1">
      <alignment horizontal="center"/>
    </xf>
    <xf numFmtId="0" fontId="21" fillId="0" borderId="0" xfId="0" applyFont="1" applyFill="1" applyBorder="1" applyAlignment="1">
      <alignment horizontal="center"/>
    </xf>
    <xf numFmtId="0" fontId="20" fillId="5" borderId="1" xfId="0" applyFont="1" applyFill="1" applyBorder="1"/>
    <xf numFmtId="0" fontId="5" fillId="4" borderId="0" xfId="0" applyFont="1" applyFill="1" applyBorder="1"/>
    <xf numFmtId="0" fontId="2" fillId="4" borderId="0" xfId="0" applyFont="1" applyFill="1" applyBorder="1" applyAlignment="1">
      <alignment horizontal="center"/>
    </xf>
    <xf numFmtId="0" fontId="5" fillId="4" borderId="23" xfId="0" applyFont="1" applyFill="1" applyBorder="1"/>
    <xf numFmtId="0" fontId="5" fillId="4" borderId="10" xfId="0" applyFont="1" applyFill="1" applyBorder="1"/>
    <xf numFmtId="0" fontId="2" fillId="4" borderId="10" xfId="0" applyFont="1" applyFill="1" applyBorder="1" applyAlignment="1">
      <alignment horizontal="center"/>
    </xf>
    <xf numFmtId="0" fontId="5" fillId="4" borderId="24" xfId="0" applyFont="1" applyFill="1" applyBorder="1"/>
    <xf numFmtId="0" fontId="5" fillId="4" borderId="8" xfId="0" applyFont="1" applyFill="1" applyBorder="1"/>
    <xf numFmtId="0" fontId="70" fillId="4" borderId="0" xfId="0" applyFont="1" applyFill="1" applyBorder="1" applyAlignment="1"/>
    <xf numFmtId="0" fontId="5" fillId="4" borderId="25" xfId="0" applyFont="1" applyFill="1" applyBorder="1"/>
    <xf numFmtId="0" fontId="5" fillId="4" borderId="26" xfId="0" applyFont="1" applyFill="1" applyBorder="1"/>
    <xf numFmtId="0" fontId="5" fillId="4" borderId="22" xfId="0" applyFont="1" applyFill="1" applyBorder="1"/>
    <xf numFmtId="0" fontId="70" fillId="4" borderId="22" xfId="0" applyFont="1" applyFill="1" applyBorder="1" applyAlignment="1"/>
    <xf numFmtId="0" fontId="2" fillId="4" borderId="22" xfId="0" applyFont="1" applyFill="1" applyBorder="1" applyAlignment="1">
      <alignment horizontal="center"/>
    </xf>
    <xf numFmtId="0" fontId="5" fillId="4" borderId="27" xfId="0" applyFont="1" applyFill="1" applyBorder="1"/>
    <xf numFmtId="0" fontId="59" fillId="4" borderId="10" xfId="0" applyNumberFormat="1" applyFont="1" applyFill="1" applyBorder="1" applyAlignment="1"/>
    <xf numFmtId="0" fontId="50" fillId="0" borderId="12" xfId="0" applyFont="1" applyBorder="1" applyAlignment="1">
      <alignment vertical="center"/>
    </xf>
    <xf numFmtId="0" fontId="48" fillId="0" borderId="14" xfId="0" applyFont="1" applyBorder="1"/>
    <xf numFmtId="44" fontId="5" fillId="0" borderId="0" xfId="1" applyFont="1" applyFill="1" applyBorder="1"/>
    <xf numFmtId="0" fontId="15" fillId="5" borderId="4" xfId="0" applyFont="1" applyFill="1" applyBorder="1" applyAlignment="1">
      <alignment horizontal="center"/>
    </xf>
    <xf numFmtId="164" fontId="23" fillId="0" borderId="4" xfId="2" applyNumberFormat="1" applyFont="1" applyFill="1" applyBorder="1" applyAlignment="1">
      <alignment horizontal="center"/>
    </xf>
    <xf numFmtId="0" fontId="69" fillId="0" borderId="0" xfId="0" applyFont="1" applyFill="1" applyBorder="1" applyAlignment="1">
      <alignment horizontal="center"/>
    </xf>
    <xf numFmtId="0" fontId="3" fillId="0" borderId="5" xfId="0" applyNumberFormat="1" applyFont="1" applyFill="1" applyBorder="1" applyAlignment="1">
      <alignment horizontal="center"/>
    </xf>
    <xf numFmtId="164" fontId="15" fillId="5" borderId="6" xfId="2" applyNumberFormat="1" applyFont="1" applyFill="1" applyBorder="1" applyAlignment="1">
      <alignment horizontal="center"/>
    </xf>
    <xf numFmtId="0" fontId="5" fillId="12" borderId="0" xfId="0" applyFont="1" applyFill="1" applyBorder="1"/>
    <xf numFmtId="169" fontId="5" fillId="12" borderId="0" xfId="0" applyNumberFormat="1" applyFont="1" applyFill="1" applyBorder="1" applyAlignment="1">
      <alignment horizontal="center"/>
    </xf>
    <xf numFmtId="170" fontId="3" fillId="12" borderId="0" xfId="0" applyNumberFormat="1" applyFont="1" applyFill="1" applyBorder="1" applyAlignment="1">
      <alignment horizontal="center"/>
    </xf>
    <xf numFmtId="9" fontId="4" fillId="12" borderId="0" xfId="2" applyFont="1" applyFill="1" applyBorder="1" applyAlignment="1">
      <alignment horizontal="center"/>
    </xf>
    <xf numFmtId="169" fontId="4" fillId="12" borderId="0" xfId="2" applyNumberFormat="1" applyFont="1" applyFill="1" applyBorder="1" applyAlignment="1">
      <alignment horizontal="center"/>
    </xf>
    <xf numFmtId="0" fontId="14" fillId="12" borderId="0" xfId="0" applyFont="1" applyFill="1" applyBorder="1" applyAlignment="1">
      <alignment horizontal="center"/>
    </xf>
    <xf numFmtId="0" fontId="2" fillId="12" borderId="0" xfId="0" applyFont="1" applyFill="1" applyBorder="1" applyAlignment="1">
      <alignment horizontal="center"/>
    </xf>
    <xf numFmtId="0" fontId="4" fillId="12" borderId="0" xfId="0" applyNumberFormat="1" applyFont="1" applyFill="1" applyBorder="1" applyAlignment="1">
      <alignment horizontal="center"/>
    </xf>
    <xf numFmtId="2" fontId="0" fillId="8" borderId="0" xfId="0" applyNumberFormat="1" applyFill="1" applyAlignment="1"/>
    <xf numFmtId="6" fontId="2" fillId="0" borderId="0" xfId="0" applyNumberFormat="1" applyFont="1" applyFill="1" applyBorder="1" applyAlignment="1">
      <alignment horizontal="center"/>
    </xf>
    <xf numFmtId="0" fontId="2" fillId="0" borderId="33" xfId="0" applyNumberFormat="1" applyFont="1" applyBorder="1" applyAlignment="1">
      <alignment horizontal="center"/>
    </xf>
    <xf numFmtId="2" fontId="43" fillId="10" borderId="35" xfId="0" applyNumberFormat="1" applyFont="1" applyFill="1" applyBorder="1" applyAlignment="1">
      <alignment horizontal="center"/>
    </xf>
    <xf numFmtId="0" fontId="20" fillId="0" borderId="35" xfId="0" applyNumberFormat="1" applyFont="1" applyBorder="1" applyAlignment="1">
      <alignment horizontal="center"/>
    </xf>
    <xf numFmtId="0" fontId="54" fillId="0" borderId="13" xfId="0" applyFont="1" applyBorder="1" applyAlignment="1">
      <alignment horizontal="center"/>
    </xf>
    <xf numFmtId="164" fontId="71" fillId="0" borderId="14" xfId="2" applyNumberFormat="1" applyFont="1" applyFill="1" applyBorder="1" applyAlignment="1">
      <alignment horizontal="center"/>
    </xf>
    <xf numFmtId="0" fontId="76" fillId="0" borderId="12" xfId="0" applyFont="1" applyBorder="1"/>
    <xf numFmtId="2" fontId="2" fillId="0" borderId="0" xfId="0" applyNumberFormat="1" applyFont="1" applyFill="1" applyBorder="1" applyAlignment="1">
      <alignment horizontal="center"/>
    </xf>
    <xf numFmtId="1" fontId="80" fillId="0" borderId="0" xfId="0" applyNumberFormat="1" applyFont="1" applyFill="1" applyBorder="1" applyAlignment="1">
      <alignment horizontal="center"/>
    </xf>
    <xf numFmtId="6" fontId="26" fillId="0" borderId="0" xfId="0" applyNumberFormat="1" applyFont="1" applyFill="1" applyBorder="1" applyAlignment="1">
      <alignment horizontal="center"/>
    </xf>
    <xf numFmtId="6" fontId="79" fillId="0" borderId="0" xfId="0" applyNumberFormat="1" applyFont="1" applyFill="1" applyBorder="1" applyAlignment="1"/>
    <xf numFmtId="6" fontId="79" fillId="0" borderId="0" xfId="0" applyNumberFormat="1" applyFont="1" applyFill="1" applyBorder="1" applyAlignment="1">
      <alignment horizontal="center"/>
    </xf>
    <xf numFmtId="1" fontId="79" fillId="0" borderId="0" xfId="0" applyNumberFormat="1" applyFont="1" applyFill="1" applyBorder="1" applyAlignment="1">
      <alignment horizontal="center"/>
    </xf>
    <xf numFmtId="0" fontId="80" fillId="0" borderId="0" xfId="0" applyNumberFormat="1" applyFont="1" applyFill="1" applyBorder="1" applyAlignment="1"/>
    <xf numFmtId="0" fontId="5" fillId="0" borderId="18" xfId="0" applyFont="1" applyFill="1" applyBorder="1"/>
    <xf numFmtId="0" fontId="7" fillId="0" borderId="17" xfId="0" applyFont="1" applyFill="1" applyBorder="1" applyAlignment="1">
      <alignment horizontal="center"/>
    </xf>
    <xf numFmtId="0" fontId="50" fillId="5" borderId="1" xfId="0" applyFont="1" applyFill="1" applyBorder="1"/>
    <xf numFmtId="0" fontId="54" fillId="5" borderId="2" xfId="0" applyFont="1" applyFill="1" applyBorder="1" applyAlignment="1">
      <alignment horizontal="center"/>
    </xf>
    <xf numFmtId="0" fontId="71" fillId="7" borderId="7" xfId="0" applyFont="1" applyFill="1" applyBorder="1" applyAlignment="1">
      <alignment horizontal="center"/>
    </xf>
    <xf numFmtId="1" fontId="27" fillId="0" borderId="5" xfId="0" applyNumberFormat="1" applyFont="1" applyBorder="1" applyAlignment="1">
      <alignment horizontal="center"/>
    </xf>
    <xf numFmtId="2" fontId="23" fillId="0" borderId="5" xfId="0" applyNumberFormat="1" applyFont="1" applyBorder="1" applyAlignment="1">
      <alignment horizontal="center"/>
    </xf>
    <xf numFmtId="1" fontId="27" fillId="0" borderId="4" xfId="0" applyNumberFormat="1" applyFont="1" applyBorder="1" applyAlignment="1">
      <alignment horizontal="center"/>
    </xf>
    <xf numFmtId="2" fontId="23" fillId="0" borderId="4" xfId="0" applyNumberFormat="1" applyFont="1" applyBorder="1" applyAlignment="1">
      <alignment horizontal="center"/>
    </xf>
    <xf numFmtId="164" fontId="81" fillId="3" borderId="6" xfId="2" applyNumberFormat="1" applyFont="1" applyFill="1" applyBorder="1" applyAlignment="1">
      <alignment horizontal="center" vertical="center" wrapText="1"/>
    </xf>
    <xf numFmtId="0" fontId="3" fillId="0" borderId="0" xfId="0" applyFont="1" applyFill="1" applyBorder="1" applyAlignment="1">
      <alignment horizontal="center"/>
    </xf>
    <xf numFmtId="3" fontId="2" fillId="5" borderId="6" xfId="0" applyNumberFormat="1" applyFont="1" applyFill="1" applyBorder="1" applyAlignment="1">
      <alignment horizontal="left"/>
    </xf>
    <xf numFmtId="166" fontId="10" fillId="0" borderId="25" xfId="0" applyNumberFormat="1" applyFont="1" applyFill="1" applyBorder="1" applyAlignment="1">
      <alignment horizontal="center"/>
    </xf>
    <xf numFmtId="1" fontId="42" fillId="0" borderId="25" xfId="0" applyNumberFormat="1" applyFont="1" applyFill="1" applyBorder="1" applyAlignment="1">
      <alignment horizontal="center"/>
    </xf>
    <xf numFmtId="1" fontId="42" fillId="0" borderId="25" xfId="0" applyNumberFormat="1" applyFont="1" applyFill="1" applyBorder="1" applyAlignment="1">
      <alignment horizontal="left"/>
    </xf>
    <xf numFmtId="2" fontId="5" fillId="0" borderId="0" xfId="0" applyNumberFormat="1" applyFont="1" applyFill="1" applyBorder="1" applyAlignment="1">
      <alignment horizontal="center"/>
    </xf>
    <xf numFmtId="2" fontId="69" fillId="0" borderId="0" xfId="2" applyNumberFormat="1" applyFont="1" applyFill="1" applyBorder="1" applyAlignment="1">
      <alignment horizontal="right"/>
    </xf>
    <xf numFmtId="0" fontId="50" fillId="13" borderId="12" xfId="0" applyFont="1" applyFill="1" applyBorder="1" applyAlignment="1">
      <alignment wrapText="1"/>
    </xf>
    <xf numFmtId="0" fontId="54" fillId="13" borderId="14" xfId="0" applyFont="1" applyFill="1" applyBorder="1" applyAlignment="1">
      <alignment horizontal="center"/>
    </xf>
    <xf numFmtId="0" fontId="50" fillId="13" borderId="17" xfId="0" applyFont="1" applyFill="1" applyBorder="1" applyAlignment="1">
      <alignment wrapText="1"/>
    </xf>
    <xf numFmtId="0" fontId="54" fillId="13" borderId="0" xfId="0" applyFont="1" applyFill="1" applyBorder="1" applyAlignment="1">
      <alignment horizontal="center"/>
    </xf>
    <xf numFmtId="166" fontId="20" fillId="5" borderId="3" xfId="0" applyNumberFormat="1" applyFont="1" applyFill="1" applyBorder="1" applyAlignment="1">
      <alignment horizontal="center"/>
    </xf>
    <xf numFmtId="0" fontId="2" fillId="0" borderId="0" xfId="0" applyFont="1" applyFill="1" applyBorder="1" applyAlignment="1">
      <alignment horizontal="left"/>
    </xf>
    <xf numFmtId="0" fontId="61" fillId="5" borderId="1" xfId="0" applyFont="1" applyFill="1" applyBorder="1" applyAlignment="1">
      <alignment vertical="center"/>
    </xf>
    <xf numFmtId="3" fontId="2" fillId="5" borderId="6" xfId="0" applyNumberFormat="1" applyFont="1" applyFill="1" applyBorder="1" applyAlignment="1">
      <alignment horizontal="center"/>
    </xf>
    <xf numFmtId="0" fontId="5" fillId="0" borderId="23" xfId="0" applyFont="1" applyFill="1" applyBorder="1"/>
    <xf numFmtId="0" fontId="23" fillId="0" borderId="10" xfId="0" applyFont="1" applyFill="1" applyBorder="1" applyAlignment="1">
      <alignment horizontal="center" vertical="center"/>
    </xf>
    <xf numFmtId="0" fontId="5" fillId="0" borderId="10" xfId="0" applyFont="1" applyFill="1" applyBorder="1" applyAlignment="1">
      <alignment horizontal="center"/>
    </xf>
    <xf numFmtId="0" fontId="23" fillId="0" borderId="24" xfId="0" applyFont="1" applyFill="1" applyBorder="1" applyAlignment="1">
      <alignment horizontal="center" vertical="center"/>
    </xf>
    <xf numFmtId="0" fontId="14" fillId="0" borderId="5" xfId="0" applyFont="1" applyFill="1" applyBorder="1" applyAlignment="1">
      <alignment horizontal="center"/>
    </xf>
    <xf numFmtId="0" fontId="26" fillId="0" borderId="0" xfId="0" applyFont="1" applyFill="1" applyBorder="1" applyAlignment="1"/>
    <xf numFmtId="0" fontId="14" fillId="0" borderId="40" xfId="0" applyFont="1" applyFill="1" applyBorder="1" applyAlignment="1">
      <alignment horizontal="center"/>
    </xf>
    <xf numFmtId="10" fontId="2" fillId="11" borderId="3" xfId="2" applyNumberFormat="1" applyFont="1" applyFill="1" applyBorder="1" applyAlignment="1">
      <alignment horizontal="center" vertical="center"/>
    </xf>
    <xf numFmtId="6" fontId="5" fillId="11" borderId="3" xfId="0" applyNumberFormat="1" applyFont="1" applyFill="1" applyBorder="1" applyAlignment="1">
      <alignment horizontal="center"/>
    </xf>
    <xf numFmtId="0" fontId="2" fillId="11" borderId="1" xfId="0" applyNumberFormat="1" applyFont="1" applyFill="1" applyBorder="1" applyAlignment="1">
      <alignment horizontal="left" vertical="center" wrapText="1"/>
    </xf>
    <xf numFmtId="0" fontId="2" fillId="11" borderId="3" xfId="0" applyNumberFormat="1" applyFont="1" applyFill="1" applyBorder="1" applyAlignment="1">
      <alignment horizontal="left" vertical="center" wrapText="1"/>
    </xf>
    <xf numFmtId="169" fontId="2" fillId="8" borderId="0" xfId="0" applyNumberFormat="1" applyFont="1" applyFill="1" applyAlignment="1">
      <alignment horizontal="center"/>
    </xf>
    <xf numFmtId="9" fontId="5" fillId="8" borderId="0" xfId="2" applyFont="1" applyFill="1" applyAlignment="1">
      <alignment horizontal="center"/>
    </xf>
    <xf numFmtId="169" fontId="3" fillId="8" borderId="0" xfId="0" applyNumberFormat="1" applyFont="1" applyFill="1" applyAlignment="1">
      <alignment horizontal="center"/>
    </xf>
    <xf numFmtId="169" fontId="5" fillId="8" borderId="9" xfId="0" applyNumberFormat="1" applyFont="1" applyFill="1" applyBorder="1" applyAlignment="1">
      <alignment horizontal="center"/>
    </xf>
    <xf numFmtId="9" fontId="5" fillId="8" borderId="9" xfId="2" applyFont="1" applyFill="1" applyBorder="1" applyAlignment="1">
      <alignment horizontal="center"/>
    </xf>
    <xf numFmtId="0" fontId="28" fillId="8" borderId="8" xfId="0" applyFont="1" applyFill="1" applyBorder="1" applyAlignment="1">
      <alignment vertical="center" wrapText="1"/>
    </xf>
    <xf numFmtId="0" fontId="84" fillId="8" borderId="25" xfId="0" applyFont="1" applyFill="1" applyBorder="1" applyAlignment="1">
      <alignment horizontal="center" wrapText="1"/>
    </xf>
    <xf numFmtId="0" fontId="44" fillId="8" borderId="25" xfId="0" applyFont="1" applyFill="1" applyBorder="1" applyAlignment="1">
      <alignment horizontal="center" wrapText="1"/>
    </xf>
    <xf numFmtId="0" fontId="44" fillId="12" borderId="25" xfId="0" applyFont="1" applyFill="1" applyBorder="1"/>
    <xf numFmtId="0" fontId="44" fillId="3" borderId="25" xfId="0" applyFont="1" applyFill="1" applyBorder="1"/>
    <xf numFmtId="0" fontId="83" fillId="6" borderId="25" xfId="0" applyFont="1" applyFill="1" applyBorder="1" applyAlignment="1">
      <alignment horizontal="center" wrapText="1"/>
    </xf>
    <xf numFmtId="0" fontId="85" fillId="0" borderId="25" xfId="0" applyFont="1" applyFill="1" applyBorder="1" applyAlignment="1">
      <alignment horizontal="center" vertical="center" wrapText="1"/>
    </xf>
    <xf numFmtId="3" fontId="54" fillId="0" borderId="21" xfId="0" applyNumberFormat="1" applyFont="1" applyBorder="1" applyAlignment="1">
      <alignment horizontal="center"/>
    </xf>
    <xf numFmtId="166" fontId="20" fillId="5" borderId="2" xfId="0" applyNumberFormat="1" applyFont="1" applyFill="1" applyBorder="1" applyAlignment="1">
      <alignment horizontal="center"/>
    </xf>
    <xf numFmtId="0" fontId="5" fillId="0" borderId="30" xfId="0" applyFont="1" applyBorder="1"/>
    <xf numFmtId="0" fontId="3" fillId="2" borderId="29" xfId="0" applyNumberFormat="1" applyFont="1" applyFill="1" applyBorder="1" applyAlignment="1">
      <alignment horizontal="center"/>
    </xf>
    <xf numFmtId="2" fontId="23" fillId="6" borderId="31" xfId="0" applyNumberFormat="1" applyFont="1" applyFill="1" applyBorder="1" applyAlignment="1">
      <alignment horizontal="center"/>
    </xf>
    <xf numFmtId="0" fontId="67" fillId="5" borderId="41" xfId="0" applyFont="1" applyFill="1" applyBorder="1" applyAlignment="1">
      <alignment horizontal="left" indent="1"/>
    </xf>
    <xf numFmtId="0" fontId="68" fillId="5" borderId="42" xfId="0" applyFont="1" applyFill="1" applyBorder="1" applyAlignment="1">
      <alignment horizontal="center"/>
    </xf>
    <xf numFmtId="169" fontId="15" fillId="5" borderId="43" xfId="0" applyNumberFormat="1" applyFont="1" applyFill="1" applyBorder="1" applyAlignment="1">
      <alignment horizontal="right"/>
    </xf>
    <xf numFmtId="0" fontId="67" fillId="5" borderId="44" xfId="0" applyFont="1" applyFill="1" applyBorder="1" applyAlignment="1">
      <alignment horizontal="left" indent="1"/>
    </xf>
    <xf numFmtId="6" fontId="15" fillId="5" borderId="32" xfId="0" applyNumberFormat="1" applyFont="1" applyFill="1" applyBorder="1" applyAlignment="1">
      <alignment horizontal="right"/>
    </xf>
    <xf numFmtId="0" fontId="67" fillId="5" borderId="44" xfId="0" applyNumberFormat="1" applyFont="1" applyFill="1" applyBorder="1" applyAlignment="1">
      <alignment horizontal="left" indent="1"/>
    </xf>
    <xf numFmtId="169" fontId="67" fillId="5" borderId="45" xfId="0" applyNumberFormat="1" applyFont="1" applyFill="1" applyBorder="1" applyAlignment="1">
      <alignment horizontal="right"/>
    </xf>
    <xf numFmtId="0" fontId="72" fillId="5" borderId="46" xfId="3" applyFont="1" applyFill="1" applyBorder="1" applyAlignment="1" applyProtection="1"/>
    <xf numFmtId="0" fontId="68" fillId="5" borderId="36" xfId="0" applyNumberFormat="1" applyFont="1" applyFill="1" applyBorder="1" applyAlignment="1">
      <alignment horizontal="center"/>
    </xf>
    <xf numFmtId="169" fontId="5" fillId="5" borderId="40" xfId="1" applyNumberFormat="1" applyFont="1" applyFill="1" applyBorder="1" applyAlignment="1">
      <alignment horizontal="right"/>
    </xf>
    <xf numFmtId="0" fontId="5" fillId="0" borderId="41" xfId="0" applyFont="1" applyBorder="1"/>
    <xf numFmtId="0" fontId="3" fillId="2" borderId="42" xfId="0" applyNumberFormat="1" applyFont="1" applyFill="1" applyBorder="1" applyAlignment="1">
      <alignment horizontal="center"/>
    </xf>
    <xf numFmtId="169" fontId="5" fillId="0" borderId="43" xfId="1" applyNumberFormat="1" applyFont="1" applyFill="1" applyBorder="1" applyAlignment="1">
      <alignment horizontal="right"/>
    </xf>
    <xf numFmtId="0" fontId="5" fillId="0" borderId="44" xfId="0" applyFont="1" applyBorder="1"/>
    <xf numFmtId="0" fontId="5" fillId="2" borderId="44" xfId="0" applyNumberFormat="1" applyFont="1" applyFill="1" applyBorder="1" applyAlignment="1"/>
    <xf numFmtId="0" fontId="5" fillId="0" borderId="46" xfId="0" applyNumberFormat="1" applyFont="1" applyFill="1" applyBorder="1" applyAlignment="1"/>
    <xf numFmtId="0" fontId="3" fillId="0" borderId="36" xfId="0" applyNumberFormat="1" applyFont="1" applyFill="1" applyBorder="1" applyAlignment="1">
      <alignment horizontal="center"/>
    </xf>
    <xf numFmtId="169" fontId="5" fillId="0" borderId="40" xfId="1" applyNumberFormat="1" applyFont="1" applyBorder="1" applyAlignment="1">
      <alignment horizontal="right"/>
    </xf>
    <xf numFmtId="0" fontId="5" fillId="2" borderId="41" xfId="0" applyNumberFormat="1" applyFont="1" applyFill="1" applyBorder="1" applyAlignment="1"/>
    <xf numFmtId="0" fontId="3" fillId="0" borderId="42" xfId="0" applyFont="1" applyBorder="1" applyAlignment="1">
      <alignment horizontal="center"/>
    </xf>
    <xf numFmtId="171" fontId="23" fillId="2" borderId="43" xfId="0" applyNumberFormat="1" applyFont="1" applyFill="1" applyBorder="1" applyAlignment="1">
      <alignment horizontal="right"/>
    </xf>
    <xf numFmtId="0" fontId="5" fillId="2" borderId="47" xfId="0" applyNumberFormat="1" applyFont="1" applyFill="1" applyBorder="1" applyAlignment="1"/>
    <xf numFmtId="0" fontId="3" fillId="2" borderId="48" xfId="0" applyNumberFormat="1" applyFont="1" applyFill="1" applyBorder="1" applyAlignment="1">
      <alignment horizontal="center"/>
    </xf>
    <xf numFmtId="0" fontId="5" fillId="0" borderId="41" xfId="0" applyFont="1" applyFill="1" applyBorder="1" applyAlignment="1">
      <alignment horizontal="left"/>
    </xf>
    <xf numFmtId="0" fontId="5" fillId="0" borderId="44" xfId="0" applyFont="1" applyFill="1" applyBorder="1"/>
    <xf numFmtId="0" fontId="23" fillId="0" borderId="32" xfId="0" applyFont="1" applyFill="1" applyBorder="1" applyAlignment="1">
      <alignment horizontal="right"/>
    </xf>
    <xf numFmtId="0" fontId="5" fillId="0" borderId="46" xfId="0" applyFont="1" applyFill="1" applyBorder="1" applyAlignment="1">
      <alignment horizontal="left"/>
    </xf>
    <xf numFmtId="0" fontId="3" fillId="2" borderId="36" xfId="0" applyNumberFormat="1" applyFont="1" applyFill="1" applyBorder="1" applyAlignment="1">
      <alignment horizontal="center"/>
    </xf>
    <xf numFmtId="164" fontId="23" fillId="0" borderId="40" xfId="0" applyNumberFormat="1" applyFont="1" applyFill="1" applyBorder="1" applyAlignment="1">
      <alignment horizontal="right"/>
    </xf>
    <xf numFmtId="0" fontId="5" fillId="0" borderId="41" xfId="0" applyFont="1" applyFill="1" applyBorder="1"/>
    <xf numFmtId="169" fontId="5" fillId="0" borderId="32" xfId="0" applyNumberFormat="1" applyFont="1" applyFill="1" applyBorder="1" applyAlignment="1">
      <alignment horizontal="right"/>
    </xf>
    <xf numFmtId="0" fontId="5" fillId="2" borderId="50" xfId="0" applyNumberFormat="1" applyFont="1" applyFill="1" applyBorder="1" applyAlignment="1"/>
    <xf numFmtId="169" fontId="23" fillId="2" borderId="45" xfId="0" applyNumberFormat="1" applyFont="1" applyFill="1" applyBorder="1" applyAlignment="1">
      <alignment horizontal="right"/>
    </xf>
    <xf numFmtId="164" fontId="23" fillId="2" borderId="45" xfId="2" applyNumberFormat="1" applyFont="1" applyFill="1" applyBorder="1" applyAlignment="1">
      <alignment horizontal="right"/>
    </xf>
    <xf numFmtId="0" fontId="5" fillId="0" borderId="46" xfId="0" applyFont="1" applyFill="1" applyBorder="1"/>
    <xf numFmtId="169" fontId="5" fillId="0" borderId="40" xfId="0" applyNumberFormat="1" applyFont="1" applyFill="1" applyBorder="1" applyAlignment="1">
      <alignment horizontal="right"/>
    </xf>
    <xf numFmtId="174" fontId="23" fillId="0" borderId="43" xfId="5" applyNumberFormat="1" applyFont="1" applyFill="1" applyBorder="1" applyAlignment="1">
      <alignment horizontal="right"/>
    </xf>
    <xf numFmtId="164" fontId="23" fillId="0" borderId="32" xfId="2" applyNumberFormat="1" applyFont="1" applyFill="1" applyBorder="1" applyAlignment="1">
      <alignment horizontal="right"/>
    </xf>
    <xf numFmtId="3" fontId="5" fillId="0" borderId="32" xfId="0" applyNumberFormat="1" applyFont="1" applyFill="1" applyBorder="1" applyAlignment="1">
      <alignment horizontal="right"/>
    </xf>
    <xf numFmtId="0" fontId="23" fillId="0" borderId="40" xfId="0" applyFont="1" applyFill="1" applyBorder="1" applyAlignment="1">
      <alignment horizontal="right"/>
    </xf>
    <xf numFmtId="0" fontId="23" fillId="0" borderId="43" xfId="0" applyFont="1" applyFill="1" applyBorder="1" applyAlignment="1">
      <alignment horizontal="right"/>
    </xf>
    <xf numFmtId="0" fontId="5" fillId="0" borderId="44" xfId="0" applyFont="1" applyFill="1" applyBorder="1" applyAlignment="1">
      <alignment horizontal="left"/>
    </xf>
    <xf numFmtId="164" fontId="23" fillId="2" borderId="32" xfId="2" applyNumberFormat="1" applyFont="1" applyFill="1" applyBorder="1" applyAlignment="1">
      <alignment horizontal="right"/>
    </xf>
    <xf numFmtId="9" fontId="23" fillId="2" borderId="43" xfId="2" applyNumberFormat="1" applyFont="1" applyFill="1" applyBorder="1" applyAlignment="1">
      <alignment horizontal="right"/>
    </xf>
    <xf numFmtId="10" fontId="23" fillId="2" borderId="49" xfId="2" applyNumberFormat="1" applyFont="1" applyFill="1" applyBorder="1" applyAlignment="1">
      <alignment horizontal="right"/>
    </xf>
    <xf numFmtId="0" fontId="5" fillId="0" borderId="44" xfId="0" applyNumberFormat="1" applyFont="1" applyFill="1" applyBorder="1" applyAlignment="1"/>
    <xf numFmtId="2" fontId="5" fillId="0" borderId="32" xfId="2" applyNumberFormat="1" applyFont="1" applyFill="1" applyBorder="1" applyAlignment="1">
      <alignment horizontal="right"/>
    </xf>
    <xf numFmtId="2" fontId="2" fillId="12" borderId="32" xfId="2" applyNumberFormat="1" applyFont="1" applyFill="1" applyBorder="1" applyAlignment="1">
      <alignment horizontal="right"/>
    </xf>
    <xf numFmtId="2" fontId="23" fillId="0" borderId="32" xfId="2" applyNumberFormat="1" applyFont="1" applyFill="1" applyBorder="1" applyAlignment="1">
      <alignment horizontal="right"/>
    </xf>
    <xf numFmtId="2" fontId="2" fillId="12" borderId="40" xfId="2" applyNumberFormat="1" applyFont="1" applyFill="1" applyBorder="1" applyAlignment="1">
      <alignment horizontal="right"/>
    </xf>
    <xf numFmtId="0" fontId="2" fillId="5" borderId="23" xfId="0" applyNumberFormat="1" applyFont="1" applyFill="1" applyBorder="1" applyAlignment="1"/>
    <xf numFmtId="0" fontId="20" fillId="5" borderId="10" xfId="0" applyNumberFormat="1" applyFont="1" applyFill="1" applyBorder="1" applyAlignment="1">
      <alignment horizontal="center"/>
    </xf>
    <xf numFmtId="166" fontId="20" fillId="5" borderId="24" xfId="0" applyNumberFormat="1" applyFont="1" applyFill="1" applyBorder="1" applyAlignment="1">
      <alignment horizontal="center"/>
    </xf>
    <xf numFmtId="0" fontId="5" fillId="0" borderId="50" xfId="0" applyNumberFormat="1" applyFont="1" applyFill="1" applyBorder="1" applyAlignment="1"/>
    <xf numFmtId="2" fontId="23" fillId="0" borderId="45" xfId="2" applyNumberFormat="1" applyFont="1" applyFill="1" applyBorder="1" applyAlignment="1">
      <alignment horizontal="right"/>
    </xf>
    <xf numFmtId="10" fontId="23" fillId="2" borderId="32" xfId="2" applyNumberFormat="1" applyFont="1" applyFill="1" applyBorder="1" applyAlignment="1">
      <alignment horizontal="right"/>
    </xf>
    <xf numFmtId="0" fontId="5" fillId="2" borderId="46" xfId="0" applyNumberFormat="1" applyFont="1" applyFill="1" applyBorder="1" applyAlignment="1"/>
    <xf numFmtId="164" fontId="23" fillId="2" borderId="40" xfId="2" applyNumberFormat="1" applyFont="1" applyFill="1" applyBorder="1" applyAlignment="1">
      <alignment horizontal="right"/>
    </xf>
    <xf numFmtId="9" fontId="5" fillId="2" borderId="43" xfId="2" applyNumberFormat="1" applyFont="1" applyFill="1" applyBorder="1" applyAlignment="1">
      <alignment horizontal="right"/>
    </xf>
    <xf numFmtId="0" fontId="5" fillId="0" borderId="47" xfId="0" applyFont="1" applyFill="1" applyBorder="1"/>
    <xf numFmtId="10" fontId="5" fillId="2" borderId="43" xfId="2" applyNumberFormat="1" applyFont="1" applyFill="1" applyBorder="1" applyAlignment="1">
      <alignment horizontal="right"/>
    </xf>
    <xf numFmtId="169" fontId="23" fillId="2" borderId="40" xfId="0" applyNumberFormat="1" applyFont="1" applyFill="1" applyBorder="1" applyAlignment="1">
      <alignment horizontal="right"/>
    </xf>
    <xf numFmtId="169" fontId="5" fillId="0" borderId="43" xfId="0" applyNumberFormat="1" applyFont="1" applyFill="1" applyBorder="1" applyAlignment="1">
      <alignment horizontal="right"/>
    </xf>
    <xf numFmtId="0" fontId="5" fillId="2" borderId="51" xfId="0" applyNumberFormat="1" applyFont="1" applyFill="1" applyBorder="1" applyAlignment="1"/>
    <xf numFmtId="0" fontId="2" fillId="0" borderId="47" xfId="0" applyFont="1" applyFill="1" applyBorder="1"/>
    <xf numFmtId="169" fontId="2" fillId="0" borderId="49" xfId="0" applyNumberFormat="1" applyFont="1" applyFill="1" applyBorder="1"/>
    <xf numFmtId="9" fontId="23" fillId="6" borderId="43" xfId="2" applyFont="1" applyFill="1" applyBorder="1" applyAlignment="1">
      <alignment horizontal="center"/>
    </xf>
    <xf numFmtId="164" fontId="23" fillId="0" borderId="45" xfId="2" applyNumberFormat="1" applyFont="1" applyFill="1" applyBorder="1" applyAlignment="1">
      <alignment horizontal="right"/>
    </xf>
    <xf numFmtId="0" fontId="5" fillId="0" borderId="36" xfId="0" applyFont="1" applyFill="1" applyBorder="1"/>
    <xf numFmtId="0" fontId="3" fillId="0" borderId="40" xfId="0" applyFont="1" applyFill="1" applyBorder="1" applyAlignment="1">
      <alignment horizontal="center"/>
    </xf>
    <xf numFmtId="164" fontId="23" fillId="0" borderId="40" xfId="2" applyNumberFormat="1" applyFont="1" applyFill="1" applyBorder="1" applyAlignment="1">
      <alignment horizontal="right"/>
    </xf>
    <xf numFmtId="0" fontId="67" fillId="5" borderId="41" xfId="0" applyFont="1" applyFill="1" applyBorder="1"/>
    <xf numFmtId="0" fontId="67" fillId="5" borderId="42" xfId="0" applyFont="1" applyFill="1" applyBorder="1"/>
    <xf numFmtId="2" fontId="15" fillId="5" borderId="43" xfId="0" applyNumberFormat="1" applyFont="1" applyFill="1" applyBorder="1" applyAlignment="1">
      <alignment horizontal="center"/>
    </xf>
    <xf numFmtId="0" fontId="67" fillId="5" borderId="44" xfId="0" applyFont="1" applyFill="1" applyBorder="1"/>
    <xf numFmtId="2" fontId="15" fillId="5" borderId="45" xfId="0" applyNumberFormat="1" applyFont="1" applyFill="1" applyBorder="1" applyAlignment="1">
      <alignment horizontal="right"/>
    </xf>
    <xf numFmtId="0" fontId="67" fillId="5" borderId="54" xfId="0" applyFont="1" applyFill="1" applyBorder="1"/>
    <xf numFmtId="164" fontId="15" fillId="5" borderId="55" xfId="2" applyNumberFormat="1" applyFont="1" applyFill="1" applyBorder="1" applyAlignment="1">
      <alignment horizontal="right"/>
    </xf>
    <xf numFmtId="0" fontId="73" fillId="5" borderId="56" xfId="3" applyFont="1" applyFill="1" applyBorder="1" applyAlignment="1" applyProtection="1"/>
    <xf numFmtId="0" fontId="5" fillId="5" borderId="38" xfId="0" applyFont="1" applyFill="1" applyBorder="1"/>
    <xf numFmtId="0" fontId="5" fillId="5" borderId="57" xfId="0" applyFont="1" applyFill="1" applyBorder="1"/>
    <xf numFmtId="0" fontId="23" fillId="6" borderId="43" xfId="0" applyFont="1" applyFill="1" applyBorder="1" applyAlignment="1">
      <alignment horizontal="center"/>
    </xf>
    <xf numFmtId="9" fontId="23" fillId="0" borderId="45" xfId="2" applyFont="1" applyFill="1" applyBorder="1" applyAlignment="1">
      <alignment horizontal="right"/>
    </xf>
    <xf numFmtId="0" fontId="23" fillId="6" borderId="32" xfId="0" applyFont="1" applyFill="1" applyBorder="1" applyAlignment="1">
      <alignment horizontal="center"/>
    </xf>
    <xf numFmtId="2" fontId="23" fillId="2" borderId="32" xfId="0" applyNumberFormat="1" applyFont="1" applyFill="1" applyBorder="1" applyAlignment="1">
      <alignment horizontal="right"/>
    </xf>
    <xf numFmtId="0" fontId="5" fillId="0" borderId="56" xfId="0" applyFont="1" applyFill="1" applyBorder="1"/>
    <xf numFmtId="0" fontId="2" fillId="0" borderId="41" xfId="0" applyFont="1" applyFill="1" applyBorder="1"/>
    <xf numFmtId="0" fontId="3" fillId="0" borderId="42" xfId="0" applyFont="1" applyFill="1" applyBorder="1" applyAlignment="1">
      <alignment horizontal="center"/>
    </xf>
    <xf numFmtId="6" fontId="23" fillId="0" borderId="43" xfId="0" applyNumberFormat="1" applyFont="1" applyFill="1" applyBorder="1" applyAlignment="1">
      <alignment horizontal="right"/>
    </xf>
    <xf numFmtId="9" fontId="23" fillId="6" borderId="49" xfId="2" applyFont="1" applyFill="1" applyBorder="1" applyAlignment="1">
      <alignment horizontal="center"/>
    </xf>
    <xf numFmtId="0" fontId="5" fillId="0" borderId="50" xfId="0" applyFont="1" applyFill="1" applyBorder="1"/>
    <xf numFmtId="169" fontId="5" fillId="0" borderId="49" xfId="2" applyNumberFormat="1" applyFont="1" applyFill="1" applyBorder="1" applyAlignment="1">
      <alignment horizontal="right"/>
    </xf>
    <xf numFmtId="0" fontId="5" fillId="0" borderId="42" xfId="0" applyFont="1" applyFill="1" applyBorder="1"/>
    <xf numFmtId="9" fontId="23" fillId="0" borderId="43" xfId="2" applyFont="1" applyFill="1" applyBorder="1" applyAlignment="1">
      <alignment horizontal="right"/>
    </xf>
    <xf numFmtId="0" fontId="3" fillId="0" borderId="36" xfId="0" applyFont="1" applyFill="1" applyBorder="1" applyAlignment="1">
      <alignment horizontal="center"/>
    </xf>
    <xf numFmtId="0" fontId="5" fillId="0" borderId="61" xfId="0" applyFont="1" applyFill="1" applyBorder="1"/>
    <xf numFmtId="0" fontId="5" fillId="0" borderId="62" xfId="0" applyFont="1" applyFill="1" applyBorder="1"/>
    <xf numFmtId="0" fontId="5" fillId="0" borderId="50" xfId="0" applyFont="1" applyFill="1" applyBorder="1" applyAlignment="1">
      <alignment horizontal="left"/>
    </xf>
    <xf numFmtId="1" fontId="23" fillId="0" borderId="45" xfId="0" applyNumberFormat="1" applyFont="1" applyFill="1" applyBorder="1" applyAlignment="1">
      <alignment horizontal="right"/>
    </xf>
    <xf numFmtId="169" fontId="23" fillId="2" borderId="49" xfId="0" applyNumberFormat="1" applyFont="1" applyFill="1" applyBorder="1" applyAlignment="1">
      <alignment horizontal="right"/>
    </xf>
    <xf numFmtId="0" fontId="20" fillId="0" borderId="58" xfId="0" applyFont="1" applyFill="1" applyBorder="1" applyAlignment="1">
      <alignment horizontal="left"/>
    </xf>
    <xf numFmtId="0" fontId="2" fillId="0" borderId="61" xfId="0" applyFont="1" applyFill="1" applyBorder="1" applyAlignment="1">
      <alignment horizontal="center"/>
    </xf>
    <xf numFmtId="0" fontId="2" fillId="0" borderId="62" xfId="0" applyFont="1" applyFill="1" applyBorder="1" applyAlignment="1">
      <alignment horizontal="center"/>
    </xf>
    <xf numFmtId="0" fontId="5" fillId="0" borderId="53" xfId="0" applyFont="1" applyFill="1" applyBorder="1" applyAlignment="1">
      <alignment horizontal="left"/>
    </xf>
    <xf numFmtId="0" fontId="20" fillId="0" borderId="58" xfId="0" applyFont="1" applyFill="1" applyBorder="1"/>
    <xf numFmtId="6" fontId="5" fillId="0" borderId="40" xfId="0" applyNumberFormat="1" applyFont="1" applyFill="1" applyBorder="1" applyAlignment="1">
      <alignment horizontal="right"/>
    </xf>
    <xf numFmtId="0" fontId="5" fillId="0" borderId="62" xfId="0" applyFont="1" applyFill="1" applyBorder="1" applyAlignment="1">
      <alignment horizontal="right"/>
    </xf>
    <xf numFmtId="164" fontId="23" fillId="0" borderId="31" xfId="0" applyNumberFormat="1" applyFont="1" applyFill="1" applyBorder="1" applyAlignment="1">
      <alignment horizontal="right"/>
    </xf>
    <xf numFmtId="0" fontId="20" fillId="0" borderId="1" xfId="0" applyFont="1" applyFill="1" applyBorder="1"/>
    <xf numFmtId="9" fontId="23" fillId="0" borderId="40" xfId="0" applyNumberFormat="1" applyFont="1" applyFill="1" applyBorder="1" applyAlignment="1">
      <alignment horizontal="right"/>
    </xf>
    <xf numFmtId="0" fontId="2" fillId="0" borderId="30" xfId="0" applyFont="1" applyFill="1" applyBorder="1" applyAlignment="1">
      <alignment horizontal="left"/>
    </xf>
    <xf numFmtId="0" fontId="21" fillId="0" borderId="29" xfId="0" applyFont="1" applyFill="1" applyBorder="1" applyAlignment="1">
      <alignment horizontal="center"/>
    </xf>
    <xf numFmtId="0" fontId="21" fillId="0" borderId="31" xfId="0" applyFont="1" applyFill="1" applyBorder="1" applyAlignment="1">
      <alignment horizontal="center"/>
    </xf>
    <xf numFmtId="0" fontId="5" fillId="0" borderId="30" xfId="0" applyFont="1" applyFill="1" applyBorder="1" applyAlignment="1">
      <alignment horizontal="left" indent="1"/>
    </xf>
    <xf numFmtId="164" fontId="23" fillId="0" borderId="29" xfId="2" applyNumberFormat="1" applyFont="1" applyFill="1" applyBorder="1" applyAlignment="1">
      <alignment horizontal="center"/>
    </xf>
    <xf numFmtId="164" fontId="23" fillId="0" borderId="31" xfId="2" applyNumberFormat="1" applyFont="1" applyFill="1" applyBorder="1" applyAlignment="1">
      <alignment horizontal="center"/>
    </xf>
    <xf numFmtId="0" fontId="5" fillId="0" borderId="41" xfId="0" applyFont="1" applyFill="1" applyBorder="1" applyAlignment="1">
      <alignment horizontal="left" indent="1"/>
    </xf>
    <xf numFmtId="164" fontId="23" fillId="0" borderId="42" xfId="2" applyNumberFormat="1" applyFont="1" applyFill="1" applyBorder="1" applyAlignment="1">
      <alignment horizontal="center"/>
    </xf>
    <xf numFmtId="164" fontId="23" fillId="0" borderId="43" xfId="2" applyNumberFormat="1" applyFont="1" applyFill="1" applyBorder="1" applyAlignment="1">
      <alignment horizontal="center"/>
    </xf>
    <xf numFmtId="0" fontId="5" fillId="0" borderId="44" xfId="0" applyFont="1" applyFill="1" applyBorder="1" applyAlignment="1">
      <alignment horizontal="left" indent="1"/>
    </xf>
    <xf numFmtId="164" fontId="23" fillId="0" borderId="32" xfId="2" applyNumberFormat="1" applyFont="1" applyFill="1" applyBorder="1" applyAlignment="1">
      <alignment horizontal="center"/>
    </xf>
    <xf numFmtId="0" fontId="5" fillId="0" borderId="46" xfId="0" applyFont="1" applyFill="1" applyBorder="1" applyAlignment="1">
      <alignment horizontal="left" indent="1"/>
    </xf>
    <xf numFmtId="164" fontId="23" fillId="0" borderId="36" xfId="2" applyNumberFormat="1" applyFont="1" applyFill="1" applyBorder="1" applyAlignment="1">
      <alignment horizontal="center"/>
    </xf>
    <xf numFmtId="164" fontId="23" fillId="0" borderId="40" xfId="2" applyNumberFormat="1" applyFont="1" applyFill="1" applyBorder="1" applyAlignment="1">
      <alignment horizontal="center"/>
    </xf>
    <xf numFmtId="0" fontId="74" fillId="0" borderId="30" xfId="3" applyFont="1" applyFill="1" applyBorder="1" applyAlignment="1" applyProtection="1"/>
    <xf numFmtId="0" fontId="2" fillId="0" borderId="29" xfId="0" applyFont="1" applyFill="1" applyBorder="1"/>
    <xf numFmtId="0" fontId="2" fillId="0" borderId="63" xfId="0" applyFont="1" applyFill="1" applyBorder="1"/>
    <xf numFmtId="0" fontId="2" fillId="0" borderId="31" xfId="0" applyFont="1" applyFill="1" applyBorder="1"/>
    <xf numFmtId="0" fontId="5" fillId="0" borderId="29" xfId="0" applyFont="1" applyBorder="1"/>
    <xf numFmtId="9" fontId="23" fillId="6" borderId="31" xfId="2" applyFont="1" applyFill="1" applyBorder="1" applyAlignment="1">
      <alignment horizontal="center"/>
    </xf>
    <xf numFmtId="164" fontId="23" fillId="0" borderId="43" xfId="2" applyNumberFormat="1" applyFont="1" applyFill="1" applyBorder="1" applyAlignment="1">
      <alignment horizontal="right"/>
    </xf>
    <xf numFmtId="0" fontId="5" fillId="0" borderId="39" xfId="0" applyFont="1" applyFill="1" applyBorder="1"/>
    <xf numFmtId="0" fontId="5" fillId="0" borderId="65" xfId="0" applyFont="1" applyFill="1" applyBorder="1"/>
    <xf numFmtId="0" fontId="3" fillId="2" borderId="21" xfId="0" applyNumberFormat="1" applyFont="1" applyFill="1" applyBorder="1" applyAlignment="1">
      <alignment horizontal="center"/>
    </xf>
    <xf numFmtId="10" fontId="3" fillId="0" borderId="66" xfId="2" applyNumberFormat="1" applyFont="1" applyFill="1" applyBorder="1" applyAlignment="1">
      <alignment horizontal="right"/>
    </xf>
    <xf numFmtId="0" fontId="5" fillId="0" borderId="67" xfId="0" applyFont="1" applyBorder="1"/>
    <xf numFmtId="0" fontId="3" fillId="2" borderId="68" xfId="0" applyNumberFormat="1" applyFont="1" applyFill="1" applyBorder="1" applyAlignment="1">
      <alignment horizontal="center"/>
    </xf>
    <xf numFmtId="2" fontId="23" fillId="6" borderId="69" xfId="0" applyNumberFormat="1" applyFont="1" applyFill="1" applyBorder="1" applyAlignment="1">
      <alignment horizontal="center"/>
    </xf>
    <xf numFmtId="1" fontId="23" fillId="0" borderId="43" xfId="0" applyNumberFormat="1" applyFont="1" applyFill="1" applyBorder="1" applyAlignment="1">
      <alignment horizontal="right"/>
    </xf>
    <xf numFmtId="0" fontId="3" fillId="8" borderId="0" xfId="0" applyNumberFormat="1" applyFont="1" applyFill="1" applyAlignment="1">
      <alignment horizontal="right" indent="1"/>
    </xf>
    <xf numFmtId="0" fontId="8" fillId="8" borderId="0" xfId="0" applyNumberFormat="1" applyFont="1" applyFill="1" applyAlignment="1">
      <alignment horizontal="center"/>
    </xf>
    <xf numFmtId="0" fontId="83" fillId="8" borderId="25" xfId="0" applyFont="1" applyFill="1" applyBorder="1" applyAlignment="1">
      <alignment horizontal="center" vertical="center"/>
    </xf>
    <xf numFmtId="0" fontId="5" fillId="14" borderId="0" xfId="0" applyFont="1" applyFill="1" applyBorder="1"/>
    <xf numFmtId="0" fontId="70" fillId="14" borderId="0" xfId="0" applyFont="1" applyFill="1" applyBorder="1" applyAlignment="1"/>
    <xf numFmtId="0" fontId="2" fillId="14" borderId="0" xfId="0" applyFont="1" applyFill="1" applyBorder="1" applyAlignment="1">
      <alignment horizontal="center"/>
    </xf>
    <xf numFmtId="0" fontId="28" fillId="8" borderId="8" xfId="0" applyFont="1" applyFill="1" applyBorder="1" applyAlignment="1">
      <alignment horizontal="left" vertical="center" wrapText="1"/>
    </xf>
    <xf numFmtId="0" fontId="87" fillId="8" borderId="0" xfId="3" applyFont="1" applyFill="1" applyBorder="1" applyAlignment="1" applyProtection="1"/>
    <xf numFmtId="0" fontId="59" fillId="14" borderId="0" xfId="0" applyFont="1" applyFill="1" applyBorder="1"/>
    <xf numFmtId="0" fontId="86" fillId="14" borderId="0" xfId="0" applyFont="1" applyFill="1" applyBorder="1"/>
    <xf numFmtId="0" fontId="52" fillId="14" borderId="0" xfId="0" applyFont="1" applyFill="1" applyBorder="1"/>
    <xf numFmtId="0" fontId="16" fillId="14" borderId="0" xfId="3" applyFill="1" applyBorder="1" applyAlignment="1" applyProtection="1"/>
    <xf numFmtId="0" fontId="5" fillId="14" borderId="0" xfId="0" applyNumberFormat="1" applyFont="1" applyFill="1" applyBorder="1" applyAlignment="1"/>
    <xf numFmtId="0" fontId="2" fillId="0" borderId="23" xfId="0" applyFont="1" applyFill="1" applyBorder="1"/>
    <xf numFmtId="0" fontId="5" fillId="0" borderId="70" xfId="0" applyFont="1" applyFill="1" applyBorder="1"/>
    <xf numFmtId="0" fontId="23" fillId="6" borderId="69" xfId="0" applyFont="1" applyFill="1" applyBorder="1" applyAlignment="1">
      <alignment horizontal="center"/>
    </xf>
    <xf numFmtId="0" fontId="23" fillId="6" borderId="45" xfId="0" applyFont="1" applyFill="1" applyBorder="1" applyAlignment="1">
      <alignment horizontal="center"/>
    </xf>
    <xf numFmtId="6" fontId="5" fillId="0" borderId="40" xfId="0" applyNumberFormat="1" applyFont="1" applyFill="1" applyBorder="1"/>
    <xf numFmtId="9" fontId="3" fillId="2" borderId="4" xfId="2" applyFont="1" applyFill="1" applyBorder="1" applyAlignment="1">
      <alignment horizontal="center"/>
    </xf>
    <xf numFmtId="9" fontId="3" fillId="2" borderId="68" xfId="2" applyFont="1" applyFill="1" applyBorder="1" applyAlignment="1">
      <alignment horizontal="center"/>
    </xf>
    <xf numFmtId="0" fontId="87" fillId="8" borderId="0" xfId="3" applyFont="1" applyFill="1" applyBorder="1" applyAlignment="1" applyProtection="1">
      <alignment vertical="center" wrapText="1"/>
    </xf>
    <xf numFmtId="0" fontId="88" fillId="8" borderId="0" xfId="0" applyFont="1" applyFill="1" applyBorder="1" applyAlignment="1">
      <alignment wrapText="1"/>
    </xf>
    <xf numFmtId="0" fontId="28" fillId="8" borderId="23" xfId="0" applyFont="1" applyFill="1" applyBorder="1" applyAlignment="1">
      <alignment vertical="center" wrapText="1"/>
    </xf>
    <xf numFmtId="0" fontId="44" fillId="8" borderId="10" xfId="0" applyFont="1" applyFill="1" applyBorder="1" applyAlignment="1">
      <alignment vertical="center" wrapText="1"/>
    </xf>
    <xf numFmtId="9" fontId="3" fillId="2" borderId="28" xfId="2" applyFont="1" applyFill="1" applyBorder="1" applyAlignment="1">
      <alignment horizontal="center"/>
    </xf>
    <xf numFmtId="6" fontId="5" fillId="0" borderId="52" xfId="0" applyNumberFormat="1" applyFont="1" applyFill="1" applyBorder="1" applyAlignment="1">
      <alignment horizontal="right"/>
    </xf>
    <xf numFmtId="0" fontId="5" fillId="0" borderId="46" xfId="0" applyFont="1" applyBorder="1"/>
    <xf numFmtId="0" fontId="48" fillId="0" borderId="0" xfId="0" applyFont="1" applyBorder="1" applyAlignment="1">
      <alignment horizontal="center"/>
    </xf>
    <xf numFmtId="40" fontId="3" fillId="0" borderId="0" xfId="0" applyNumberFormat="1" applyFont="1" applyAlignment="1">
      <alignment horizontal="center"/>
    </xf>
    <xf numFmtId="0" fontId="89" fillId="0" borderId="17" xfId="0" applyFont="1" applyBorder="1"/>
    <xf numFmtId="0" fontId="50" fillId="0" borderId="9" xfId="0" applyFont="1" applyBorder="1"/>
    <xf numFmtId="0" fontId="54" fillId="0" borderId="0" xfId="0" applyFont="1" applyBorder="1" applyAlignment="1">
      <alignment horizontal="right"/>
    </xf>
    <xf numFmtId="9" fontId="48" fillId="0" borderId="21" xfId="2" applyNumberFormat="1" applyFont="1" applyBorder="1" applyAlignment="1">
      <alignment horizontal="center"/>
    </xf>
    <xf numFmtId="40" fontId="48" fillId="0" borderId="21" xfId="0" applyNumberFormat="1" applyFont="1" applyBorder="1" applyAlignment="1">
      <alignment horizontal="center"/>
    </xf>
    <xf numFmtId="0" fontId="54" fillId="0" borderId="0" xfId="0" applyFont="1" applyFill="1" applyBorder="1" applyAlignment="1">
      <alignment horizontal="center"/>
    </xf>
    <xf numFmtId="0" fontId="43" fillId="0" borderId="17" xfId="0" applyFont="1" applyFill="1" applyBorder="1"/>
    <xf numFmtId="0" fontId="50" fillId="0" borderId="6" xfId="0" applyFont="1" applyFill="1" applyBorder="1" applyAlignment="1">
      <alignment horizontal="center"/>
    </xf>
    <xf numFmtId="0" fontId="2" fillId="0" borderId="67" xfId="0" applyFont="1" applyFill="1" applyBorder="1"/>
    <xf numFmtId="6" fontId="23" fillId="0" borderId="32" xfId="0" applyNumberFormat="1" applyFont="1" applyFill="1" applyBorder="1" applyAlignment="1">
      <alignment horizontal="right"/>
    </xf>
    <xf numFmtId="169" fontId="23" fillId="0" borderId="32" xfId="0" applyNumberFormat="1" applyFont="1" applyFill="1" applyBorder="1" applyAlignment="1">
      <alignment horizontal="right"/>
    </xf>
    <xf numFmtId="6" fontId="23" fillId="0" borderId="69" xfId="0" applyNumberFormat="1" applyFont="1" applyFill="1" applyBorder="1" applyAlignment="1">
      <alignment horizontal="right"/>
    </xf>
    <xf numFmtId="9" fontId="23" fillId="6" borderId="32" xfId="2" applyFont="1" applyFill="1" applyBorder="1" applyAlignment="1">
      <alignment horizontal="center"/>
    </xf>
    <xf numFmtId="0" fontId="92" fillId="0" borderId="0" xfId="0" applyFont="1" applyBorder="1" applyAlignment="1">
      <alignment horizontal="center" vertical="center"/>
    </xf>
    <xf numFmtId="2" fontId="49" fillId="0" borderId="17" xfId="0" applyNumberFormat="1" applyFont="1" applyFill="1" applyBorder="1" applyAlignment="1">
      <alignment horizontal="center" vertical="center"/>
    </xf>
    <xf numFmtId="0" fontId="49" fillId="0" borderId="17" xfId="0" applyFont="1" applyBorder="1" applyAlignment="1">
      <alignment horizontal="center" vertical="center"/>
    </xf>
    <xf numFmtId="0" fontId="93" fillId="0" borderId="17" xfId="0" applyFont="1" applyFill="1" applyBorder="1" applyAlignment="1">
      <alignment horizontal="center" vertical="center"/>
    </xf>
    <xf numFmtId="0" fontId="93" fillId="0" borderId="0" xfId="0" applyFont="1" applyAlignment="1">
      <alignment horizontal="center" vertical="center"/>
    </xf>
    <xf numFmtId="0" fontId="49" fillId="0" borderId="12" xfId="0" applyFont="1" applyBorder="1" applyAlignment="1">
      <alignment horizontal="center" vertical="center"/>
    </xf>
    <xf numFmtId="0" fontId="92" fillId="0" borderId="14" xfId="0" applyFont="1" applyBorder="1" applyAlignment="1">
      <alignment horizontal="center" vertical="center"/>
    </xf>
    <xf numFmtId="2" fontId="49" fillId="0" borderId="4" xfId="0" applyNumberFormat="1" applyFont="1" applyFill="1" applyBorder="1" applyAlignment="1">
      <alignment horizontal="center" vertical="center"/>
    </xf>
    <xf numFmtId="0" fontId="93" fillId="0" borderId="0" xfId="0" applyFont="1" applyFill="1" applyBorder="1" applyAlignment="1">
      <alignment horizontal="center" vertical="center"/>
    </xf>
    <xf numFmtId="164" fontId="23" fillId="0" borderId="12" xfId="2" applyNumberFormat="1" applyFont="1" applyFill="1" applyBorder="1" applyAlignment="1">
      <alignment horizontal="center"/>
    </xf>
    <xf numFmtId="164" fontId="23" fillId="0" borderId="37" xfId="2" applyNumberFormat="1" applyFont="1" applyFill="1" applyBorder="1" applyAlignment="1">
      <alignment horizontal="center"/>
    </xf>
    <xf numFmtId="0" fontId="21" fillId="0" borderId="63" xfId="0" applyFont="1" applyFill="1" applyBorder="1" applyAlignment="1">
      <alignment horizontal="center"/>
    </xf>
    <xf numFmtId="164" fontId="23" fillId="0" borderId="63" xfId="2" applyNumberFormat="1" applyFont="1" applyFill="1" applyBorder="1" applyAlignment="1">
      <alignment horizontal="center"/>
    </xf>
    <xf numFmtId="164" fontId="23" fillId="0" borderId="64" xfId="2" applyNumberFormat="1" applyFont="1" applyFill="1" applyBorder="1" applyAlignment="1">
      <alignment horizontal="center"/>
    </xf>
    <xf numFmtId="0" fontId="58" fillId="0" borderId="0" xfId="0" applyFont="1" applyFill="1" applyBorder="1" applyAlignment="1">
      <alignment horizontal="center"/>
    </xf>
    <xf numFmtId="0" fontId="69" fillId="0" borderId="0" xfId="0" applyNumberFormat="1" applyFont="1" applyFill="1" applyBorder="1" applyAlignment="1"/>
    <xf numFmtId="0" fontId="95" fillId="0" borderId="0" xfId="0" applyNumberFormat="1" applyFont="1" applyFill="1" applyBorder="1" applyAlignment="1">
      <alignment horizontal="center"/>
    </xf>
    <xf numFmtId="9" fontId="58" fillId="0" borderId="0" xfId="2" applyFont="1" applyFill="1" applyBorder="1" applyAlignment="1">
      <alignment horizontal="right"/>
    </xf>
    <xf numFmtId="0" fontId="58" fillId="0" borderId="19" xfId="0" applyFont="1" applyFill="1" applyBorder="1" applyAlignment="1">
      <alignment horizontal="center"/>
    </xf>
    <xf numFmtId="0" fontId="69" fillId="0" borderId="11" xfId="0" applyFont="1" applyFill="1" applyBorder="1"/>
    <xf numFmtId="0" fontId="69" fillId="0" borderId="11" xfId="0" applyNumberFormat="1" applyFont="1" applyFill="1" applyBorder="1" applyAlignment="1"/>
    <xf numFmtId="0" fontId="95" fillId="0" borderId="11" xfId="0" applyNumberFormat="1" applyFont="1" applyFill="1" applyBorder="1" applyAlignment="1">
      <alignment horizontal="center"/>
    </xf>
    <xf numFmtId="9" fontId="58" fillId="0" borderId="11" xfId="2" applyFont="1" applyFill="1" applyBorder="1" applyAlignment="1">
      <alignment horizontal="right"/>
    </xf>
    <xf numFmtId="0" fontId="58" fillId="0" borderId="20" xfId="0" applyFont="1" applyFill="1" applyBorder="1" applyAlignment="1">
      <alignment horizontal="center"/>
    </xf>
    <xf numFmtId="0" fontId="58" fillId="0" borderId="17" xfId="0" applyFont="1" applyFill="1" applyBorder="1" applyAlignment="1">
      <alignment horizontal="center"/>
    </xf>
    <xf numFmtId="0" fontId="58" fillId="0" borderId="18" xfId="0" applyFont="1" applyFill="1" applyBorder="1" applyAlignment="1">
      <alignment horizontal="center"/>
    </xf>
    <xf numFmtId="0" fontId="58" fillId="0" borderId="15" xfId="0" applyFont="1" applyFill="1" applyBorder="1" applyAlignment="1">
      <alignment horizontal="center"/>
    </xf>
    <xf numFmtId="0" fontId="69" fillId="0" borderId="9" xfId="0" applyFont="1" applyFill="1" applyBorder="1"/>
    <xf numFmtId="0" fontId="95" fillId="0" borderId="9" xfId="0" applyNumberFormat="1" applyFont="1" applyFill="1" applyBorder="1" applyAlignment="1">
      <alignment horizontal="center"/>
    </xf>
    <xf numFmtId="9" fontId="58" fillId="0" borderId="9" xfId="2" applyFont="1" applyFill="1" applyBorder="1" applyAlignment="1">
      <alignment horizontal="right"/>
    </xf>
    <xf numFmtId="0" fontId="58" fillId="0" borderId="9" xfId="0" applyFont="1" applyFill="1" applyBorder="1" applyAlignment="1">
      <alignment horizontal="center"/>
    </xf>
    <xf numFmtId="0" fontId="58" fillId="0" borderId="16" xfId="0" applyFont="1" applyFill="1" applyBorder="1" applyAlignment="1">
      <alignment horizontal="center"/>
    </xf>
    <xf numFmtId="0" fontId="64" fillId="0" borderId="0" xfId="0" applyFont="1" applyFill="1" applyBorder="1" applyAlignment="1">
      <alignment horizontal="center"/>
    </xf>
    <xf numFmtId="0" fontId="7" fillId="5" borderId="2" xfId="0" applyFont="1" applyFill="1" applyBorder="1" applyAlignment="1">
      <alignment horizontal="center" vertical="center"/>
    </xf>
    <xf numFmtId="0" fontId="7" fillId="5" borderId="10" xfId="0" applyFont="1" applyFill="1" applyBorder="1" applyAlignment="1">
      <alignment horizontal="center" vertical="center"/>
    </xf>
    <xf numFmtId="164" fontId="23" fillId="0" borderId="12" xfId="2" applyNumberFormat="1" applyFont="1" applyFill="1" applyBorder="1" applyAlignment="1">
      <alignment horizontal="center"/>
    </xf>
    <xf numFmtId="164" fontId="23" fillId="0" borderId="13" xfId="2" applyNumberFormat="1" applyFont="1" applyFill="1" applyBorder="1" applyAlignment="1">
      <alignment horizontal="center"/>
    </xf>
    <xf numFmtId="164" fontId="23" fillId="0" borderId="14" xfId="2" applyNumberFormat="1" applyFont="1" applyFill="1" applyBorder="1" applyAlignment="1">
      <alignment horizontal="center"/>
    </xf>
    <xf numFmtId="164" fontId="23" fillId="0" borderId="37" xfId="2" applyNumberFormat="1" applyFont="1" applyFill="1" applyBorder="1" applyAlignment="1">
      <alignment horizontal="center"/>
    </xf>
    <xf numFmtId="164" fontId="23" fillId="0" borderId="38" xfId="2" applyNumberFormat="1" applyFont="1" applyFill="1" applyBorder="1" applyAlignment="1">
      <alignment horizontal="center"/>
    </xf>
    <xf numFmtId="164" fontId="23" fillId="0" borderId="39" xfId="2" applyNumberFormat="1" applyFont="1" applyFill="1" applyBorder="1" applyAlignment="1">
      <alignment horizontal="center"/>
    </xf>
    <xf numFmtId="0" fontId="2" fillId="0" borderId="63" xfId="0" applyFont="1" applyFill="1" applyBorder="1" applyAlignment="1">
      <alignment horizontal="center"/>
    </xf>
    <xf numFmtId="0" fontId="2" fillId="0" borderId="2" xfId="0" applyFont="1" applyFill="1" applyBorder="1" applyAlignment="1">
      <alignment horizontal="center"/>
    </xf>
    <xf numFmtId="0" fontId="2" fillId="0" borderId="60" xfId="0" applyFont="1" applyFill="1" applyBorder="1" applyAlignment="1">
      <alignment horizontal="center"/>
    </xf>
    <xf numFmtId="0" fontId="21" fillId="0" borderId="63" xfId="0" applyFont="1" applyFill="1" applyBorder="1" applyAlignment="1">
      <alignment horizontal="center"/>
    </xf>
    <xf numFmtId="0" fontId="21" fillId="0" borderId="2" xfId="0" applyFont="1" applyFill="1" applyBorder="1" applyAlignment="1">
      <alignment horizontal="center"/>
    </xf>
    <xf numFmtId="0" fontId="21" fillId="0" borderId="60" xfId="0" applyFont="1" applyFill="1" applyBorder="1" applyAlignment="1">
      <alignment horizontal="center"/>
    </xf>
    <xf numFmtId="164" fontId="23" fillId="0" borderId="63" xfId="2" applyNumberFormat="1" applyFont="1" applyFill="1" applyBorder="1" applyAlignment="1">
      <alignment horizontal="center"/>
    </xf>
    <xf numFmtId="164" fontId="23" fillId="0" borderId="2" xfId="2" applyNumberFormat="1" applyFont="1" applyFill="1" applyBorder="1" applyAlignment="1">
      <alignment horizontal="center"/>
    </xf>
    <xf numFmtId="164" fontId="23" fillId="0" borderId="60" xfId="2" applyNumberFormat="1" applyFont="1" applyFill="1" applyBorder="1" applyAlignment="1">
      <alignment horizontal="center"/>
    </xf>
    <xf numFmtId="164" fontId="23" fillId="0" borderId="64" xfId="2" applyNumberFormat="1" applyFont="1" applyFill="1" applyBorder="1" applyAlignment="1">
      <alignment horizontal="center"/>
    </xf>
    <xf numFmtId="164" fontId="23" fillId="0" borderId="61" xfId="2" applyNumberFormat="1" applyFont="1" applyFill="1" applyBorder="1" applyAlignment="1">
      <alignment horizontal="center"/>
    </xf>
    <xf numFmtId="164" fontId="23" fillId="0" borderId="59" xfId="2" applyNumberFormat="1" applyFont="1" applyFill="1" applyBorder="1" applyAlignment="1">
      <alignment horizontal="center"/>
    </xf>
    <xf numFmtId="0" fontId="53" fillId="0" borderId="12" xfId="0" applyFont="1" applyBorder="1" applyAlignment="1">
      <alignment horizontal="center" vertical="center" wrapText="1"/>
    </xf>
    <xf numFmtId="0" fontId="53" fillId="0" borderId="13" xfId="0" applyFont="1" applyBorder="1" applyAlignment="1">
      <alignment horizontal="center" vertical="center" wrapText="1"/>
    </xf>
    <xf numFmtId="0" fontId="53" fillId="0" borderId="14" xfId="0" applyFont="1" applyBorder="1" applyAlignment="1">
      <alignment horizontal="center" vertical="center" wrapText="1"/>
    </xf>
    <xf numFmtId="0" fontId="48" fillId="0" borderId="0" xfId="0" applyFont="1" applyBorder="1" applyAlignment="1">
      <alignment horizontal="center" vertical="center"/>
    </xf>
    <xf numFmtId="0" fontId="48" fillId="0" borderId="0" xfId="0" applyFont="1" applyBorder="1" applyAlignment="1">
      <alignment horizontal="center"/>
    </xf>
    <xf numFmtId="0" fontId="55" fillId="6" borderId="1" xfId="0" applyFont="1" applyFill="1" applyBorder="1" applyAlignment="1">
      <alignment horizontal="center" vertical="center" wrapText="1"/>
    </xf>
    <xf numFmtId="0" fontId="55" fillId="6" borderId="2" xfId="0" applyFont="1" applyFill="1" applyBorder="1" applyAlignment="1">
      <alignment horizontal="center" vertical="center" wrapText="1"/>
    </xf>
    <xf numFmtId="0" fontId="55" fillId="6" borderId="3" xfId="0" applyFont="1" applyFill="1" applyBorder="1" applyAlignment="1">
      <alignment horizontal="center" vertical="center" wrapText="1"/>
    </xf>
    <xf numFmtId="0" fontId="65" fillId="0" borderId="19" xfId="0" applyFont="1" applyBorder="1" applyAlignment="1">
      <alignment horizontal="center" vertical="center" wrapText="1"/>
    </xf>
    <xf numFmtId="0" fontId="65" fillId="0" borderId="15"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16" xfId="0" applyFont="1" applyBorder="1" applyAlignment="1">
      <alignment horizontal="center" vertical="center" wrapText="1"/>
    </xf>
    <xf numFmtId="0" fontId="65" fillId="0" borderId="12" xfId="0" applyFont="1" applyBorder="1" applyAlignment="1">
      <alignment horizontal="center"/>
    </xf>
    <xf numFmtId="0" fontId="65" fillId="0" borderId="14" xfId="0" applyFont="1" applyBorder="1" applyAlignment="1">
      <alignment horizontal="center"/>
    </xf>
    <xf numFmtId="0" fontId="2" fillId="8" borderId="0" xfId="0" applyNumberFormat="1" applyFont="1" applyFill="1" applyAlignment="1">
      <alignment horizontal="center"/>
    </xf>
    <xf numFmtId="0" fontId="2" fillId="11" borderId="1" xfId="0" applyNumberFormat="1" applyFont="1" applyFill="1" applyBorder="1" applyAlignment="1">
      <alignment horizontal="left" vertical="center" wrapText="1"/>
    </xf>
    <xf numFmtId="0" fontId="2" fillId="11" borderId="3" xfId="0" applyNumberFormat="1" applyFont="1" applyFill="1" applyBorder="1" applyAlignment="1">
      <alignment horizontal="left" vertical="center" wrapText="1"/>
    </xf>
    <xf numFmtId="178" fontId="2" fillId="11" borderId="1" xfId="0" applyNumberFormat="1" applyFont="1" applyFill="1" applyBorder="1" applyAlignment="1">
      <alignment horizontal="left"/>
    </xf>
    <xf numFmtId="178" fontId="2" fillId="11" borderId="3" xfId="0" applyNumberFormat="1" applyFont="1" applyFill="1" applyBorder="1" applyAlignment="1">
      <alignment horizontal="left"/>
    </xf>
    <xf numFmtId="0" fontId="37" fillId="4" borderId="1"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37" fillId="4" borderId="3" xfId="0" applyFont="1" applyFill="1" applyBorder="1" applyAlignment="1">
      <alignment horizontal="center" vertical="center" wrapText="1"/>
    </xf>
    <xf numFmtId="0" fontId="27" fillId="0" borderId="12" xfId="0" applyFont="1" applyBorder="1" applyAlignment="1">
      <alignment horizontal="left" wrapText="1"/>
    </xf>
    <xf numFmtId="0" fontId="27" fillId="0" borderId="14" xfId="0" applyFont="1" applyBorder="1" applyAlignment="1">
      <alignment horizontal="left" wrapText="1"/>
    </xf>
    <xf numFmtId="164" fontId="81" fillId="0" borderId="6" xfId="2" applyNumberFormat="1" applyFont="1" applyFill="1" applyBorder="1" applyAlignment="1">
      <alignment horizontal="center" vertical="center" wrapText="1"/>
    </xf>
  </cellXfs>
  <cellStyles count="6">
    <cellStyle name="Comma" xfId="5" builtinId="3"/>
    <cellStyle name="Currency" xfId="1" builtinId="4"/>
    <cellStyle name="Hyperlink" xfId="3" builtinId="8"/>
    <cellStyle name="Normal" xfId="0" builtinId="0"/>
    <cellStyle name="Percent" xfId="2" builtinId="5"/>
    <cellStyle name="Percent 2" xfId="4"/>
  </cellStyles>
  <dxfs count="143">
    <dxf>
      <font>
        <color auto="1"/>
      </font>
      <fill>
        <patternFill>
          <bgColor rgb="FF00B050"/>
        </patternFill>
      </fill>
    </dxf>
    <dxf>
      <font>
        <color auto="1"/>
      </font>
      <fill>
        <patternFill>
          <bgColor rgb="FF00B050"/>
        </patternFill>
      </fill>
    </dxf>
    <dxf>
      <font>
        <color auto="1"/>
      </font>
      <fill>
        <patternFill>
          <bgColor rgb="FF00B050"/>
        </patternFill>
      </fill>
    </dxf>
    <dxf>
      <font>
        <color auto="1"/>
      </font>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
      <fill>
        <patternFill>
          <bgColor rgb="FFFF0000"/>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ont>
        <color theme="0" tint="-0.14996795556505021"/>
      </font>
      <fill>
        <patternFill>
          <bgColor theme="0" tint="-0.14996795556505021"/>
        </patternFill>
      </fill>
    </dxf>
    <dxf>
      <font>
        <color rgb="FF0070C0"/>
      </font>
      <fill>
        <patternFill>
          <bgColor theme="0"/>
        </patternFill>
      </fill>
    </dxf>
    <dxf>
      <font>
        <color rgb="FF0070C0"/>
      </font>
      <fill>
        <patternFill>
          <bgColor theme="0"/>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ont>
        <color theme="0" tint="-0.14996795556505021"/>
      </font>
      <fill>
        <patternFill>
          <bgColor theme="0" tint="-0.14996795556505021"/>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Light16"/>
  <colors>
    <mruColors>
      <color rgb="FFFFFF99"/>
      <color rgb="FF000000"/>
      <color rgb="FF1C1C1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overlay val="1"/>
    </c:title>
    <c:plotArea>
      <c:layout/>
      <c:lineChart>
        <c:grouping val="standard"/>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-12500000</c:v>
                </c:pt>
                <c:pt idx="1">
                  <c:v>-234368.1740942765</c:v>
                </c:pt>
                <c:pt idx="2">
                  <c:v>1096192.7181290858</c:v>
                </c:pt>
                <c:pt idx="3">
                  <c:v>1871195.7740506637</c:v>
                </c:pt>
                <c:pt idx="4">
                  <c:v>2298999.3612882444</c:v>
                </c:pt>
                <c:pt idx="5">
                  <c:v>2692581.2580576432</c:v>
                </c:pt>
                <c:pt idx="6">
                  <c:v>2815096.2473193444</c:v>
                </c:pt>
                <c:pt idx="7">
                  <c:v>2665406.2990143001</c:v>
                </c:pt>
                <c:pt idx="8">
                  <c:v>2477854.8603906478</c:v>
                </c:pt>
                <c:pt idx="9">
                  <c:v>2250996.02243126</c:v>
                </c:pt>
                <c:pt idx="10">
                  <c:v>1983150.5158870923</c:v>
                </c:pt>
                <c:pt idx="11">
                  <c:v>1672526.7750667378</c:v>
                </c:pt>
                <c:pt idx="12">
                  <c:v>1317183.9728400442</c:v>
                </c:pt>
                <c:pt idx="13">
                  <c:v>915079.36266595987</c:v>
                </c:pt>
                <c:pt idx="14">
                  <c:v>464003.64267815003</c:v>
                </c:pt>
                <c:pt idx="15">
                  <c:v>-38372.90869254485</c:v>
                </c:pt>
                <c:pt idx="16">
                  <c:v>1459096.4176280263</c:v>
                </c:pt>
                <c:pt idx="17">
                  <c:v>2247814.3049592902</c:v>
                </c:pt>
                <c:pt idx="18">
                  <c:v>3018855.2660554489</c:v>
                </c:pt>
                <c:pt idx="19">
                  <c:v>3772089.811507117</c:v>
                </c:pt>
                <c:pt idx="20">
                  <c:v>5081501.5826827986</c:v>
                </c:pt>
                <c:pt idx="21">
                  <c:v>5081501.5826827986</c:v>
                </c:pt>
                <c:pt idx="22">
                  <c:v>5081501.5826827986</c:v>
                </c:pt>
                <c:pt idx="23">
                  <c:v>5081501.5826827986</c:v>
                </c:pt>
                <c:pt idx="24">
                  <c:v>5081501.5826827986</c:v>
                </c:pt>
                <c:pt idx="25">
                  <c:v>5081501.5826827986</c:v>
                </c:pt>
                <c:pt idx="26">
                  <c:v>5081501.5826827986</c:v>
                </c:pt>
                <c:pt idx="27">
                  <c:v>5081501.5826827986</c:v>
                </c:pt>
                <c:pt idx="28">
                  <c:v>5081501.5826827986</c:v>
                </c:pt>
                <c:pt idx="29">
                  <c:v>5081501.5826827986</c:v>
                </c:pt>
                <c:pt idx="30">
                  <c:v>5081501.5826827986</c:v>
                </c:pt>
              </c:numCache>
            </c:numRef>
          </c:val>
        </c:ser>
        <c:marker val="1"/>
        <c:axId val="119340416"/>
        <c:axId val="115312512"/>
      </c:lineChart>
      <c:catAx>
        <c:axId val="119340416"/>
        <c:scaling>
          <c:orientation val="minMax"/>
        </c:scaling>
        <c:axPos val="b"/>
        <c:title>
          <c:tx>
            <c:rich>
              <a:bodyPr/>
              <a:lstStyle/>
              <a:p>
                <a:pPr>
                  <a:defRPr sz="1100"/>
                </a:pPr>
                <a:r>
                  <a:rPr lang="en-US" sz="1100"/>
                  <a:t>Project Year</a:t>
                </a:r>
              </a:p>
            </c:rich>
          </c:tx>
        </c:title>
        <c:numFmt formatCode="General" sourceLinked="1"/>
        <c:tickLblPos val="nextTo"/>
        <c:crossAx val="115312512"/>
        <c:crosses val="autoZero"/>
        <c:auto val="1"/>
        <c:lblAlgn val="ctr"/>
        <c:lblOffset val="100"/>
        <c:tickLblSkip val="5"/>
      </c:catAx>
      <c:valAx>
        <c:axId val="115312512"/>
        <c:scaling>
          <c:orientation val="minMax"/>
        </c:scaling>
        <c:axPos val="l"/>
        <c:title>
          <c:tx>
            <c:rich>
              <a:bodyPr rot="-5400000" vert="horz"/>
              <a:lstStyle/>
              <a:p>
                <a:pPr>
                  <a:defRPr sz="1100" b="1"/>
                </a:pPr>
                <a:r>
                  <a:rPr lang="en-US" sz="1100" b="1"/>
                  <a:t>Cumulative Cash Flow ($)</a:t>
                </a:r>
              </a:p>
            </c:rich>
          </c:tx>
        </c:title>
        <c:numFmt formatCode="&quot;$&quot;#,##0_);[Red]\(&quot;$&quot;#,##0\)" sourceLinked="1"/>
        <c:tickLblPos val="nextTo"/>
        <c:crossAx val="119340416"/>
        <c:crosses val="autoZero"/>
        <c:crossBetween val="between"/>
      </c:valAx>
      <c:spPr>
        <a:solidFill>
          <a:srgbClr val="FFFF99"/>
        </a:solidFill>
      </c:spPr>
    </c:plotArea>
    <c:plotVisOnly val="1"/>
  </c:chart>
  <c:spPr>
    <a:solidFill>
      <a:srgbClr val="FFFF99"/>
    </a:solidFill>
  </c:spPr>
  <c:printSettings>
    <c:headerFooter/>
    <c:pageMargins b="0.75000000000001044" l="0.70000000000000062" r="0.70000000000000062" t="0.750000000000010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Revenue + Tax Benefits / (Liability) v. </a:t>
            </a:r>
          </a:p>
          <a:p>
            <a:pPr>
              <a:defRPr/>
            </a:pPr>
            <a:r>
              <a:rPr lang="en-US"/>
              <a:t>Expenses + Cash Obligations</a:t>
            </a:r>
          </a:p>
        </c:rich>
      </c:tx>
      <c:overlay val="1"/>
    </c:title>
    <c:plotArea>
      <c:layout/>
      <c:areaChart>
        <c:grouping val="standard"/>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2412749.2887625815</c:v>
                </c:pt>
                <c:pt idx="2">
                  <c:v>2425868.6263625817</c:v>
                </c:pt>
                <c:pt idx="3">
                  <c:v>2439207.6614825814</c:v>
                </c:pt>
                <c:pt idx="4">
                  <c:v>2452769.9417686807</c:v>
                </c:pt>
                <c:pt idx="5">
                  <c:v>2466559.0742611401</c:v>
                </c:pt>
                <c:pt idx="6">
                  <c:v>2480578.7264047833</c:v>
                </c:pt>
                <c:pt idx="7">
                  <c:v>2494832.6270769909</c:v>
                </c:pt>
                <c:pt idx="8">
                  <c:v>2509324.5676335907</c:v>
                </c:pt>
                <c:pt idx="9">
                  <c:v>2524058.4029729757</c:v>
                </c:pt>
                <c:pt idx="10">
                  <c:v>2539038.0526187639</c:v>
                </c:pt>
                <c:pt idx="11">
                  <c:v>2554267.5018213307</c:v>
                </c:pt>
                <c:pt idx="12">
                  <c:v>2569750.8026785571</c:v>
                </c:pt>
                <c:pt idx="13">
                  <c:v>2585492.0752761289</c:v>
                </c:pt>
                <c:pt idx="14">
                  <c:v>2601495.508847733</c:v>
                </c:pt>
                <c:pt idx="15">
                  <c:v>2617765.3629555162</c:v>
                </c:pt>
                <c:pt idx="16">
                  <c:v>575656.75554728461</c:v>
                </c:pt>
                <c:pt idx="17">
                  <c:v>1278688.9211353413</c:v>
                </c:pt>
                <c:pt idx="18">
                  <c:v>1295784.3156515053</c:v>
                </c:pt>
                <c:pt idx="19">
                  <c:v>1313163.8965755005</c:v>
                </c:pt>
                <c:pt idx="20">
                  <c:v>754142.0766449729</c:v>
                </c:pt>
                <c:pt idx="21">
                  <c:v>0</c:v>
                </c:pt>
                <c:pt idx="22">
                  <c:v>0</c:v>
                </c:pt>
                <c:pt idx="23">
                  <c:v>0</c:v>
                </c:pt>
                <c:pt idx="24">
                  <c:v>0</c:v>
                </c:pt>
                <c:pt idx="25">
                  <c:v>0</c:v>
                </c:pt>
                <c:pt idx="26">
                  <c:v>0</c:v>
                </c:pt>
                <c:pt idx="27">
                  <c:v>0</c:v>
                </c:pt>
                <c:pt idx="28">
                  <c:v>0</c:v>
                </c:pt>
                <c:pt idx="29">
                  <c:v>0</c:v>
                </c:pt>
                <c:pt idx="30">
                  <c:v>0</c:v>
                </c:pt>
              </c:numCache>
            </c:numRef>
          </c:val>
        </c:ser>
        <c:axId val="115333760"/>
        <c:axId val="119689984"/>
      </c:areaChart>
      <c:lineChart>
        <c:grouping val="standard"/>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14678381.114668304</c:v>
                </c:pt>
                <c:pt idx="2">
                  <c:v>3756429.5185859441</c:v>
                </c:pt>
                <c:pt idx="3">
                  <c:v>3214210.7174041593</c:v>
                </c:pt>
                <c:pt idx="4">
                  <c:v>2880573.5290062614</c:v>
                </c:pt>
                <c:pt idx="5">
                  <c:v>2860140.9710305389</c:v>
                </c:pt>
                <c:pt idx="6">
                  <c:v>2603093.715666485</c:v>
                </c:pt>
                <c:pt idx="7">
                  <c:v>2345142.6787719466</c:v>
                </c:pt>
                <c:pt idx="8">
                  <c:v>2321773.1290099383</c:v>
                </c:pt>
                <c:pt idx="9">
                  <c:v>2297199.5650135879</c:v>
                </c:pt>
                <c:pt idx="10">
                  <c:v>2271192.5460745962</c:v>
                </c:pt>
                <c:pt idx="11">
                  <c:v>2243643.761000976</c:v>
                </c:pt>
                <c:pt idx="12">
                  <c:v>2214408.0004518637</c:v>
                </c:pt>
                <c:pt idx="13">
                  <c:v>2183387.4651020444</c:v>
                </c:pt>
                <c:pt idx="14">
                  <c:v>2150419.7888599229</c:v>
                </c:pt>
                <c:pt idx="15">
                  <c:v>2115388.811584821</c:v>
                </c:pt>
                <c:pt idx="16">
                  <c:v>2073126.0818678557</c:v>
                </c:pt>
                <c:pt idx="17">
                  <c:v>2067406.8084666051</c:v>
                </c:pt>
                <c:pt idx="18">
                  <c:v>2066825.2767476642</c:v>
                </c:pt>
                <c:pt idx="19">
                  <c:v>2066398.4420271688</c:v>
                </c:pt>
                <c:pt idx="20">
                  <c:v>2063553.8478206543</c:v>
                </c:pt>
                <c:pt idx="21">
                  <c:v>0</c:v>
                </c:pt>
                <c:pt idx="22">
                  <c:v>0</c:v>
                </c:pt>
                <c:pt idx="23">
                  <c:v>0</c:v>
                </c:pt>
                <c:pt idx="24">
                  <c:v>0</c:v>
                </c:pt>
                <c:pt idx="25">
                  <c:v>0</c:v>
                </c:pt>
                <c:pt idx="26">
                  <c:v>0</c:v>
                </c:pt>
                <c:pt idx="27">
                  <c:v>0</c:v>
                </c:pt>
                <c:pt idx="28">
                  <c:v>0</c:v>
                </c:pt>
                <c:pt idx="29">
                  <c:v>0</c:v>
                </c:pt>
                <c:pt idx="30">
                  <c:v>0</c:v>
                </c:pt>
              </c:numCache>
            </c:numRef>
          </c:val>
        </c:ser>
        <c:marker val="1"/>
        <c:axId val="115333760"/>
        <c:axId val="119689984"/>
      </c:lineChart>
      <c:catAx>
        <c:axId val="115333760"/>
        <c:scaling>
          <c:orientation val="minMax"/>
        </c:scaling>
        <c:axPos val="b"/>
        <c:title>
          <c:tx>
            <c:rich>
              <a:bodyPr/>
              <a:lstStyle/>
              <a:p>
                <a:pPr>
                  <a:defRPr sz="1100"/>
                </a:pPr>
                <a:r>
                  <a:rPr lang="en-US" sz="1100"/>
                  <a:t>Project Year</a:t>
                </a:r>
              </a:p>
            </c:rich>
          </c:tx>
        </c:title>
        <c:numFmt formatCode="General" sourceLinked="1"/>
        <c:tickLblPos val="nextTo"/>
        <c:crossAx val="119689984"/>
        <c:crosses val="autoZero"/>
        <c:auto val="1"/>
        <c:lblAlgn val="ctr"/>
        <c:lblOffset val="100"/>
        <c:tickLblSkip val="5"/>
      </c:catAx>
      <c:valAx>
        <c:axId val="119689984"/>
        <c:scaling>
          <c:orientation val="minMax"/>
        </c:scaling>
        <c:axPos val="l"/>
        <c:title>
          <c:tx>
            <c:rich>
              <a:bodyPr rot="-5400000" vert="horz"/>
              <a:lstStyle/>
              <a:p>
                <a:pPr>
                  <a:defRPr sz="1100" b="1"/>
                </a:pPr>
                <a:r>
                  <a:rPr lang="en-US" sz="1100" b="1"/>
                  <a:t>( $)</a:t>
                </a:r>
              </a:p>
            </c:rich>
          </c:tx>
        </c:title>
        <c:numFmt formatCode="&quot;$&quot;#,##0" sourceLinked="0"/>
        <c:tickLblPos val="nextTo"/>
        <c:crossAx val="115333760"/>
        <c:crosses val="autoZero"/>
        <c:crossBetween val="between"/>
      </c:valAx>
      <c:spPr>
        <a:solidFill>
          <a:srgbClr val="FFFF99"/>
        </a:solidFill>
      </c:spPr>
    </c:plotArea>
    <c:legend>
      <c:legendPos val="r"/>
      <c:overlay val="1"/>
    </c:legend>
    <c:plotVisOnly val="1"/>
    <c:dispBlanksAs val="gap"/>
  </c:chart>
  <c:spPr>
    <a:solidFill>
      <a:srgbClr val="FFFF99"/>
    </a:solidFill>
  </c:spPr>
  <c:printSettings>
    <c:headerFooter/>
    <c:pageMargins b="0.75000000000001066" l="0.70000000000000062" r="0.70000000000000062" t="0.7500000000000106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ason%20Gifford/My%20Documents/Consulting/NREL/National%20FIT%20Study/Models%20V1.2/NREL_CREST_Solar_version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roduction"/>
      <sheetName val="Inputs"/>
      <sheetName val="Summary Results"/>
      <sheetName val="Annual Cash Flows &amp; Returns"/>
      <sheetName val="Cash Flow"/>
      <sheetName val="Complex Inputs"/>
    </sheetNames>
    <sheetDataSet>
      <sheetData sheetId="0" refreshError="1"/>
      <sheetData sheetId="1">
        <row r="8">
          <cell r="O8" t="str">
            <v>Payment Duration for Cost-Based Tariff</v>
          </cell>
        </row>
        <row r="51">
          <cell r="E51" t="str">
            <v>% Debt (% of hard costs) (mortgage-style amort.)</v>
          </cell>
        </row>
        <row r="53">
          <cell r="E53" t="str">
            <v>Interest Rate on Term Debt</v>
          </cell>
        </row>
        <row r="61">
          <cell r="E61" t="str">
            <v>% Equity (% hard costs) (soft costs also equity funded)</v>
          </cell>
        </row>
        <row r="62">
          <cell r="E62" t="str">
            <v>Target After-Tax Equity IRR</v>
          </cell>
        </row>
        <row r="73">
          <cell r="E73" t="str">
            <v>Is owner a taxable entity?</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dsireusa.org/incentives/index.cfm?state=us&amp;re=1&amp;EE=1" TargetMode="External"/><Relationship Id="rId7" Type="http://schemas.openxmlformats.org/officeDocument/2006/relationships/vmlDrawing" Target="../drawings/vmlDrawing1.vml"/><Relationship Id="rId2" Type="http://schemas.openxmlformats.org/officeDocument/2006/relationships/hyperlink" Target="http://dsireusa.org/incentives/incentive.cfm?Incentive_Code=US02F&amp;re=1&amp;ee=1" TargetMode="External"/><Relationship Id="rId1" Type="http://schemas.openxmlformats.org/officeDocument/2006/relationships/hyperlink" Target="http://dsireusa.org/" TargetMode="External"/><Relationship Id="rId6" Type="http://schemas.openxmlformats.org/officeDocument/2006/relationships/printerSettings" Target="../printerSettings/printerSettings1.bin"/><Relationship Id="rId5" Type="http://schemas.openxmlformats.org/officeDocument/2006/relationships/hyperlink" Target="http://financere.nrel.gov/finance/content/crest-model" TargetMode="External"/><Relationship Id="rId4" Type="http://schemas.openxmlformats.org/officeDocument/2006/relationships/hyperlink" Target="http://financere.nrel.gov/finance/content/crest-model"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pageSetUpPr fitToPage="1"/>
  </sheetPr>
  <dimension ref="B1:R42"/>
  <sheetViews>
    <sheetView showGridLines="0" tabSelected="1" zoomScale="90" zoomScaleNormal="90" workbookViewId="0">
      <pane ySplit="3" topLeftCell="A16" activePane="bottomLeft" state="frozen"/>
      <selection pane="bottomLeft" activeCell="C7" sqref="C7"/>
    </sheetView>
  </sheetViews>
  <sheetFormatPr defaultRowHeight="15.75"/>
  <cols>
    <col min="1" max="1" width="2.7109375" style="161" customWidth="1"/>
    <col min="2" max="2" width="26.7109375" style="161" customWidth="1"/>
    <col min="3" max="3" width="140.140625" style="161" customWidth="1"/>
    <col min="4" max="4" width="16.85546875" style="161" customWidth="1"/>
    <col min="5" max="12" width="9.140625" style="161"/>
    <col min="13" max="14" width="9.5703125" style="161" customWidth="1"/>
    <col min="15" max="15" width="5.28515625" style="161" customWidth="1"/>
    <col min="16" max="16384" width="9.140625" style="161"/>
  </cols>
  <sheetData>
    <row r="1" spans="2:18" ht="9" customHeight="1" thickBot="1"/>
    <row r="2" spans="2:18" ht="30" customHeight="1">
      <c r="B2" s="226" t="s">
        <v>192</v>
      </c>
      <c r="C2" s="227" t="s">
        <v>360</v>
      </c>
      <c r="D2" s="228"/>
      <c r="E2" s="156"/>
      <c r="F2" s="156"/>
      <c r="G2" s="156"/>
      <c r="H2" s="156"/>
      <c r="I2" s="156"/>
      <c r="J2" s="156"/>
      <c r="K2" s="156"/>
      <c r="L2" s="156"/>
      <c r="M2" s="156"/>
      <c r="N2" s="156"/>
      <c r="P2" s="154"/>
      <c r="Q2" s="155"/>
      <c r="R2" s="155"/>
    </row>
    <row r="3" spans="2:18" ht="30" customHeight="1" thickBot="1">
      <c r="B3" s="312" t="s">
        <v>210</v>
      </c>
      <c r="C3" s="313" t="s">
        <v>464</v>
      </c>
      <c r="D3" s="314"/>
      <c r="E3" s="156"/>
      <c r="F3" s="156"/>
      <c r="G3" s="156"/>
      <c r="H3" s="156"/>
      <c r="I3" s="156"/>
      <c r="J3" s="156"/>
      <c r="K3" s="156"/>
      <c r="L3" s="156"/>
      <c r="M3" s="156"/>
      <c r="N3" s="156"/>
      <c r="P3" s="154"/>
      <c r="Q3" s="155"/>
      <c r="R3" s="155"/>
    </row>
    <row r="4" spans="2:18" ht="30" customHeight="1">
      <c r="B4" s="695" t="s">
        <v>428</v>
      </c>
      <c r="C4" s="696" t="s">
        <v>429</v>
      </c>
      <c r="D4" s="230"/>
      <c r="E4" s="156"/>
      <c r="F4" s="156"/>
      <c r="G4" s="156"/>
      <c r="H4" s="156"/>
      <c r="I4" s="156"/>
      <c r="J4" s="156"/>
      <c r="K4" s="156"/>
      <c r="L4" s="156"/>
      <c r="M4" s="156"/>
      <c r="N4" s="156"/>
      <c r="P4" s="155"/>
      <c r="Q4" s="155"/>
      <c r="R4" s="155"/>
    </row>
    <row r="5" spans="2:18" ht="60" customHeight="1">
      <c r="B5" s="522" t="s">
        <v>430</v>
      </c>
      <c r="C5" s="234" t="s">
        <v>431</v>
      </c>
      <c r="D5" s="230"/>
      <c r="E5" s="156"/>
      <c r="F5" s="156"/>
      <c r="G5" s="156"/>
      <c r="H5" s="156"/>
      <c r="I5" s="156"/>
      <c r="J5" s="156"/>
      <c r="K5" s="156"/>
      <c r="L5" s="156"/>
      <c r="M5" s="156"/>
      <c r="N5" s="156"/>
      <c r="P5" s="155"/>
      <c r="Q5" s="155"/>
      <c r="R5" s="155"/>
    </row>
    <row r="6" spans="2:18" ht="60" customHeight="1">
      <c r="B6" s="522" t="s">
        <v>432</v>
      </c>
      <c r="C6" s="234" t="s">
        <v>433</v>
      </c>
      <c r="D6" s="230"/>
      <c r="E6" s="156"/>
      <c r="F6" s="156"/>
      <c r="G6" s="156"/>
      <c r="H6" s="156"/>
      <c r="I6" s="156"/>
      <c r="J6" s="156"/>
      <c r="K6" s="156"/>
      <c r="L6" s="156"/>
      <c r="M6" s="156"/>
      <c r="N6" s="156"/>
      <c r="P6" s="155"/>
      <c r="Q6" s="155"/>
      <c r="R6" s="155"/>
    </row>
    <row r="7" spans="2:18">
      <c r="B7" s="229"/>
      <c r="C7" s="231"/>
      <c r="D7" s="232"/>
      <c r="E7" s="157"/>
      <c r="F7" s="157"/>
      <c r="G7" s="157"/>
      <c r="H7" s="157"/>
      <c r="I7" s="157"/>
      <c r="J7" s="157"/>
      <c r="K7" s="157"/>
      <c r="L7" s="157"/>
      <c r="M7" s="157"/>
      <c r="N7" s="157"/>
      <c r="P7" s="155"/>
      <c r="Q7" s="155"/>
      <c r="R7" s="155"/>
    </row>
    <row r="8" spans="2:18" ht="110.25">
      <c r="B8" s="233" t="s">
        <v>193</v>
      </c>
      <c r="C8" s="234" t="s">
        <v>426</v>
      </c>
      <c r="D8" s="235"/>
      <c r="E8" s="158"/>
      <c r="F8" s="158"/>
      <c r="G8" s="158"/>
      <c r="H8" s="158"/>
      <c r="I8" s="158"/>
      <c r="J8" s="158"/>
      <c r="K8" s="158"/>
      <c r="L8" s="158"/>
      <c r="M8" s="158"/>
      <c r="N8" s="158"/>
      <c r="P8" s="154"/>
      <c r="Q8" s="155"/>
      <c r="R8" s="155"/>
    </row>
    <row r="9" spans="2:18">
      <c r="B9" s="233"/>
      <c r="C9" s="693" t="s">
        <v>413</v>
      </c>
      <c r="D9" s="235"/>
      <c r="E9" s="158"/>
      <c r="F9" s="158"/>
      <c r="G9" s="158"/>
      <c r="H9" s="158"/>
      <c r="I9" s="158"/>
      <c r="J9" s="158"/>
      <c r="K9" s="158"/>
      <c r="L9" s="158"/>
      <c r="M9" s="158"/>
      <c r="N9" s="158"/>
      <c r="P9" s="154"/>
      <c r="Q9" s="155"/>
      <c r="R9" s="155"/>
    </row>
    <row r="10" spans="2:18">
      <c r="B10" s="233"/>
      <c r="C10" s="234"/>
      <c r="D10" s="235"/>
      <c r="E10" s="158"/>
      <c r="F10" s="158"/>
      <c r="G10" s="158"/>
      <c r="H10" s="158"/>
      <c r="I10" s="158"/>
      <c r="J10" s="158"/>
      <c r="K10" s="158"/>
      <c r="L10" s="158"/>
      <c r="M10" s="158"/>
      <c r="N10" s="158"/>
      <c r="P10" s="154"/>
      <c r="Q10" s="155"/>
      <c r="R10" s="155"/>
    </row>
    <row r="11" spans="2:18" ht="64.5" customHeight="1">
      <c r="B11" s="239" t="s">
        <v>374</v>
      </c>
      <c r="C11" s="234" t="s">
        <v>415</v>
      </c>
      <c r="D11" s="235"/>
      <c r="E11" s="158"/>
      <c r="F11" s="158"/>
      <c r="G11" s="158"/>
      <c r="H11" s="158"/>
      <c r="I11" s="158"/>
      <c r="J11" s="158"/>
      <c r="K11" s="158"/>
      <c r="L11" s="158"/>
      <c r="M11" s="158"/>
      <c r="N11" s="158"/>
      <c r="P11" s="154"/>
      <c r="Q11" s="155"/>
      <c r="R11" s="155"/>
    </row>
    <row r="12" spans="2:18">
      <c r="B12" s="239"/>
      <c r="C12" s="693" t="s">
        <v>413</v>
      </c>
      <c r="D12" s="235"/>
      <c r="E12" s="158"/>
      <c r="F12" s="158"/>
      <c r="G12" s="158"/>
      <c r="H12" s="158"/>
      <c r="I12" s="158"/>
      <c r="J12" s="158"/>
      <c r="K12" s="158"/>
      <c r="L12" s="158"/>
      <c r="M12" s="158"/>
      <c r="N12" s="158"/>
      <c r="P12" s="154"/>
      <c r="Q12" s="155"/>
      <c r="R12" s="155"/>
    </row>
    <row r="13" spans="2:18">
      <c r="B13" s="239"/>
      <c r="C13" s="234" t="s">
        <v>414</v>
      </c>
      <c r="D13" s="235"/>
      <c r="E13" s="158"/>
      <c r="F13" s="158"/>
      <c r="G13" s="158"/>
      <c r="H13" s="158"/>
      <c r="I13" s="158"/>
      <c r="J13" s="158"/>
      <c r="K13" s="158"/>
      <c r="L13" s="158"/>
      <c r="M13" s="158"/>
      <c r="N13" s="158"/>
      <c r="P13" s="154"/>
      <c r="Q13" s="155"/>
      <c r="R13" s="155"/>
    </row>
    <row r="14" spans="2:18">
      <c r="B14" s="236"/>
      <c r="C14" s="237"/>
      <c r="D14" s="238"/>
      <c r="E14" s="159"/>
      <c r="F14" s="159"/>
      <c r="G14" s="159"/>
      <c r="H14" s="159"/>
      <c r="I14" s="159"/>
      <c r="J14" s="159"/>
      <c r="K14" s="159"/>
      <c r="L14" s="159"/>
      <c r="M14" s="159"/>
      <c r="N14" s="159"/>
      <c r="P14" s="155"/>
      <c r="Q14" s="155"/>
      <c r="R14" s="155"/>
    </row>
    <row r="15" spans="2:18" ht="94.5">
      <c r="B15" s="239" t="s">
        <v>202</v>
      </c>
      <c r="C15" s="311" t="s">
        <v>401</v>
      </c>
      <c r="D15" s="241"/>
      <c r="E15" s="160"/>
      <c r="F15" s="160"/>
      <c r="G15" s="160"/>
      <c r="H15" s="160"/>
      <c r="I15" s="160"/>
      <c r="J15" s="160"/>
      <c r="K15" s="160"/>
      <c r="L15" s="160"/>
      <c r="M15" s="160"/>
      <c r="N15" s="160"/>
      <c r="P15" s="155"/>
      <c r="Q15" s="155"/>
      <c r="R15" s="155"/>
    </row>
    <row r="16" spans="2:18">
      <c r="B16" s="239"/>
      <c r="C16" s="240"/>
      <c r="D16" s="523" t="s">
        <v>375</v>
      </c>
      <c r="E16" s="160"/>
      <c r="F16" s="160"/>
      <c r="G16" s="160"/>
      <c r="H16" s="160"/>
      <c r="I16" s="160"/>
      <c r="J16" s="160"/>
      <c r="K16" s="160"/>
      <c r="L16" s="160"/>
      <c r="M16" s="160"/>
      <c r="N16" s="160"/>
      <c r="P16" s="155"/>
      <c r="Q16" s="155"/>
      <c r="R16" s="155"/>
    </row>
    <row r="17" spans="2:18" ht="31.5">
      <c r="B17" s="239" t="s">
        <v>211</v>
      </c>
      <c r="C17" s="234" t="s">
        <v>329</v>
      </c>
      <c r="D17" s="675" t="s">
        <v>376</v>
      </c>
      <c r="E17" s="160"/>
      <c r="F17" s="160"/>
      <c r="G17" s="160"/>
      <c r="H17" s="160"/>
      <c r="I17" s="160"/>
      <c r="J17" s="160"/>
      <c r="K17" s="160"/>
      <c r="L17" s="160"/>
      <c r="M17" s="160"/>
      <c r="N17" s="160"/>
      <c r="P17" s="155"/>
      <c r="Q17" s="155"/>
      <c r="R17" s="155"/>
    </row>
    <row r="18" spans="2:18" ht="30" customHeight="1">
      <c r="B18" s="239"/>
      <c r="C18" s="315" t="s">
        <v>203</v>
      </c>
      <c r="D18" s="524" t="s">
        <v>377</v>
      </c>
      <c r="E18" s="159"/>
      <c r="F18" s="159"/>
      <c r="G18" s="159"/>
      <c r="H18" s="159"/>
      <c r="I18" s="159"/>
      <c r="J18" s="159"/>
      <c r="K18" s="159"/>
      <c r="L18" s="159"/>
      <c r="M18" s="159"/>
      <c r="N18" s="159"/>
      <c r="P18" s="155"/>
      <c r="Q18" s="155"/>
      <c r="R18" s="155"/>
    </row>
    <row r="19" spans="2:18" ht="30" customHeight="1">
      <c r="B19" s="239"/>
      <c r="C19" s="316" t="s">
        <v>212</v>
      </c>
      <c r="D19" s="525"/>
      <c r="E19" s="160"/>
      <c r="F19" s="160"/>
      <c r="G19" s="160"/>
      <c r="H19" s="160"/>
      <c r="I19" s="160"/>
      <c r="J19" s="160"/>
      <c r="K19" s="160"/>
      <c r="L19" s="160"/>
      <c r="M19" s="160"/>
      <c r="N19" s="160"/>
      <c r="P19" s="154"/>
      <c r="Q19" s="155"/>
      <c r="R19" s="155"/>
    </row>
    <row r="20" spans="2:18" ht="30" customHeight="1">
      <c r="B20" s="239"/>
      <c r="C20" s="316" t="s">
        <v>330</v>
      </c>
      <c r="D20" s="526"/>
      <c r="E20" s="162"/>
      <c r="F20" s="162"/>
      <c r="G20" s="162"/>
      <c r="H20" s="162"/>
      <c r="I20" s="162"/>
      <c r="J20" s="162"/>
      <c r="K20" s="162"/>
      <c r="L20" s="162"/>
      <c r="M20" s="162"/>
      <c r="N20" s="162"/>
      <c r="P20" s="155"/>
      <c r="Q20" s="155"/>
      <c r="R20" s="155"/>
    </row>
    <row r="21" spans="2:18" ht="30" customHeight="1">
      <c r="B21" s="239"/>
      <c r="C21" s="315" t="s">
        <v>331</v>
      </c>
      <c r="D21" s="527" t="s">
        <v>378</v>
      </c>
      <c r="E21" s="163"/>
      <c r="F21" s="163"/>
      <c r="G21" s="163"/>
      <c r="H21" s="163"/>
      <c r="I21" s="163"/>
      <c r="J21" s="163"/>
      <c r="K21" s="163"/>
      <c r="L21" s="163"/>
      <c r="M21" s="163"/>
      <c r="N21" s="163"/>
    </row>
    <row r="22" spans="2:18" ht="47.25">
      <c r="B22" s="239"/>
      <c r="C22" s="316" t="s">
        <v>332</v>
      </c>
      <c r="D22" s="528" t="s">
        <v>8</v>
      </c>
      <c r="E22" s="162"/>
      <c r="F22" s="162"/>
      <c r="G22" s="162"/>
      <c r="H22" s="162"/>
      <c r="I22" s="162"/>
      <c r="J22" s="162"/>
      <c r="K22" s="162"/>
      <c r="L22" s="162"/>
      <c r="M22" s="162"/>
      <c r="N22" s="162"/>
    </row>
    <row r="23" spans="2:18" ht="15" customHeight="1">
      <c r="B23" s="239"/>
      <c r="C23" s="242"/>
      <c r="D23" s="241"/>
      <c r="E23" s="162"/>
      <c r="F23" s="162"/>
      <c r="G23" s="162"/>
      <c r="H23" s="162"/>
      <c r="I23" s="162"/>
      <c r="J23" s="162"/>
      <c r="K23" s="162"/>
      <c r="L23" s="162"/>
      <c r="M23" s="162"/>
      <c r="N23" s="162"/>
    </row>
    <row r="24" spans="2:18" ht="157.5">
      <c r="B24" s="239" t="s">
        <v>278</v>
      </c>
      <c r="C24" s="240" t="s">
        <v>379</v>
      </c>
      <c r="D24" s="241"/>
      <c r="E24" s="160"/>
      <c r="F24" s="160"/>
      <c r="G24" s="160"/>
      <c r="H24" s="160"/>
      <c r="I24" s="160"/>
      <c r="J24" s="160"/>
      <c r="K24" s="160"/>
      <c r="L24" s="160"/>
      <c r="M24" s="160"/>
      <c r="N24" s="160"/>
    </row>
    <row r="25" spans="2:18">
      <c r="B25" s="239"/>
      <c r="C25" s="240"/>
      <c r="D25" s="241"/>
      <c r="E25" s="160"/>
      <c r="F25" s="160"/>
      <c r="G25" s="160"/>
      <c r="H25" s="160"/>
      <c r="I25" s="160"/>
      <c r="J25" s="160"/>
      <c r="K25" s="160"/>
      <c r="L25" s="160"/>
      <c r="M25" s="160"/>
      <c r="N25" s="160"/>
    </row>
    <row r="26" spans="2:18" ht="78.75">
      <c r="B26" s="239" t="s">
        <v>279</v>
      </c>
      <c r="C26" s="311" t="s">
        <v>333</v>
      </c>
      <c r="D26" s="243"/>
      <c r="E26" s="164"/>
      <c r="F26" s="164"/>
      <c r="G26" s="164"/>
      <c r="H26" s="164"/>
      <c r="I26" s="164"/>
      <c r="J26" s="164"/>
      <c r="K26" s="164"/>
      <c r="L26" s="164"/>
      <c r="M26" s="164"/>
      <c r="N26" s="164"/>
    </row>
    <row r="27" spans="2:18">
      <c r="B27" s="239"/>
      <c r="C27" s="311"/>
      <c r="D27" s="243"/>
      <c r="E27" s="164"/>
      <c r="F27" s="164"/>
      <c r="G27" s="164"/>
      <c r="H27" s="164"/>
      <c r="I27" s="164"/>
      <c r="J27" s="164"/>
      <c r="K27" s="164"/>
      <c r="L27" s="164"/>
      <c r="M27" s="164"/>
      <c r="N27" s="164"/>
    </row>
    <row r="28" spans="2:18" ht="47.25">
      <c r="B28" s="679" t="s">
        <v>405</v>
      </c>
      <c r="C28" s="316" t="s">
        <v>406</v>
      </c>
      <c r="D28" s="243"/>
      <c r="E28" s="164"/>
      <c r="F28" s="164"/>
      <c r="G28" s="164"/>
      <c r="H28" s="164"/>
      <c r="I28" s="164"/>
      <c r="J28" s="164"/>
      <c r="K28" s="164"/>
      <c r="L28" s="164"/>
      <c r="M28" s="164"/>
      <c r="N28" s="164"/>
    </row>
    <row r="29" spans="2:18">
      <c r="B29" s="236" t="s">
        <v>407</v>
      </c>
      <c r="C29" s="680" t="s">
        <v>402</v>
      </c>
      <c r="D29" s="243"/>
      <c r="E29" s="164"/>
      <c r="F29" s="164"/>
      <c r="G29" s="164"/>
      <c r="H29" s="164"/>
      <c r="I29" s="164"/>
      <c r="J29" s="164"/>
      <c r="K29" s="164"/>
      <c r="L29" s="164"/>
      <c r="M29" s="164"/>
      <c r="N29" s="164"/>
    </row>
    <row r="30" spans="2:18">
      <c r="B30" s="236" t="s">
        <v>408</v>
      </c>
      <c r="C30" s="680" t="s">
        <v>403</v>
      </c>
      <c r="D30" s="243"/>
      <c r="E30" s="164"/>
      <c r="F30" s="164"/>
      <c r="G30" s="164"/>
      <c r="H30" s="164"/>
      <c r="I30" s="164"/>
      <c r="J30" s="164"/>
      <c r="K30" s="164"/>
      <c r="L30" s="164"/>
      <c r="M30" s="164"/>
      <c r="N30" s="164"/>
    </row>
    <row r="31" spans="2:18">
      <c r="B31" s="236" t="s">
        <v>409</v>
      </c>
      <c r="C31" s="680" t="s">
        <v>404</v>
      </c>
      <c r="D31" s="243"/>
      <c r="E31" s="164"/>
      <c r="F31" s="164"/>
      <c r="G31" s="164"/>
      <c r="H31" s="164"/>
      <c r="I31" s="164"/>
      <c r="J31" s="164"/>
      <c r="K31" s="164"/>
      <c r="L31" s="164"/>
      <c r="M31" s="164"/>
      <c r="N31" s="164"/>
    </row>
    <row r="32" spans="2:18">
      <c r="B32" s="239"/>
      <c r="C32" s="311"/>
      <c r="D32" s="243"/>
      <c r="E32" s="164"/>
      <c r="F32" s="164"/>
      <c r="G32" s="164"/>
      <c r="H32" s="164"/>
      <c r="I32" s="164"/>
      <c r="J32" s="164"/>
      <c r="K32" s="164"/>
      <c r="L32" s="164"/>
      <c r="M32" s="164"/>
      <c r="N32" s="164"/>
    </row>
    <row r="33" spans="2:14" ht="78.75">
      <c r="B33" s="239" t="s">
        <v>416</v>
      </c>
      <c r="C33" s="240" t="s">
        <v>425</v>
      </c>
      <c r="D33" s="243"/>
      <c r="E33" s="164"/>
      <c r="F33" s="164"/>
      <c r="G33" s="164"/>
      <c r="H33" s="164"/>
      <c r="I33" s="164"/>
      <c r="J33" s="164"/>
      <c r="K33" s="164"/>
      <c r="L33" s="164"/>
      <c r="M33" s="164"/>
      <c r="N33" s="164"/>
    </row>
    <row r="34" spans="2:14">
      <c r="B34" s="239"/>
      <c r="C34" s="694" t="s">
        <v>417</v>
      </c>
      <c r="D34" s="243"/>
      <c r="E34" s="164"/>
      <c r="F34" s="164"/>
      <c r="G34" s="164"/>
      <c r="H34" s="164"/>
      <c r="I34" s="164"/>
      <c r="J34" s="164"/>
      <c r="K34" s="164"/>
      <c r="L34" s="164"/>
      <c r="M34" s="164"/>
      <c r="N34" s="164"/>
    </row>
    <row r="35" spans="2:14">
      <c r="B35" s="239"/>
      <c r="C35" s="694" t="s">
        <v>418</v>
      </c>
      <c r="D35" s="243"/>
      <c r="E35" s="164"/>
      <c r="F35" s="164"/>
      <c r="G35" s="164"/>
      <c r="H35" s="164"/>
      <c r="I35" s="164"/>
      <c r="J35" s="164"/>
      <c r="K35" s="164"/>
      <c r="L35" s="164"/>
      <c r="M35" s="164"/>
      <c r="N35" s="164"/>
    </row>
    <row r="36" spans="2:14">
      <c r="B36" s="239"/>
      <c r="C36" s="694" t="s">
        <v>419</v>
      </c>
      <c r="D36" s="243"/>
      <c r="E36" s="164"/>
      <c r="F36" s="164"/>
      <c r="G36" s="164"/>
      <c r="H36" s="164"/>
      <c r="I36" s="164"/>
      <c r="J36" s="164"/>
      <c r="K36" s="164"/>
      <c r="L36" s="164"/>
      <c r="M36" s="164"/>
      <c r="N36" s="164"/>
    </row>
    <row r="37" spans="2:14">
      <c r="B37" s="239"/>
      <c r="C37" s="694" t="s">
        <v>420</v>
      </c>
      <c r="D37" s="243"/>
      <c r="E37" s="164"/>
      <c r="F37" s="164"/>
      <c r="G37" s="164"/>
      <c r="H37" s="164"/>
      <c r="I37" s="164"/>
      <c r="J37" s="164"/>
      <c r="K37" s="164"/>
      <c r="L37" s="164"/>
      <c r="M37" s="164"/>
      <c r="N37" s="164"/>
    </row>
    <row r="38" spans="2:14">
      <c r="B38" s="239"/>
      <c r="C38" s="694" t="s">
        <v>421</v>
      </c>
      <c r="D38" s="243"/>
      <c r="E38" s="164"/>
      <c r="F38" s="164"/>
      <c r="G38" s="164"/>
      <c r="H38" s="164"/>
      <c r="I38" s="164"/>
      <c r="J38" s="164"/>
      <c r="K38" s="164"/>
      <c r="L38" s="164"/>
      <c r="M38" s="164"/>
      <c r="N38" s="164"/>
    </row>
    <row r="39" spans="2:14">
      <c r="B39" s="239"/>
      <c r="C39" s="694" t="s">
        <v>422</v>
      </c>
      <c r="D39" s="243"/>
      <c r="E39" s="164"/>
      <c r="F39" s="164"/>
      <c r="G39" s="164"/>
      <c r="H39" s="164"/>
      <c r="I39" s="164"/>
      <c r="J39" s="164"/>
      <c r="K39" s="164"/>
      <c r="L39" s="164"/>
      <c r="M39" s="164"/>
      <c r="N39" s="164"/>
    </row>
    <row r="40" spans="2:14">
      <c r="B40" s="239"/>
      <c r="C40" s="694" t="s">
        <v>423</v>
      </c>
      <c r="D40" s="243"/>
      <c r="E40" s="164"/>
      <c r="F40" s="164"/>
      <c r="G40" s="164"/>
      <c r="H40" s="164"/>
      <c r="I40" s="164"/>
      <c r="J40" s="164"/>
      <c r="K40" s="164"/>
      <c r="L40" s="164"/>
      <c r="M40" s="164"/>
      <c r="N40" s="164"/>
    </row>
    <row r="41" spans="2:14">
      <c r="B41" s="239"/>
      <c r="C41" s="694" t="s">
        <v>424</v>
      </c>
      <c r="D41" s="243"/>
      <c r="E41" s="164"/>
      <c r="F41" s="164"/>
      <c r="G41" s="164"/>
      <c r="H41" s="164"/>
      <c r="I41" s="164"/>
      <c r="J41" s="164"/>
      <c r="K41" s="164"/>
      <c r="L41" s="164"/>
      <c r="M41" s="164"/>
      <c r="N41" s="164"/>
    </row>
    <row r="42" spans="2:14" ht="16.5" thickBot="1">
      <c r="B42" s="244"/>
      <c r="C42" s="245"/>
      <c r="D42" s="246"/>
      <c r="E42" s="159"/>
      <c r="F42" s="159"/>
      <c r="G42" s="159"/>
      <c r="H42" s="159"/>
      <c r="I42" s="159"/>
      <c r="J42" s="159"/>
      <c r="K42" s="159"/>
      <c r="L42" s="159"/>
      <c r="M42" s="159"/>
      <c r="N42" s="159"/>
    </row>
  </sheetData>
  <sheetProtection password="CA95" sheet="1" objects="1" scenarios="1"/>
  <hyperlinks>
    <hyperlink ref="C29" r:id="rId1"/>
    <hyperlink ref="C30" r:id="rId2"/>
    <hyperlink ref="C31" r:id="rId3"/>
    <hyperlink ref="C9" r:id="rId4"/>
    <hyperlink ref="C12" r:id="rId5"/>
  </hyperlinks>
  <pageMargins left="0.7" right="0.7" top="0.75" bottom="0.75" header="0.3" footer="0.3"/>
  <pageSetup scale="54" orientation="portrait" horizontalDpi="4294967293" verticalDpi="0" r:id="rId6"/>
  <legacyDrawing r:id="rId7"/>
</worksheet>
</file>

<file path=xl/worksheets/sheet2.xml><?xml version="1.0" encoding="utf-8"?>
<worksheet xmlns="http://schemas.openxmlformats.org/spreadsheetml/2006/main" xmlns:r="http://schemas.openxmlformats.org/officeDocument/2006/relationships">
  <sheetPr codeName="Sheet1"/>
  <dimension ref="A1:AC100"/>
  <sheetViews>
    <sheetView showGridLines="0" zoomScale="80" zoomScaleNormal="80" workbookViewId="0">
      <pane ySplit="4" topLeftCell="A5" activePane="bottomLeft" state="frozen"/>
      <selection pane="bottomLeft" activeCell="G59" sqref="G59"/>
    </sheetView>
  </sheetViews>
  <sheetFormatPr defaultRowHeight="15"/>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16384" width="9.140625" style="1"/>
  </cols>
  <sheetData>
    <row r="1" spans="2:28" ht="7.5" customHeight="1" thickBot="1">
      <c r="B1" s="94"/>
    </row>
    <row r="2" spans="2:28" s="331" customFormat="1" ht="30" customHeight="1" thickBot="1">
      <c r="B2" s="504"/>
      <c r="C2" s="748" t="s">
        <v>254</v>
      </c>
      <c r="D2" s="748"/>
      <c r="E2" s="748"/>
      <c r="F2" s="748"/>
      <c r="G2" s="748"/>
      <c r="H2" s="748"/>
      <c r="I2" s="748"/>
      <c r="J2" s="748"/>
      <c r="K2" s="748"/>
      <c r="L2" s="749"/>
      <c r="M2" s="749"/>
      <c r="N2" s="749"/>
      <c r="O2" s="749"/>
      <c r="P2" s="749"/>
      <c r="Q2" s="749"/>
      <c r="R2" s="749"/>
      <c r="S2" s="749"/>
      <c r="T2" s="749"/>
      <c r="U2" s="411"/>
      <c r="V2" s="412"/>
      <c r="W2" s="412"/>
      <c r="X2" s="412"/>
      <c r="Y2" s="412"/>
      <c r="Z2" s="412"/>
      <c r="AA2" s="412"/>
      <c r="AB2" s="413"/>
    </row>
    <row r="3" spans="2:28" ht="7.5" customHeight="1">
      <c r="B3" s="12"/>
      <c r="C3" s="347"/>
      <c r="D3" s="347"/>
      <c r="E3" s="347"/>
      <c r="F3" s="347"/>
      <c r="G3" s="347"/>
      <c r="H3" s="347"/>
      <c r="I3" s="347"/>
      <c r="J3" s="347"/>
      <c r="K3" s="426"/>
      <c r="L3" s="346"/>
      <c r="M3" s="347"/>
      <c r="N3" s="347"/>
      <c r="O3" s="347"/>
      <c r="P3" s="347"/>
      <c r="Q3" s="347"/>
      <c r="R3" s="347"/>
      <c r="S3" s="347"/>
      <c r="T3" s="347"/>
      <c r="U3" s="347"/>
      <c r="V3" s="348"/>
      <c r="W3" s="348"/>
      <c r="X3" s="348"/>
      <c r="Y3" s="348"/>
      <c r="Z3" s="348"/>
      <c r="AA3" s="348"/>
      <c r="AB3" s="378"/>
    </row>
    <row r="4" spans="2:28" ht="18.75" thickBot="1">
      <c r="B4" s="12"/>
      <c r="C4" s="492" t="s">
        <v>19</v>
      </c>
      <c r="D4" s="17"/>
      <c r="F4" s="18"/>
      <c r="H4" s="481"/>
      <c r="I4" s="505" t="s">
        <v>18</v>
      </c>
      <c r="K4" s="427"/>
      <c r="L4" s="379"/>
      <c r="M4" s="492" t="s">
        <v>19</v>
      </c>
      <c r="N4" s="18"/>
      <c r="O4" s="747" t="s">
        <v>14</v>
      </c>
      <c r="P4" s="747"/>
      <c r="Q4" s="511"/>
      <c r="R4" s="18"/>
      <c r="S4" s="492" t="s">
        <v>18</v>
      </c>
      <c r="T4" s="482"/>
      <c r="U4" s="17"/>
      <c r="AB4" s="330"/>
    </row>
    <row r="5" spans="2:28" ht="18.75" thickBot="1">
      <c r="B5" s="506"/>
      <c r="C5" s="348"/>
      <c r="D5" s="348"/>
      <c r="E5" s="24"/>
      <c r="F5" s="19"/>
      <c r="G5" s="23"/>
      <c r="H5" s="507"/>
      <c r="I5" s="508"/>
      <c r="J5" s="509"/>
      <c r="K5" s="18"/>
      <c r="L5" s="506"/>
      <c r="M5" s="348"/>
      <c r="N5" s="348"/>
      <c r="O5" s="348"/>
      <c r="P5" s="348"/>
      <c r="Q5" s="348"/>
      <c r="R5" s="348"/>
      <c r="S5" s="348"/>
      <c r="T5" s="348"/>
      <c r="U5" s="348"/>
      <c r="V5" s="348"/>
      <c r="W5" s="348"/>
      <c r="X5" s="348"/>
      <c r="Y5" s="348"/>
      <c r="Z5" s="348"/>
      <c r="AA5" s="348"/>
      <c r="AB5" s="378"/>
    </row>
    <row r="6" spans="2:28" ht="16.5" thickBot="1">
      <c r="B6" s="12"/>
      <c r="E6" s="2" t="s">
        <v>15</v>
      </c>
      <c r="F6" s="432" t="s">
        <v>302</v>
      </c>
      <c r="G6" s="502" t="s">
        <v>337</v>
      </c>
      <c r="H6" s="80"/>
      <c r="I6" s="20"/>
      <c r="J6" s="493"/>
      <c r="K6" s="18"/>
      <c r="L6" s="12"/>
      <c r="O6" s="2" t="s">
        <v>411</v>
      </c>
      <c r="P6" s="432" t="s">
        <v>302</v>
      </c>
      <c r="Q6" s="502" t="s">
        <v>337</v>
      </c>
      <c r="AB6" s="330"/>
    </row>
    <row r="7" spans="2:28" ht="15.75">
      <c r="B7" s="12"/>
      <c r="C7" s="401"/>
      <c r="E7" s="552" t="s">
        <v>29</v>
      </c>
      <c r="F7" s="545" t="s">
        <v>341</v>
      </c>
      <c r="G7" s="570">
        <v>10000</v>
      </c>
      <c r="H7" s="350"/>
      <c r="I7" s="14" t="s">
        <v>8</v>
      </c>
      <c r="J7" s="494"/>
      <c r="K7" s="18"/>
      <c r="L7" s="12"/>
      <c r="M7" s="460"/>
      <c r="N7" s="1">
        <f>IF(OR(Q7&lt;=0,Q7&gt;G11),1,0)</f>
        <v>0</v>
      </c>
      <c r="O7" s="552" t="s">
        <v>437</v>
      </c>
      <c r="P7" s="545" t="s">
        <v>4</v>
      </c>
      <c r="Q7" s="574">
        <v>20</v>
      </c>
      <c r="R7" s="353"/>
      <c r="S7" s="14" t="s">
        <v>8</v>
      </c>
      <c r="T7" s="425"/>
      <c r="AB7" s="330"/>
    </row>
    <row r="8" spans="2:28" ht="15.75">
      <c r="B8" s="12"/>
      <c r="C8" s="459"/>
      <c r="D8" s="1">
        <f>IF(OR(G8&lt;=0,G8&gt;1),1,0)</f>
        <v>0</v>
      </c>
      <c r="E8" s="547" t="s">
        <v>281</v>
      </c>
      <c r="F8" s="7" t="s">
        <v>1</v>
      </c>
      <c r="G8" s="571">
        <v>0.32</v>
      </c>
      <c r="H8" s="351"/>
      <c r="I8" s="14" t="s">
        <v>8</v>
      </c>
      <c r="J8" s="494"/>
      <c r="K8" s="18"/>
      <c r="L8" s="12"/>
      <c r="M8" s="401"/>
      <c r="O8" s="558" t="s">
        <v>215</v>
      </c>
      <c r="P8" s="7" t="s">
        <v>1</v>
      </c>
      <c r="Q8" s="571">
        <v>0</v>
      </c>
      <c r="R8" s="351"/>
      <c r="S8" s="14" t="s">
        <v>8</v>
      </c>
      <c r="T8" s="425"/>
      <c r="AB8" s="330"/>
    </row>
    <row r="9" spans="2:28" ht="16.5" thickBot="1">
      <c r="B9" s="12"/>
      <c r="C9" s="366"/>
      <c r="E9" s="547" t="s">
        <v>289</v>
      </c>
      <c r="F9" s="8" t="s">
        <v>2</v>
      </c>
      <c r="G9" s="572">
        <f>$G$7*$G$8*8760</f>
        <v>28032000</v>
      </c>
      <c r="H9" s="352"/>
      <c r="I9" s="14" t="s">
        <v>8</v>
      </c>
      <c r="J9" s="494"/>
      <c r="K9" s="18"/>
      <c r="L9" s="12"/>
      <c r="M9" s="400"/>
      <c r="O9" s="555" t="s">
        <v>412</v>
      </c>
      <c r="P9" s="561" t="s">
        <v>1</v>
      </c>
      <c r="Q9" s="604">
        <v>0</v>
      </c>
      <c r="R9" s="351"/>
      <c r="S9" s="14" t="s">
        <v>8</v>
      </c>
      <c r="T9" s="425"/>
      <c r="U9" s="18"/>
      <c r="AB9" s="330"/>
    </row>
    <row r="10" spans="2:28" ht="16.5" thickBot="1">
      <c r="B10" s="12"/>
      <c r="C10" s="458"/>
      <c r="D10" s="1">
        <f>IF(OR(G10&lt;0,G10&gt;1),1,0)</f>
        <v>0</v>
      </c>
      <c r="E10" s="548" t="s">
        <v>214</v>
      </c>
      <c r="F10" s="7" t="s">
        <v>1</v>
      </c>
      <c r="G10" s="571">
        <v>5.0000000000000001E-3</v>
      </c>
      <c r="H10" s="351"/>
      <c r="I10" s="14" t="s">
        <v>8</v>
      </c>
      <c r="J10" s="494"/>
      <c r="K10" s="18"/>
      <c r="L10" s="379"/>
      <c r="M10" s="18"/>
      <c r="N10" s="18"/>
      <c r="O10" s="18"/>
      <c r="P10" s="18"/>
      <c r="Q10" s="18"/>
      <c r="R10" s="18"/>
      <c r="S10" s="18"/>
      <c r="T10" s="18"/>
      <c r="U10" s="253"/>
      <c r="V10" s="253"/>
      <c r="W10" s="253"/>
      <c r="X10" s="253"/>
      <c r="Y10" s="253"/>
      <c r="Z10" s="253"/>
      <c r="AB10" s="330"/>
    </row>
    <row r="11" spans="2:28" ht="16.5" thickBot="1">
      <c r="B11" s="12"/>
      <c r="C11" s="460"/>
      <c r="D11" s="1">
        <f>IF(OR(G11&lt;1,G11&gt;30),1,0)</f>
        <v>0</v>
      </c>
      <c r="E11" s="568" t="s">
        <v>226</v>
      </c>
      <c r="F11" s="561" t="s">
        <v>4</v>
      </c>
      <c r="G11" s="573">
        <v>20</v>
      </c>
      <c r="H11" s="353"/>
      <c r="I11" s="14" t="s">
        <v>8</v>
      </c>
      <c r="J11" s="494"/>
      <c r="K11" s="18"/>
      <c r="L11" s="379"/>
      <c r="O11" s="2" t="s">
        <v>427</v>
      </c>
      <c r="P11" s="3"/>
      <c r="Q11" s="4"/>
      <c r="R11" s="18"/>
      <c r="S11" s="14" t="s">
        <v>8</v>
      </c>
      <c r="T11" s="225"/>
      <c r="U11" s="248"/>
      <c r="V11" s="248"/>
      <c r="W11" s="248"/>
      <c r="X11" s="248"/>
      <c r="Y11" s="248"/>
      <c r="Z11" s="248"/>
      <c r="AB11" s="330"/>
    </row>
    <row r="12" spans="2:28" ht="16.5" thickBot="1">
      <c r="B12" s="12"/>
      <c r="G12" s="20"/>
      <c r="H12" s="20"/>
      <c r="I12" s="16"/>
      <c r="J12" s="494"/>
      <c r="K12" s="18"/>
      <c r="L12" s="379"/>
      <c r="M12" s="458"/>
      <c r="O12" s="605" t="s">
        <v>265</v>
      </c>
      <c r="P12" s="606"/>
      <c r="Q12" s="607" t="s">
        <v>323</v>
      </c>
      <c r="S12" s="430" t="s">
        <v>8</v>
      </c>
      <c r="T12" s="431">
        <f>IF(Q7&lt;G11,1,0)</f>
        <v>0</v>
      </c>
      <c r="Y12" s="225"/>
      <c r="Z12" s="225"/>
      <c r="AB12" s="330"/>
    </row>
    <row r="13" spans="2:28" ht="16.5" thickBot="1">
      <c r="B13" s="12"/>
      <c r="E13" s="10" t="s">
        <v>163</v>
      </c>
      <c r="F13" s="432" t="s">
        <v>302</v>
      </c>
      <c r="G13" s="502" t="s">
        <v>337</v>
      </c>
      <c r="H13" s="364"/>
      <c r="I13" s="16"/>
      <c r="J13" s="494"/>
      <c r="K13" s="18"/>
      <c r="L13" s="379"/>
      <c r="M13" s="458"/>
      <c r="N13" s="1">
        <f>IF(OR(Q13&lt;=0,Q13=""),1,0)</f>
        <v>0</v>
      </c>
      <c r="O13" s="608" t="s">
        <v>227</v>
      </c>
      <c r="P13" s="428" t="s">
        <v>53</v>
      </c>
      <c r="Q13" s="609">
        <v>5</v>
      </c>
      <c r="S13" s="430" t="s">
        <v>8</v>
      </c>
      <c r="T13" s="431">
        <f>IF(AND($Q$7&lt;$G$11,$Q$12="Year One"),1,0)</f>
        <v>0</v>
      </c>
      <c r="Y13" s="225"/>
      <c r="Z13" s="225"/>
      <c r="AB13" s="330"/>
    </row>
    <row r="14" spans="2:28" ht="16.5" thickBot="1">
      <c r="B14" s="12"/>
      <c r="C14" s="402"/>
      <c r="E14" s="531" t="s">
        <v>9</v>
      </c>
      <c r="F14" s="532"/>
      <c r="G14" s="533" t="s">
        <v>436</v>
      </c>
      <c r="H14" s="362"/>
      <c r="I14" s="14" t="s">
        <v>8</v>
      </c>
      <c r="J14" s="494"/>
      <c r="K14" s="18"/>
      <c r="L14" s="379"/>
      <c r="M14" s="458"/>
      <c r="N14" s="1">
        <f>IF(OR(Q14&lt;=0,Q14=""),1,0)</f>
        <v>0</v>
      </c>
      <c r="O14" s="610" t="s">
        <v>228</v>
      </c>
      <c r="P14" s="429" t="s">
        <v>1</v>
      </c>
      <c r="Q14" s="611">
        <v>0.03</v>
      </c>
      <c r="S14" s="457" t="s">
        <v>8</v>
      </c>
      <c r="T14" s="431">
        <f>IF(AND($Q$7&lt;$G$11,$Q$12="Year One"),1,0)</f>
        <v>0</v>
      </c>
      <c r="Y14" s="225"/>
      <c r="Z14" s="225"/>
      <c r="AB14" s="330"/>
    </row>
    <row r="15" spans="2:28" ht="16.5" thickBot="1">
      <c r="B15" s="12"/>
      <c r="C15" s="403"/>
      <c r="E15" s="534" t="s">
        <v>139</v>
      </c>
      <c r="F15" s="535" t="s">
        <v>358</v>
      </c>
      <c r="G15" s="536">
        <v>2500</v>
      </c>
      <c r="H15" s="354"/>
      <c r="I15" s="453" t="s">
        <v>8</v>
      </c>
      <c r="J15" s="495"/>
      <c r="K15" s="18"/>
      <c r="L15" s="379"/>
      <c r="O15" s="612" t="str">
        <f>IF(OR($Q$12="Year One",$Q$7=$G$11),"","Click Here for Complex Input Worksheet")</f>
        <v/>
      </c>
      <c r="P15" s="613"/>
      <c r="Q15" s="614"/>
      <c r="S15" s="453" t="s">
        <v>8</v>
      </c>
      <c r="T15" s="431">
        <f>IF(AND($Q$7&lt;$G$11,$Q$12="Year-by-Year"),1,0)</f>
        <v>0</v>
      </c>
      <c r="U15" s="225"/>
      <c r="V15" s="225"/>
      <c r="W15" s="225"/>
      <c r="X15" s="225"/>
      <c r="Y15" s="225"/>
      <c r="Z15" s="225"/>
      <c r="AB15" s="330"/>
    </row>
    <row r="16" spans="2:28" ht="16.5" thickBot="1">
      <c r="B16" s="12"/>
      <c r="C16" s="404"/>
      <c r="E16" s="537" t="s">
        <v>164</v>
      </c>
      <c r="F16" s="428" t="s">
        <v>0</v>
      </c>
      <c r="G16" s="538">
        <v>10000000</v>
      </c>
      <c r="H16" s="355"/>
      <c r="I16" s="453" t="s">
        <v>8</v>
      </c>
      <c r="J16" s="494"/>
      <c r="K16" s="18"/>
      <c r="L16" s="379"/>
      <c r="T16" s="249"/>
      <c r="U16" s="225"/>
      <c r="V16" s="225"/>
      <c r="W16" s="225"/>
      <c r="X16" s="225"/>
      <c r="Y16" s="225"/>
      <c r="Z16" s="225"/>
      <c r="AB16" s="330"/>
    </row>
    <row r="17" spans="2:28" ht="16.5" thickBot="1">
      <c r="B17" s="12"/>
      <c r="C17" s="465"/>
      <c r="E17" s="537" t="s">
        <v>166</v>
      </c>
      <c r="F17" s="428" t="s">
        <v>0</v>
      </c>
      <c r="G17" s="538">
        <v>9000000</v>
      </c>
      <c r="H17" s="355"/>
      <c r="I17" s="453" t="s">
        <v>8</v>
      </c>
      <c r="J17" s="494"/>
      <c r="K17" s="18"/>
      <c r="L17" s="379"/>
      <c r="O17" s="5" t="s">
        <v>25</v>
      </c>
      <c r="P17" s="432" t="s">
        <v>302</v>
      </c>
      <c r="Q17" s="502" t="s">
        <v>337</v>
      </c>
      <c r="R17" s="151"/>
      <c r="S17" s="16"/>
      <c r="T17" s="249"/>
      <c r="U17" s="225"/>
      <c r="V17" s="225"/>
      <c r="W17" s="225"/>
      <c r="X17" s="225"/>
      <c r="AB17" s="330"/>
    </row>
    <row r="18" spans="2:28" ht="15.75">
      <c r="B18" s="12"/>
      <c r="C18" s="465"/>
      <c r="E18" s="539" t="s">
        <v>167</v>
      </c>
      <c r="F18" s="428" t="s">
        <v>0</v>
      </c>
      <c r="G18" s="538">
        <v>3000000</v>
      </c>
      <c r="H18" s="355"/>
      <c r="I18" s="453" t="s">
        <v>8</v>
      </c>
      <c r="J18" s="494"/>
      <c r="K18" s="18"/>
      <c r="L18" s="379"/>
      <c r="M18" s="463"/>
      <c r="O18" s="686" t="s">
        <v>458</v>
      </c>
      <c r="P18" s="687"/>
      <c r="Q18" s="688" t="s">
        <v>380</v>
      </c>
      <c r="R18" s="431">
        <f>IF(OR($Q$18="Cost-Based",$Q$18="Neither"),1,0)</f>
        <v>1</v>
      </c>
      <c r="S18" s="14" t="s">
        <v>8</v>
      </c>
      <c r="T18" s="455">
        <f>IF(OR($Q$18="Performance-Based",$Q$18="Neither"),1,0)</f>
        <v>0</v>
      </c>
      <c r="AB18" s="330"/>
    </row>
    <row r="19" spans="2:28" ht="15.75">
      <c r="B19" s="12"/>
      <c r="C19" s="465"/>
      <c r="E19" s="539" t="s">
        <v>168</v>
      </c>
      <c r="F19" s="428" t="s">
        <v>0</v>
      </c>
      <c r="G19" s="538">
        <v>1000000</v>
      </c>
      <c r="H19" s="355"/>
      <c r="I19" s="453" t="s">
        <v>8</v>
      </c>
      <c r="J19" s="494"/>
      <c r="K19" s="18"/>
      <c r="L19" s="379"/>
      <c r="M19" s="463"/>
      <c r="O19" s="548" t="s">
        <v>314</v>
      </c>
      <c r="P19" s="7"/>
      <c r="Q19" s="714" t="s">
        <v>456</v>
      </c>
      <c r="R19" s="18"/>
      <c r="S19" s="14" t="s">
        <v>8</v>
      </c>
      <c r="T19" s="18"/>
      <c r="AB19" s="330"/>
    </row>
    <row r="20" spans="2:28" ht="15.75">
      <c r="B20" s="12"/>
      <c r="C20" s="405"/>
      <c r="E20" s="539" t="s">
        <v>100</v>
      </c>
      <c r="F20" s="428" t="s">
        <v>0</v>
      </c>
      <c r="G20" s="540">
        <f>($G$50*$G$47*SUM($G$16:$G$19)+$G$44+$G$60+$Q$62+$Q$65)</f>
        <v>1607906.6212895242</v>
      </c>
      <c r="H20" s="356"/>
      <c r="I20" s="453" t="s">
        <v>8</v>
      </c>
      <c r="J20" s="494"/>
      <c r="K20" s="18"/>
      <c r="L20" s="379"/>
      <c r="M20" s="463"/>
      <c r="N20" s="1">
        <f>IF(OR(Q20&lt;0,Q20&gt;1,Q20=""),1,0)</f>
        <v>0</v>
      </c>
      <c r="O20" s="565" t="s">
        <v>236</v>
      </c>
      <c r="P20" s="6" t="s">
        <v>1</v>
      </c>
      <c r="Q20" s="616">
        <v>0.3</v>
      </c>
      <c r="R20" s="18"/>
      <c r="S20" s="14" t="s">
        <v>8</v>
      </c>
      <c r="T20" s="18"/>
      <c r="AB20" s="330"/>
    </row>
    <row r="21" spans="2:28" ht="16.5" thickBot="1">
      <c r="B21" s="12"/>
      <c r="C21" s="405"/>
      <c r="E21" s="541" t="s">
        <v>318</v>
      </c>
      <c r="F21" s="542" t="str">
        <f>IF($G$14="Complex","$","")</f>
        <v/>
      </c>
      <c r="G21" s="543" t="str">
        <f>IF($G$14="Complex",'Complex Inputs'!$C$121,"")</f>
        <v/>
      </c>
      <c r="H21" s="357"/>
      <c r="I21" s="453" t="s">
        <v>8</v>
      </c>
      <c r="J21" s="494"/>
      <c r="K21" s="18"/>
      <c r="L21" s="379"/>
      <c r="O21" s="568" t="s">
        <v>137</v>
      </c>
      <c r="P21" s="556" t="s">
        <v>0</v>
      </c>
      <c r="Q21" s="625">
        <f>IF($G$69="Yes",IF($Q$19="ITC",IF($G$14="Complex",'Complex Inputs'!$D$121,'Cash Flow'!$C$99)*Inputs!$Q$20*Inputs!$Q$97,IF($Q$19="Cash Grant",IF($G$14="Complex",'Complex Inputs'!$D$121,'Cash Flow'!$C$99)*Inputs!$Q$20,0)),0)</f>
        <v>7050000</v>
      </c>
      <c r="R21" s="152"/>
      <c r="S21" s="14" t="s">
        <v>8</v>
      </c>
      <c r="T21" s="18"/>
      <c r="AB21" s="330"/>
    </row>
    <row r="22" spans="2:28" ht="15.75">
      <c r="B22" s="12"/>
      <c r="C22" s="406"/>
      <c r="E22" s="544" t="s">
        <v>434</v>
      </c>
      <c r="F22" s="545" t="s">
        <v>0</v>
      </c>
      <c r="G22" s="546">
        <f>IF($G$14="Simple",($G$15*$G$7),IF($G$14="Intermediate",SUM($G$16:$G$20),IF($G$14="Complex",$G$21,0)))</f>
        <v>25000000</v>
      </c>
      <c r="H22" s="357"/>
      <c r="I22" s="14" t="s">
        <v>8</v>
      </c>
      <c r="J22" s="494"/>
      <c r="K22" s="18"/>
      <c r="L22" s="379"/>
      <c r="M22" s="463"/>
      <c r="O22" s="563" t="s">
        <v>316</v>
      </c>
      <c r="P22" s="626"/>
      <c r="Q22" s="615" t="s">
        <v>435</v>
      </c>
      <c r="S22" s="14" t="s">
        <v>8</v>
      </c>
      <c r="AB22" s="330"/>
    </row>
    <row r="23" spans="2:28" ht="16.5" thickBot="1">
      <c r="B23" s="12"/>
      <c r="C23" s="406"/>
      <c r="E23" s="699" t="s">
        <v>434</v>
      </c>
      <c r="F23" s="550" t="str">
        <f>F15</f>
        <v>$/kW</v>
      </c>
      <c r="G23" s="551">
        <f>G22/G7</f>
        <v>2500</v>
      </c>
      <c r="H23" s="365"/>
      <c r="I23" s="14" t="s">
        <v>8</v>
      </c>
      <c r="J23" s="494"/>
      <c r="K23" s="18"/>
      <c r="L23" s="379"/>
      <c r="M23" s="458"/>
      <c r="O23" s="558" t="s">
        <v>141</v>
      </c>
      <c r="P23" s="259" t="s">
        <v>53</v>
      </c>
      <c r="Q23" s="618">
        <v>2.2999999999999998</v>
      </c>
      <c r="R23" s="18"/>
      <c r="S23" s="14" t="s">
        <v>8</v>
      </c>
      <c r="T23" s="18"/>
      <c r="AB23" s="330"/>
    </row>
    <row r="24" spans="2:28" ht="16.5" thickBot="1">
      <c r="B24" s="12"/>
      <c r="C24" s="407"/>
      <c r="E24" s="21"/>
      <c r="F24" s="13"/>
      <c r="G24" s="13"/>
      <c r="I24" s="20"/>
      <c r="J24" s="494"/>
      <c r="K24" s="18"/>
      <c r="L24" s="379"/>
      <c r="M24" s="458"/>
      <c r="N24" s="1">
        <f>IF(OR(Q24&lt;0,Q24&gt;G11),1,0)</f>
        <v>0</v>
      </c>
      <c r="O24" s="558" t="s">
        <v>33</v>
      </c>
      <c r="P24" s="22" t="s">
        <v>32</v>
      </c>
      <c r="Q24" s="559">
        <v>10</v>
      </c>
      <c r="R24" s="18"/>
      <c r="S24" s="14" t="s">
        <v>8</v>
      </c>
      <c r="T24" s="18"/>
      <c r="AB24" s="330"/>
    </row>
    <row r="25" spans="2:28" ht="16.5" thickBot="1">
      <c r="B25" s="12"/>
      <c r="E25" s="5" t="s">
        <v>10</v>
      </c>
      <c r="F25" s="432" t="s">
        <v>302</v>
      </c>
      <c r="G25" s="502" t="s">
        <v>337</v>
      </c>
      <c r="H25" s="366"/>
      <c r="I25" s="20"/>
      <c r="J25" s="494"/>
      <c r="K25" s="18"/>
      <c r="L25" s="379"/>
      <c r="M25" s="458"/>
      <c r="O25" s="558" t="s">
        <v>146</v>
      </c>
      <c r="P25" s="6" t="s">
        <v>1</v>
      </c>
      <c r="Q25" s="601">
        <v>0.02</v>
      </c>
      <c r="R25" s="18"/>
      <c r="S25" s="14" t="s">
        <v>8</v>
      </c>
      <c r="T25" s="18"/>
      <c r="AB25" s="330"/>
    </row>
    <row r="26" spans="2:28" ht="16.5" thickBot="1">
      <c r="B26" s="12"/>
      <c r="C26" s="402"/>
      <c r="E26" s="669" t="s">
        <v>9</v>
      </c>
      <c r="F26" s="670"/>
      <c r="G26" s="671" t="s">
        <v>465</v>
      </c>
      <c r="H26" s="362"/>
      <c r="I26" s="14" t="s">
        <v>8</v>
      </c>
      <c r="J26" s="494"/>
      <c r="K26" s="18"/>
      <c r="L26" s="379"/>
      <c r="M26" s="458"/>
      <c r="O26" s="620" t="s">
        <v>457</v>
      </c>
      <c r="P26" s="621" t="s">
        <v>0</v>
      </c>
      <c r="Q26" s="622">
        <v>0</v>
      </c>
      <c r="R26" s="152"/>
      <c r="S26" s="14" t="s">
        <v>8</v>
      </c>
      <c r="AB26" s="330"/>
    </row>
    <row r="27" spans="2:28" ht="16.5" thickBot="1">
      <c r="B27" s="12"/>
      <c r="C27" s="408"/>
      <c r="E27" s="552" t="s">
        <v>225</v>
      </c>
      <c r="F27" s="553" t="s">
        <v>340</v>
      </c>
      <c r="G27" s="554">
        <v>0</v>
      </c>
      <c r="H27" s="367"/>
      <c r="I27" s="14" t="s">
        <v>8</v>
      </c>
      <c r="J27" s="494"/>
      <c r="K27" s="18"/>
      <c r="L27" s="379"/>
      <c r="M27" s="463"/>
      <c r="O27" s="568" t="s">
        <v>256</v>
      </c>
      <c r="P27" s="561"/>
      <c r="Q27" s="623" t="s">
        <v>13</v>
      </c>
      <c r="R27" s="25"/>
      <c r="S27" s="14" t="s">
        <v>8</v>
      </c>
      <c r="AB27" s="330"/>
    </row>
    <row r="28" spans="2:28" ht="16.5" thickBot="1">
      <c r="B28" s="12"/>
      <c r="C28" s="458"/>
      <c r="E28" s="548" t="s">
        <v>101</v>
      </c>
      <c r="F28" s="7" t="s">
        <v>102</v>
      </c>
      <c r="G28" s="618">
        <v>2.5</v>
      </c>
      <c r="H28" s="368"/>
      <c r="I28" s="14" t="s">
        <v>8</v>
      </c>
      <c r="J28" s="494"/>
      <c r="K28" s="18"/>
      <c r="L28" s="12"/>
      <c r="AB28" s="330"/>
    </row>
    <row r="29" spans="2:28" ht="16.5" thickBot="1">
      <c r="B29" s="12"/>
      <c r="C29" s="409"/>
      <c r="D29" s="18"/>
      <c r="E29" s="575" t="s">
        <v>224</v>
      </c>
      <c r="F29" s="7" t="s">
        <v>1</v>
      </c>
      <c r="G29" s="576">
        <v>0.02</v>
      </c>
      <c r="H29" s="351"/>
      <c r="I29" s="14" t="s">
        <v>8</v>
      </c>
      <c r="J29" s="495"/>
      <c r="K29" s="18"/>
      <c r="L29" s="379"/>
      <c r="O29" s="5" t="s">
        <v>453</v>
      </c>
      <c r="P29" s="432" t="s">
        <v>302</v>
      </c>
      <c r="Q29" s="502" t="s">
        <v>337</v>
      </c>
      <c r="R29" s="18"/>
      <c r="AB29" s="330"/>
    </row>
    <row r="30" spans="2:28" ht="16.5" thickBot="1">
      <c r="B30" s="12"/>
      <c r="C30" s="401"/>
      <c r="E30" s="558" t="s">
        <v>222</v>
      </c>
      <c r="F30" s="7" t="s">
        <v>28</v>
      </c>
      <c r="G30" s="559">
        <v>10</v>
      </c>
      <c r="H30" s="353"/>
      <c r="I30" s="14" t="s">
        <v>8</v>
      </c>
      <c r="J30" s="495"/>
      <c r="K30" s="18"/>
      <c r="L30" s="379"/>
      <c r="M30" s="463"/>
      <c r="O30" s="686" t="s">
        <v>460</v>
      </c>
      <c r="P30" s="687"/>
      <c r="Q30" s="688" t="s">
        <v>463</v>
      </c>
      <c r="S30" s="14" t="s">
        <v>8</v>
      </c>
      <c r="AB30" s="330"/>
    </row>
    <row r="31" spans="2:28" ht="16.5" thickBot="1">
      <c r="B31" s="12"/>
      <c r="C31" s="409"/>
      <c r="D31" s="18"/>
      <c r="E31" s="560" t="s">
        <v>223</v>
      </c>
      <c r="F31" s="561" t="s">
        <v>1</v>
      </c>
      <c r="G31" s="562">
        <v>0.02</v>
      </c>
      <c r="H31" s="359"/>
      <c r="I31" s="14" t="s">
        <v>8</v>
      </c>
      <c r="J31" s="494"/>
      <c r="K31" s="18"/>
      <c r="L31" s="379"/>
      <c r="M31" s="458"/>
      <c r="N31" s="1">
        <f>IF(OR(Q31&lt;0,Q31&gt;1),1,0)</f>
        <v>0</v>
      </c>
      <c r="O31" s="552" t="s">
        <v>217</v>
      </c>
      <c r="P31" s="545" t="s">
        <v>1</v>
      </c>
      <c r="Q31" s="627">
        <v>0.3</v>
      </c>
      <c r="R31" s="18">
        <f>IF(OR($Q$30="Performance-Based",$Q$30="Neither"),1,0)</f>
        <v>1</v>
      </c>
      <c r="S31" s="14" t="s">
        <v>8</v>
      </c>
      <c r="T31" s="18"/>
      <c r="AB31" s="330"/>
    </row>
    <row r="32" spans="2:28" ht="15.75">
      <c r="B32" s="12"/>
      <c r="C32" s="458"/>
      <c r="E32" s="624" t="s">
        <v>66</v>
      </c>
      <c r="F32" s="6" t="s">
        <v>1</v>
      </c>
      <c r="G32" s="567">
        <v>4.0000000000000001E-3</v>
      </c>
      <c r="H32" s="351"/>
      <c r="I32" s="453" t="s">
        <v>8</v>
      </c>
      <c r="J32" s="494"/>
      <c r="K32" s="18"/>
      <c r="L32" s="379"/>
      <c r="M32" s="458"/>
      <c r="N32" s="1">
        <f>IF(OR(Q32&lt;1,Q32&gt;G11),1,0)</f>
        <v>0</v>
      </c>
      <c r="O32" s="558" t="s">
        <v>31</v>
      </c>
      <c r="P32" s="22" t="s">
        <v>32</v>
      </c>
      <c r="Q32" s="559">
        <v>1</v>
      </c>
      <c r="R32" s="18"/>
      <c r="S32" s="14" t="s">
        <v>8</v>
      </c>
      <c r="AB32" s="330"/>
    </row>
    <row r="33" spans="2:28" ht="16.5" thickBot="1">
      <c r="B33" s="12"/>
      <c r="E33" s="558" t="s">
        <v>327</v>
      </c>
      <c r="F33" s="7" t="s">
        <v>0</v>
      </c>
      <c r="G33" s="564">
        <f>$G$32*IF($G$14="Simple",$G$22,IF($G$14="Intermediate",SUM($G$16:$G$19),SUM('Complex Inputs'!$C$116:$C$119)))</f>
        <v>100000</v>
      </c>
      <c r="H33" s="356"/>
      <c r="I33" s="453" t="s">
        <v>8</v>
      </c>
      <c r="J33" s="494"/>
      <c r="K33" s="18"/>
      <c r="L33" s="12"/>
      <c r="O33" s="568" t="s">
        <v>410</v>
      </c>
      <c r="P33" s="628" t="s">
        <v>0</v>
      </c>
      <c r="Q33" s="690">
        <f>IF(AND($G$69="Yes",$Q$30="Cost-Based"),SUM('Cash Flow'!$G$183:$AJ$183),0)</f>
        <v>0</v>
      </c>
      <c r="S33" s="14" t="s">
        <v>8</v>
      </c>
      <c r="AB33" s="330"/>
    </row>
    <row r="34" spans="2:28" ht="15.75">
      <c r="B34" s="12"/>
      <c r="C34" s="458"/>
      <c r="E34" s="565" t="s">
        <v>216</v>
      </c>
      <c r="F34" s="6" t="s">
        <v>11</v>
      </c>
      <c r="G34" s="566">
        <v>30000</v>
      </c>
      <c r="H34" s="369"/>
      <c r="I34" s="453" t="s">
        <v>8</v>
      </c>
      <c r="J34" s="495"/>
      <c r="K34" s="18"/>
      <c r="L34" s="379"/>
      <c r="M34" s="463"/>
      <c r="O34" s="624" t="s">
        <v>317</v>
      </c>
      <c r="P34" s="6"/>
      <c r="Q34" s="689" t="s">
        <v>435</v>
      </c>
      <c r="R34" s="18">
        <f>IF(OR($Q$30="Cost-Based",$Q$30="Neither"),1,0)</f>
        <v>1</v>
      </c>
      <c r="S34" s="14" t="s">
        <v>8</v>
      </c>
      <c r="T34" s="18"/>
      <c r="AB34" s="330"/>
    </row>
    <row r="35" spans="2:28" ht="15.75">
      <c r="B35" s="12"/>
      <c r="C35" s="458"/>
      <c r="E35" s="558" t="s">
        <v>258</v>
      </c>
      <c r="F35" s="6" t="s">
        <v>11</v>
      </c>
      <c r="G35" s="566">
        <v>75000</v>
      </c>
      <c r="H35" s="369"/>
      <c r="I35" s="453" t="s">
        <v>8</v>
      </c>
      <c r="J35" s="494"/>
      <c r="K35" s="18"/>
      <c r="L35" s="12"/>
      <c r="O35" s="558" t="s">
        <v>449</v>
      </c>
      <c r="P35" s="22" t="s">
        <v>0</v>
      </c>
      <c r="Q35" s="712">
        <v>500000</v>
      </c>
      <c r="R35" s="310"/>
      <c r="S35" s="14" t="s">
        <v>8</v>
      </c>
      <c r="AB35" s="330"/>
    </row>
    <row r="36" spans="2:28" ht="15.75">
      <c r="B36" s="12"/>
      <c r="C36" s="458"/>
      <c r="E36" s="558" t="s">
        <v>257</v>
      </c>
      <c r="F36" s="6" t="s">
        <v>1</v>
      </c>
      <c r="G36" s="567">
        <v>0</v>
      </c>
      <c r="I36" s="453" t="s">
        <v>8</v>
      </c>
      <c r="J36" s="494"/>
      <c r="K36" s="18"/>
      <c r="L36" s="379"/>
      <c r="M36" s="463"/>
      <c r="O36" s="558" t="s">
        <v>461</v>
      </c>
      <c r="P36" s="11"/>
      <c r="Q36" s="617" t="s">
        <v>140</v>
      </c>
      <c r="R36" s="431">
        <f>IF(OR($Q$30="Cost-Based",$Q$30="Neither",$Q$34="Tax Credit"),1,0)</f>
        <v>1</v>
      </c>
      <c r="S36" s="14" t="s">
        <v>8</v>
      </c>
      <c r="AB36" s="330"/>
    </row>
    <row r="37" spans="2:28" ht="15.75">
      <c r="B37" s="12"/>
      <c r="C37" s="458"/>
      <c r="E37" s="558" t="s">
        <v>361</v>
      </c>
      <c r="F37" s="6" t="s">
        <v>11</v>
      </c>
      <c r="G37" s="566">
        <v>25000</v>
      </c>
      <c r="H37" s="369"/>
      <c r="I37" s="453" t="s">
        <v>8</v>
      </c>
      <c r="J37" s="494"/>
      <c r="K37" s="18"/>
      <c r="L37" s="379"/>
      <c r="M37" s="458"/>
      <c r="O37" s="558" t="s">
        <v>450</v>
      </c>
      <c r="P37" s="93" t="s">
        <v>53</v>
      </c>
      <c r="Q37" s="618">
        <v>1.5</v>
      </c>
      <c r="R37" s="25"/>
      <c r="S37" s="14" t="s">
        <v>8</v>
      </c>
      <c r="T37" s="431"/>
      <c r="U37" s="452"/>
      <c r="AB37" s="330"/>
    </row>
    <row r="38" spans="2:28" ht="15.75">
      <c r="B38" s="12"/>
      <c r="C38" s="458"/>
      <c r="E38" s="548" t="s">
        <v>117</v>
      </c>
      <c r="F38" s="6" t="s">
        <v>1</v>
      </c>
      <c r="G38" s="567">
        <v>0.03</v>
      </c>
      <c r="H38" s="351"/>
      <c r="I38" s="453" t="s">
        <v>8</v>
      </c>
      <c r="J38" s="494"/>
      <c r="K38" s="18"/>
      <c r="L38" s="379"/>
      <c r="M38" s="458"/>
      <c r="N38" s="1">
        <f>IF(OR(Q38&lt;0,Q38&gt;G11),1,0)</f>
        <v>0</v>
      </c>
      <c r="O38" s="558" t="s">
        <v>451</v>
      </c>
      <c r="P38" s="22" t="s">
        <v>32</v>
      </c>
      <c r="Q38" s="559">
        <v>10</v>
      </c>
      <c r="R38" s="25"/>
      <c r="S38" s="14" t="s">
        <v>8</v>
      </c>
      <c r="AB38" s="330"/>
    </row>
    <row r="39" spans="2:28" ht="16.5" thickBot="1">
      <c r="B39" s="12"/>
      <c r="E39" s="568" t="s">
        <v>328</v>
      </c>
      <c r="F39" s="561" t="s">
        <v>0</v>
      </c>
      <c r="G39" s="569">
        <f>-'Cash Flow'!G34</f>
        <v>84516.479999999996</v>
      </c>
      <c r="H39" s="356"/>
      <c r="I39" s="453" t="s">
        <v>8</v>
      </c>
      <c r="J39" s="330"/>
      <c r="K39" s="18"/>
      <c r="L39" s="379"/>
      <c r="M39" s="458"/>
      <c r="O39" s="558" t="s">
        <v>452</v>
      </c>
      <c r="P39" s="6" t="s">
        <v>1</v>
      </c>
      <c r="Q39" s="601">
        <v>0.02</v>
      </c>
      <c r="R39" s="18"/>
      <c r="S39" s="14" t="s">
        <v>8</v>
      </c>
      <c r="T39" s="431"/>
      <c r="AB39" s="330"/>
    </row>
    <row r="40" spans="2:28" ht="16.5" thickBot="1">
      <c r="B40" s="12"/>
      <c r="C40" s="410"/>
      <c r="E40" s="13"/>
      <c r="F40" s="13"/>
      <c r="G40" s="13"/>
      <c r="I40" s="20"/>
      <c r="J40" s="494"/>
      <c r="K40" s="18"/>
      <c r="L40" s="379"/>
      <c r="M40" s="458"/>
      <c r="N40" s="18"/>
      <c r="O40" s="710" t="s">
        <v>459</v>
      </c>
      <c r="P40" s="670" t="s">
        <v>358</v>
      </c>
      <c r="Q40" s="713">
        <v>0</v>
      </c>
      <c r="S40" s="14" t="s">
        <v>8</v>
      </c>
      <c r="U40" s="18"/>
      <c r="AB40" s="330"/>
    </row>
    <row r="41" spans="2:28" ht="16.5" thickBot="1">
      <c r="B41" s="12"/>
      <c r="C41" s="410"/>
      <c r="E41" s="5" t="s">
        <v>207</v>
      </c>
      <c r="F41" s="432" t="s">
        <v>302</v>
      </c>
      <c r="G41" s="502" t="s">
        <v>337</v>
      </c>
      <c r="H41" s="370"/>
      <c r="I41" s="20"/>
      <c r="J41" s="494"/>
      <c r="K41" s="18"/>
      <c r="L41" s="12"/>
      <c r="O41" s="558" t="s">
        <v>448</v>
      </c>
      <c r="P41" s="22" t="s">
        <v>0</v>
      </c>
      <c r="Q41" s="711">
        <v>500000</v>
      </c>
      <c r="S41" s="14" t="s">
        <v>8</v>
      </c>
      <c r="T41" s="503"/>
      <c r="U41" s="433"/>
      <c r="AB41" s="330"/>
    </row>
    <row r="42" spans="2:28" ht="16.5" thickBot="1">
      <c r="B42" s="12"/>
      <c r="C42" s="461"/>
      <c r="E42" s="557" t="s">
        <v>5</v>
      </c>
      <c r="F42" s="545" t="s">
        <v>36</v>
      </c>
      <c r="G42" s="574">
        <v>6</v>
      </c>
      <c r="H42" s="370"/>
      <c r="I42" s="14" t="s">
        <v>8</v>
      </c>
      <c r="J42" s="494"/>
      <c r="K42" s="18"/>
      <c r="L42" s="379"/>
      <c r="M42" s="463"/>
      <c r="O42" s="568" t="s">
        <v>255</v>
      </c>
      <c r="P42" s="561"/>
      <c r="Q42" s="623" t="s">
        <v>13</v>
      </c>
      <c r="R42" s="25"/>
      <c r="S42" s="14" t="s">
        <v>8</v>
      </c>
      <c r="AB42" s="330"/>
    </row>
    <row r="43" spans="2:28" ht="16.5" thickBot="1">
      <c r="B43" s="12"/>
      <c r="C43" s="461"/>
      <c r="E43" s="575" t="s">
        <v>35</v>
      </c>
      <c r="F43" s="7" t="s">
        <v>1</v>
      </c>
      <c r="G43" s="576">
        <v>5.5E-2</v>
      </c>
      <c r="H43" s="370"/>
      <c r="I43" s="14" t="s">
        <v>8</v>
      </c>
      <c r="J43" s="494"/>
      <c r="K43" s="18"/>
      <c r="L43" s="379"/>
      <c r="T43" s="18"/>
      <c r="U43" s="381"/>
      <c r="AB43" s="330"/>
    </row>
    <row r="44" spans="2:28" ht="16.5" thickBot="1">
      <c r="B44" s="12"/>
      <c r="C44" s="410"/>
      <c r="E44" s="560" t="s">
        <v>37</v>
      </c>
      <c r="F44" s="550" t="s">
        <v>0</v>
      </c>
      <c r="G44" s="569">
        <f>IF($G$14="intermediate",SUM(G16:G19)*($G$43/12)*($G$42/2),IF($G$14="complex",'Complex Inputs'!$C$107,0))</f>
        <v>0</v>
      </c>
      <c r="H44" s="370"/>
      <c r="I44" s="14" t="s">
        <v>8</v>
      </c>
      <c r="J44" s="494"/>
      <c r="K44" s="18"/>
      <c r="L44" s="379"/>
      <c r="M44" s="18"/>
      <c r="N44" s="18"/>
      <c r="O44" s="5" t="s">
        <v>359</v>
      </c>
      <c r="P44" s="27"/>
      <c r="Q44" s="502"/>
      <c r="R44" s="18"/>
      <c r="S44" s="18"/>
      <c r="T44" s="18"/>
      <c r="U44" s="18"/>
      <c r="AB44" s="330"/>
    </row>
    <row r="45" spans="2:28" ht="16.5" thickBot="1">
      <c r="B45" s="12"/>
      <c r="G45" s="254"/>
      <c r="H45" s="254"/>
      <c r="I45" s="20"/>
      <c r="J45" s="494"/>
      <c r="K45" s="18"/>
      <c r="L45" s="379"/>
      <c r="M45" s="464"/>
      <c r="N45" s="18">
        <f>IF(OR(Q45&lt;1,Q45&gt;$G$11),1,0)</f>
        <v>0</v>
      </c>
      <c r="O45" s="557" t="s">
        <v>64</v>
      </c>
      <c r="P45" s="621" t="s">
        <v>28</v>
      </c>
      <c r="Q45" s="672">
        <v>7</v>
      </c>
      <c r="R45" s="18"/>
      <c r="S45" s="14" t="s">
        <v>8</v>
      </c>
      <c r="T45" s="18"/>
      <c r="U45" s="18"/>
      <c r="AB45" s="330"/>
    </row>
    <row r="46" spans="2:28" ht="16.5" thickBot="1">
      <c r="B46" s="12"/>
      <c r="C46" s="410"/>
      <c r="E46" s="584" t="s">
        <v>34</v>
      </c>
      <c r="F46" s="585" t="s">
        <v>302</v>
      </c>
      <c r="G46" s="586" t="s">
        <v>337</v>
      </c>
      <c r="H46" s="370"/>
      <c r="I46" s="496"/>
      <c r="J46" s="494"/>
      <c r="K46" s="18"/>
      <c r="L46" s="379"/>
      <c r="M46" s="409"/>
      <c r="N46" s="18"/>
      <c r="O46" s="560" t="s">
        <v>267</v>
      </c>
      <c r="P46" s="628" t="str">
        <f>$F$15</f>
        <v>$/kW</v>
      </c>
      <c r="Q46" s="633">
        <v>0</v>
      </c>
      <c r="R46" s="18"/>
      <c r="S46" s="14" t="s">
        <v>8</v>
      </c>
      <c r="T46" s="18"/>
      <c r="U46" s="18"/>
      <c r="AB46" s="330"/>
    </row>
    <row r="47" spans="2:28" ht="15.75">
      <c r="B47" s="12"/>
      <c r="C47" s="458"/>
      <c r="D47" s="1">
        <f>IF(OR(G47="",G47&lt;0,G47&gt;1),1,0)</f>
        <v>0</v>
      </c>
      <c r="E47" s="563" t="s">
        <v>259</v>
      </c>
      <c r="F47" s="545" t="s">
        <v>1</v>
      </c>
      <c r="G47" s="577">
        <v>0.5</v>
      </c>
      <c r="H47" s="371"/>
      <c r="I47" s="14" t="s">
        <v>8</v>
      </c>
      <c r="J47" s="495"/>
      <c r="K47" s="18"/>
      <c r="L47" s="379"/>
      <c r="M47" s="464"/>
      <c r="N47" s="18">
        <f>IF(OR(Q47&lt;Q45,Q47&gt;$G$11),1,0)</f>
        <v>0</v>
      </c>
      <c r="O47" s="631" t="s">
        <v>65</v>
      </c>
      <c r="P47" s="29" t="s">
        <v>28</v>
      </c>
      <c r="Q47" s="632">
        <v>14</v>
      </c>
      <c r="R47" s="18"/>
      <c r="S47" s="14" t="s">
        <v>8</v>
      </c>
      <c r="T47" s="18"/>
      <c r="U47" s="18"/>
      <c r="AB47" s="330"/>
    </row>
    <row r="48" spans="2:28" ht="16.5" thickBot="1">
      <c r="B48" s="12"/>
      <c r="C48" s="458"/>
      <c r="D48" s="1">
        <f>IF(OR(G48&lt;=0,G48&gt;G11),1,0)</f>
        <v>0</v>
      </c>
      <c r="E48" s="558" t="s">
        <v>442</v>
      </c>
      <c r="F48" s="7" t="s">
        <v>4</v>
      </c>
      <c r="G48" s="559">
        <v>15</v>
      </c>
      <c r="H48" s="353"/>
      <c r="I48" s="14" t="s">
        <v>8</v>
      </c>
      <c r="J48" s="495"/>
      <c r="K48" s="18"/>
      <c r="L48" s="379"/>
      <c r="M48" s="409"/>
      <c r="N48" s="18"/>
      <c r="O48" s="560" t="s">
        <v>268</v>
      </c>
      <c r="P48" s="628" t="str">
        <f>$F$15</f>
        <v>$/kW</v>
      </c>
      <c r="Q48" s="633">
        <v>0</v>
      </c>
      <c r="R48" s="18"/>
      <c r="S48" s="14" t="s">
        <v>8</v>
      </c>
      <c r="T48" s="18"/>
      <c r="U48" s="18"/>
      <c r="AB48" s="330"/>
    </row>
    <row r="49" spans="2:28" ht="15.75">
      <c r="B49" s="12"/>
      <c r="C49" s="461"/>
      <c r="D49" s="1">
        <f>IF(OR(G49&lt;0,G49=""),1,0)</f>
        <v>0</v>
      </c>
      <c r="E49" s="558" t="s">
        <v>221</v>
      </c>
      <c r="F49" s="7" t="s">
        <v>1</v>
      </c>
      <c r="G49" s="589">
        <v>7.0000000000000007E-2</v>
      </c>
      <c r="H49" s="372"/>
      <c r="I49" s="14" t="s">
        <v>8</v>
      </c>
      <c r="J49" s="495"/>
      <c r="K49" s="18"/>
      <c r="L49" s="379"/>
      <c r="M49" s="464"/>
      <c r="N49" s="18">
        <f>IF(OR(Q49&lt;Q47,Q49&gt;$G$11),1,0)</f>
        <v>0</v>
      </c>
      <c r="O49" s="575" t="s">
        <v>390</v>
      </c>
      <c r="P49" s="22" t="s">
        <v>28</v>
      </c>
      <c r="Q49" s="632">
        <v>15</v>
      </c>
      <c r="R49" s="18"/>
      <c r="S49" s="14" t="s">
        <v>8</v>
      </c>
      <c r="T49" s="18"/>
      <c r="U49" s="18"/>
      <c r="AB49" s="330"/>
    </row>
    <row r="50" spans="2:28" ht="16.5" thickBot="1">
      <c r="B50" s="12"/>
      <c r="C50" s="458"/>
      <c r="D50" s="1">
        <f>IF(OR(G50&lt;0,G50=""),1,0)</f>
        <v>0</v>
      </c>
      <c r="E50" s="590" t="s">
        <v>48</v>
      </c>
      <c r="F50" s="561" t="s">
        <v>1</v>
      </c>
      <c r="G50" s="591">
        <v>0.03</v>
      </c>
      <c r="H50" s="351"/>
      <c r="I50" s="14" t="s">
        <v>8</v>
      </c>
      <c r="J50" s="494"/>
      <c r="K50" s="18"/>
      <c r="L50" s="379"/>
      <c r="M50" s="409"/>
      <c r="N50" s="18"/>
      <c r="O50" s="560" t="s">
        <v>391</v>
      </c>
      <c r="P50" s="628" t="str">
        <f>$F$15</f>
        <v>$/kW</v>
      </c>
      <c r="Q50" s="633">
        <v>0</v>
      </c>
      <c r="R50" s="18"/>
      <c r="S50" s="14" t="s">
        <v>8</v>
      </c>
      <c r="AB50" s="330"/>
    </row>
    <row r="51" spans="2:28" ht="15.75">
      <c r="B51" s="12"/>
      <c r="C51" s="458"/>
      <c r="E51" s="587" t="s">
        <v>234</v>
      </c>
      <c r="F51" s="456"/>
      <c r="G51" s="588">
        <v>1.2</v>
      </c>
      <c r="H51" s="360"/>
      <c r="I51" s="14" t="s">
        <v>8</v>
      </c>
      <c r="J51" s="494"/>
      <c r="K51" s="18"/>
      <c r="L51" s="379"/>
      <c r="M51" s="464"/>
      <c r="N51" s="18">
        <f>IF(OR(Q51&lt;Q49,Q51&gt;$G$11),1,0)</f>
        <v>0</v>
      </c>
      <c r="O51" s="575" t="s">
        <v>392</v>
      </c>
      <c r="P51" s="22" t="s">
        <v>28</v>
      </c>
      <c r="Q51" s="632">
        <v>20</v>
      </c>
      <c r="R51" s="18"/>
      <c r="S51" s="14" t="s">
        <v>8</v>
      </c>
      <c r="AB51" s="330"/>
    </row>
    <row r="52" spans="2:28" ht="16.5" thickBot="1">
      <c r="B52" s="12"/>
      <c r="E52" s="579" t="s">
        <v>235</v>
      </c>
      <c r="F52" s="332">
        <f>MAX('Cash Flow'!G42:AJ42)</f>
        <v>15</v>
      </c>
      <c r="G52" s="580">
        <f>ROUND('Cash Flow'!$F$41,2)</f>
        <v>1.02</v>
      </c>
      <c r="H52" s="361"/>
      <c r="I52" s="14" t="s">
        <v>8</v>
      </c>
      <c r="J52" s="494"/>
      <c r="K52" s="18"/>
      <c r="L52" s="379"/>
      <c r="M52" s="409"/>
      <c r="N52" s="18"/>
      <c r="O52" s="560" t="s">
        <v>393</v>
      </c>
      <c r="P52" s="628" t="str">
        <f>$F$15</f>
        <v>$/kW</v>
      </c>
      <c r="Q52" s="633">
        <v>0</v>
      </c>
      <c r="R52" s="18"/>
      <c r="S52" s="14" t="s">
        <v>8</v>
      </c>
      <c r="AB52" s="330"/>
    </row>
    <row r="53" spans="2:28" ht="16.5" thickBot="1">
      <c r="B53" s="12"/>
      <c r="C53" s="458"/>
      <c r="E53" s="579" t="s">
        <v>335</v>
      </c>
      <c r="F53" s="11" t="s">
        <v>204</v>
      </c>
      <c r="G53" s="581" t="str">
        <f>IF($G$52&gt;=$G$51,"Pass","Fail")</f>
        <v>Fail</v>
      </c>
      <c r="H53" s="497"/>
      <c r="I53" s="14" t="s">
        <v>8</v>
      </c>
      <c r="J53" s="495"/>
      <c r="K53" s="18"/>
      <c r="L53" s="379"/>
      <c r="AB53" s="330"/>
    </row>
    <row r="54" spans="2:28" ht="16.5" thickBot="1">
      <c r="B54" s="12"/>
      <c r="C54" s="458"/>
      <c r="E54" s="579" t="s">
        <v>264</v>
      </c>
      <c r="F54" s="11"/>
      <c r="G54" s="582">
        <v>1.45</v>
      </c>
      <c r="H54" s="360"/>
      <c r="I54" s="14" t="s">
        <v>8</v>
      </c>
      <c r="J54" s="494"/>
      <c r="K54" s="18"/>
      <c r="L54" s="379"/>
      <c r="M54" s="18"/>
      <c r="N54" s="18"/>
      <c r="O54" s="5" t="s">
        <v>45</v>
      </c>
      <c r="P54" s="432" t="s">
        <v>302</v>
      </c>
      <c r="Q54" s="502" t="s">
        <v>337</v>
      </c>
      <c r="R54" s="18"/>
      <c r="S54" s="18"/>
      <c r="T54" s="18"/>
      <c r="U54" s="18"/>
      <c r="AB54" s="330"/>
    </row>
    <row r="55" spans="2:28" ht="15.75">
      <c r="B55" s="12"/>
      <c r="E55" s="579" t="s">
        <v>263</v>
      </c>
      <c r="F55" s="332"/>
      <c r="G55" s="580">
        <f>ROUND('Cash Flow'!$E$41,2)</f>
        <v>1.17</v>
      </c>
      <c r="H55" s="361"/>
      <c r="I55" s="14" t="s">
        <v>8</v>
      </c>
      <c r="J55" s="494"/>
      <c r="K55" s="18"/>
      <c r="L55" s="379"/>
      <c r="M55" s="18"/>
      <c r="N55" s="18"/>
      <c r="O55" s="634" t="s">
        <v>44</v>
      </c>
      <c r="P55" s="635"/>
      <c r="Q55" s="636"/>
      <c r="R55" s="18"/>
      <c r="S55" s="18"/>
      <c r="T55" s="18"/>
      <c r="AB55" s="330"/>
    </row>
    <row r="56" spans="2:28" ht="16.5" thickBot="1">
      <c r="B56" s="12"/>
      <c r="C56" s="458"/>
      <c r="E56" s="549" t="s">
        <v>336</v>
      </c>
      <c r="F56" s="550" t="s">
        <v>204</v>
      </c>
      <c r="G56" s="583" t="str">
        <f>IF($G$55&gt;=$G$54,"Pass","Fail")</f>
        <v>Fail</v>
      </c>
      <c r="H56" s="497"/>
      <c r="I56" s="14" t="s">
        <v>8</v>
      </c>
      <c r="J56" s="494"/>
      <c r="K56" s="18"/>
      <c r="L56" s="379"/>
      <c r="M56" s="463"/>
      <c r="N56" s="18"/>
      <c r="O56" s="637" t="s">
        <v>46</v>
      </c>
      <c r="P56" s="28"/>
      <c r="Q56" s="617" t="s">
        <v>462</v>
      </c>
      <c r="R56" s="18"/>
      <c r="S56" s="14" t="s">
        <v>8</v>
      </c>
      <c r="T56" s="18"/>
      <c r="U56" s="18"/>
      <c r="AB56" s="330"/>
    </row>
    <row r="57" spans="2:28" ht="16.5" thickBot="1">
      <c r="B57" s="12"/>
      <c r="E57" s="544" t="s">
        <v>339</v>
      </c>
      <c r="F57" s="545" t="s">
        <v>1</v>
      </c>
      <c r="G57" s="592">
        <f>1-G47</f>
        <v>0.5</v>
      </c>
      <c r="H57" s="373"/>
      <c r="I57" s="14" t="s">
        <v>8</v>
      </c>
      <c r="J57" s="494"/>
      <c r="K57" s="18"/>
      <c r="L57" s="379"/>
      <c r="M57" s="464"/>
      <c r="N57" s="18"/>
      <c r="O57" s="560" t="s">
        <v>47</v>
      </c>
      <c r="P57" s="628" t="s">
        <v>0</v>
      </c>
      <c r="Q57" s="595">
        <v>500000</v>
      </c>
      <c r="R57" s="18"/>
      <c r="S57" s="14" t="s">
        <v>8</v>
      </c>
      <c r="T57" s="18"/>
      <c r="U57" s="474"/>
      <c r="AB57" s="330"/>
    </row>
    <row r="58" spans="2:28" ht="16.5" thickBot="1">
      <c r="B58" s="12"/>
      <c r="C58" s="458"/>
      <c r="D58" s="1">
        <f>IF(OR(G58&lt;0,G58=""),1,0)</f>
        <v>0</v>
      </c>
      <c r="E58" s="593" t="s">
        <v>282</v>
      </c>
      <c r="F58" s="561" t="s">
        <v>1</v>
      </c>
      <c r="G58" s="578">
        <v>0.15</v>
      </c>
      <c r="H58" s="372"/>
      <c r="I58" s="14" t="s">
        <v>8</v>
      </c>
      <c r="J58" s="494"/>
      <c r="K58" s="18"/>
      <c r="L58" s="379"/>
      <c r="U58" s="474"/>
      <c r="AB58" s="330"/>
    </row>
    <row r="59" spans="2:28" ht="16.5" thickBot="1">
      <c r="B59" s="12"/>
      <c r="E59" s="563" t="s">
        <v>321</v>
      </c>
      <c r="F59" s="545" t="s">
        <v>1</v>
      </c>
      <c r="G59" s="594">
        <f>(G58*F64)+(F63*G49*(1-G74))</f>
        <v>9.5816249999999992E-2</v>
      </c>
      <c r="I59" s="14" t="s">
        <v>8</v>
      </c>
      <c r="J59" s="330"/>
      <c r="K59" s="18"/>
      <c r="L59" s="379"/>
      <c r="M59" s="18"/>
      <c r="N59" s="18"/>
      <c r="O59" s="5" t="s">
        <v>38</v>
      </c>
      <c r="P59" s="432" t="s">
        <v>302</v>
      </c>
      <c r="Q59" s="502" t="s">
        <v>337</v>
      </c>
      <c r="R59" s="18"/>
      <c r="S59" s="18"/>
      <c r="T59" s="18"/>
      <c r="U59" s="467"/>
      <c r="AB59" s="330"/>
    </row>
    <row r="60" spans="2:28" ht="16.5" thickBot="1">
      <c r="B60" s="12"/>
      <c r="C60" s="458"/>
      <c r="E60" s="590" t="s">
        <v>189</v>
      </c>
      <c r="F60" s="561" t="s">
        <v>0</v>
      </c>
      <c r="G60" s="595">
        <v>0</v>
      </c>
      <c r="H60" s="369"/>
      <c r="I60" s="14" t="s">
        <v>8</v>
      </c>
      <c r="J60" s="330"/>
      <c r="K60" s="18"/>
      <c r="L60" s="379"/>
      <c r="M60" s="18"/>
      <c r="N60" s="18"/>
      <c r="O60" s="638" t="s">
        <v>39</v>
      </c>
      <c r="P60" s="629"/>
      <c r="Q60" s="630"/>
      <c r="R60" s="18"/>
      <c r="S60" s="18"/>
      <c r="T60" s="18"/>
      <c r="U60" s="18"/>
      <c r="AB60" s="330"/>
    </row>
    <row r="61" spans="2:28" ht="16.5" thickBot="1">
      <c r="B61" s="12"/>
      <c r="J61" s="330"/>
      <c r="K61" s="18"/>
      <c r="L61" s="379"/>
      <c r="M61" s="464"/>
      <c r="N61" s="18"/>
      <c r="O61" s="558" t="s">
        <v>43</v>
      </c>
      <c r="P61" s="7" t="s">
        <v>36</v>
      </c>
      <c r="Q61" s="559">
        <v>6</v>
      </c>
      <c r="R61" s="18"/>
      <c r="S61" s="14" t="s">
        <v>8</v>
      </c>
      <c r="T61" s="18"/>
      <c r="U61" s="18"/>
      <c r="AB61" s="330"/>
    </row>
    <row r="62" spans="2:28" ht="16.5" thickBot="1">
      <c r="B62" s="379"/>
      <c r="E62" s="398" t="s">
        <v>262</v>
      </c>
      <c r="F62" s="27"/>
      <c r="G62" s="399"/>
      <c r="J62" s="330"/>
      <c r="K62" s="18"/>
      <c r="L62" s="379"/>
      <c r="M62" s="18"/>
      <c r="N62" s="18"/>
      <c r="O62" s="568" t="s">
        <v>42</v>
      </c>
      <c r="P62" s="561" t="s">
        <v>0</v>
      </c>
      <c r="Q62" s="639">
        <f>-'Cash Flow'!$G$85/12*$Q$61</f>
        <v>686216.40438129078</v>
      </c>
      <c r="R62" s="18"/>
      <c r="S62" s="14" t="s">
        <v>8</v>
      </c>
      <c r="T62" s="18"/>
      <c r="U62" s="18"/>
      <c r="AB62" s="330"/>
    </row>
    <row r="63" spans="2:28" ht="15.75">
      <c r="B63" s="379"/>
      <c r="E63" s="563" t="s">
        <v>260</v>
      </c>
      <c r="F63" s="692">
        <f>G63/$G$66</f>
        <v>0.5</v>
      </c>
      <c r="G63" s="596">
        <f>'Cash Flow'!F82</f>
        <v>12500000</v>
      </c>
      <c r="I63" s="14" t="s">
        <v>8</v>
      </c>
      <c r="J63" s="330"/>
      <c r="K63" s="18"/>
      <c r="L63" s="379"/>
      <c r="M63" s="18"/>
      <c r="N63" s="18"/>
      <c r="O63" s="638" t="s">
        <v>63</v>
      </c>
      <c r="P63" s="629"/>
      <c r="Q63" s="640"/>
      <c r="R63" s="18"/>
      <c r="S63" s="18"/>
      <c r="T63" s="18"/>
      <c r="U63" s="18"/>
      <c r="AB63" s="330"/>
    </row>
    <row r="64" spans="2:28" ht="15.75">
      <c r="B64" s="379"/>
      <c r="E64" s="558" t="s">
        <v>261</v>
      </c>
      <c r="F64" s="691">
        <f>G64/$G$66</f>
        <v>0.5</v>
      </c>
      <c r="G64" s="564">
        <f>-'Cash Flow'!$F$52</f>
        <v>12500000</v>
      </c>
      <c r="I64" s="14" t="s">
        <v>8</v>
      </c>
      <c r="J64" s="330"/>
      <c r="K64" s="18"/>
      <c r="L64" s="379"/>
      <c r="M64" s="464"/>
      <c r="N64" s="18"/>
      <c r="O64" s="575" t="s">
        <v>40</v>
      </c>
      <c r="P64" s="7" t="s">
        <v>36</v>
      </c>
      <c r="Q64" s="559">
        <v>6</v>
      </c>
      <c r="R64" s="18"/>
      <c r="S64" s="14" t="s">
        <v>8</v>
      </c>
      <c r="T64" s="18"/>
      <c r="AB64" s="330"/>
    </row>
    <row r="65" spans="2:28" ht="16.5" thickBot="1">
      <c r="B65" s="12"/>
      <c r="E65" s="597" t="s">
        <v>325</v>
      </c>
      <c r="F65" s="697">
        <f>G65/$G$66</f>
        <v>0</v>
      </c>
      <c r="G65" s="698">
        <f>IF($Q$27="Yes",$Q$26*(1-$G$70),$Q$26)+IF($Q$42="Yes",IF($Q$41=0,($Q$40*$G$7)*(1-$G$72),MIN($Q$41*(1-$G$72),($Q$40*$G$7)*(1-$G$72))),IF($Q$41=0,$Q$40*$G$7,MIN($Q$41,$Q$40*$G$7)))</f>
        <v>0</v>
      </c>
      <c r="H65" s="358"/>
      <c r="I65" s="14" t="s">
        <v>8</v>
      </c>
      <c r="J65" s="330"/>
      <c r="L65" s="379"/>
      <c r="M65" s="18"/>
      <c r="N65" s="18"/>
      <c r="O65" s="560" t="s">
        <v>41</v>
      </c>
      <c r="P65" s="561" t="s">
        <v>0</v>
      </c>
      <c r="Q65" s="639">
        <f>-(AVERAGE('Cash Flow'!G36:AJ36)/12*$Q$64)</f>
        <v>576690.21690823347</v>
      </c>
      <c r="R65" s="18"/>
      <c r="S65" s="14" t="s">
        <v>8</v>
      </c>
      <c r="T65" s="18"/>
      <c r="U65" s="18"/>
      <c r="AB65" s="330"/>
    </row>
    <row r="66" spans="2:28" ht="17.25" thickTop="1" thickBot="1">
      <c r="B66" s="379"/>
      <c r="E66" s="598" t="s">
        <v>139</v>
      </c>
      <c r="F66" s="556" t="s">
        <v>0</v>
      </c>
      <c r="G66" s="599">
        <f>SUM(G63:G65)</f>
        <v>25000000</v>
      </c>
      <c r="I66" s="14" t="s">
        <v>8</v>
      </c>
      <c r="J66" s="330"/>
      <c r="K66" s="18"/>
      <c r="L66" s="379"/>
      <c r="M66" s="464"/>
      <c r="N66" s="18"/>
      <c r="O66" s="642" t="s">
        <v>150</v>
      </c>
      <c r="P66" s="532" t="s">
        <v>1</v>
      </c>
      <c r="Q66" s="641">
        <v>1.4999999999999999E-2</v>
      </c>
      <c r="R66" s="18"/>
      <c r="S66" s="14" t="s">
        <v>8</v>
      </c>
      <c r="T66" s="18"/>
      <c r="AB66" s="330"/>
    </row>
    <row r="67" spans="2:28" ht="15.75" thickBot="1">
      <c r="B67" s="12"/>
      <c r="J67" s="330"/>
      <c r="L67" s="12"/>
      <c r="AB67" s="330"/>
    </row>
    <row r="68" spans="2:28" ht="16.5" thickBot="1">
      <c r="B68" s="12"/>
      <c r="E68" s="5" t="s">
        <v>159</v>
      </c>
      <c r="F68" s="432" t="s">
        <v>302</v>
      </c>
      <c r="G68" s="502" t="s">
        <v>337</v>
      </c>
      <c r="H68" s="374"/>
      <c r="I68" s="20"/>
      <c r="J68" s="330"/>
      <c r="L68" s="12"/>
      <c r="M68" s="18"/>
      <c r="N68" s="18"/>
      <c r="O68" s="434" t="s">
        <v>95</v>
      </c>
      <c r="P68" s="530" t="s">
        <v>338</v>
      </c>
      <c r="Q68" s="530"/>
      <c r="R68" s="530"/>
      <c r="S68" s="530"/>
      <c r="T68" s="530"/>
      <c r="U68" s="530"/>
      <c r="V68" s="530"/>
      <c r="W68" s="530"/>
      <c r="X68" s="530"/>
      <c r="Y68" s="530"/>
      <c r="Z68" s="399"/>
      <c r="AB68" s="330"/>
    </row>
    <row r="69" spans="2:28" ht="16.5" thickBot="1">
      <c r="B69" s="12"/>
      <c r="C69" s="462"/>
      <c r="E69" s="531" t="s">
        <v>16</v>
      </c>
      <c r="F69" s="662"/>
      <c r="G69" s="663" t="s">
        <v>13</v>
      </c>
      <c r="H69" s="363"/>
      <c r="I69" s="14" t="s">
        <v>8</v>
      </c>
      <c r="J69" s="330"/>
      <c r="L69" s="12"/>
      <c r="M69" s="462"/>
      <c r="N69" s="18"/>
      <c r="O69" s="620" t="s">
        <v>363</v>
      </c>
      <c r="P69" s="600" t="s">
        <v>13</v>
      </c>
      <c r="S69" s="510" t="s">
        <v>8</v>
      </c>
      <c r="Z69" s="330"/>
      <c r="AB69" s="330"/>
    </row>
    <row r="70" spans="2:28" ht="16.5" thickBot="1">
      <c r="B70" s="12"/>
      <c r="C70" s="458"/>
      <c r="D70" s="1">
        <f>IF(OR(G70&lt;0,G70=""),1,0)</f>
        <v>0</v>
      </c>
      <c r="E70" s="552" t="s">
        <v>6</v>
      </c>
      <c r="F70" s="545" t="s">
        <v>1</v>
      </c>
      <c r="G70" s="664">
        <v>0.35</v>
      </c>
      <c r="H70" s="351"/>
      <c r="I70" s="14" t="s">
        <v>8</v>
      </c>
      <c r="J70" s="494"/>
      <c r="L70" s="12"/>
      <c r="M70" s="464"/>
      <c r="O70" s="568" t="s">
        <v>364</v>
      </c>
      <c r="P70" s="643">
        <v>0.5</v>
      </c>
      <c r="S70" s="14" t="s">
        <v>8</v>
      </c>
      <c r="Z70" s="330"/>
      <c r="AB70" s="330"/>
    </row>
    <row r="71" spans="2:28" ht="16.5" thickBot="1">
      <c r="B71" s="12"/>
      <c r="C71" s="462"/>
      <c r="E71" s="619" t="s">
        <v>297</v>
      </c>
      <c r="F71" s="665"/>
      <c r="G71" s="623" t="s">
        <v>324</v>
      </c>
      <c r="H71" s="363"/>
      <c r="I71" s="14" t="s">
        <v>8</v>
      </c>
      <c r="J71" s="330"/>
      <c r="L71" s="12"/>
      <c r="O71" s="377"/>
      <c r="P71" s="94"/>
      <c r="Q71" s="94"/>
      <c r="R71" s="94"/>
      <c r="S71" s="94"/>
      <c r="T71" s="94"/>
      <c r="U71" s="94"/>
      <c r="V71" s="94"/>
      <c r="W71" s="94"/>
      <c r="X71" s="94"/>
      <c r="Y71" s="94"/>
      <c r="Z71" s="387"/>
      <c r="AB71" s="330"/>
    </row>
    <row r="72" spans="2:28" ht="16.5" thickBot="1">
      <c r="B72" s="12"/>
      <c r="C72" s="458"/>
      <c r="D72" s="1">
        <f>IF(OR(G72&lt;0,G72=""),1,0)</f>
        <v>0</v>
      </c>
      <c r="E72" s="552" t="s">
        <v>7</v>
      </c>
      <c r="F72" s="545" t="s">
        <v>1</v>
      </c>
      <c r="G72" s="664">
        <v>8.5000000000000006E-2</v>
      </c>
      <c r="H72" s="351"/>
      <c r="I72" s="14" t="s">
        <v>8</v>
      </c>
      <c r="J72" s="494"/>
      <c r="L72" s="12"/>
      <c r="M72" s="18"/>
      <c r="N72" s="18"/>
      <c r="O72" s="644" t="s">
        <v>365</v>
      </c>
      <c r="P72" s="645" t="s">
        <v>20</v>
      </c>
      <c r="Q72" s="726" t="s">
        <v>132</v>
      </c>
      <c r="R72" s="759" t="s">
        <v>21</v>
      </c>
      <c r="S72" s="760"/>
      <c r="T72" s="761"/>
      <c r="U72" s="645" t="s">
        <v>133</v>
      </c>
      <c r="V72" s="645" t="s">
        <v>134</v>
      </c>
      <c r="W72" s="645" t="s">
        <v>22</v>
      </c>
      <c r="X72" s="645" t="s">
        <v>23</v>
      </c>
      <c r="Y72" s="645" t="s">
        <v>135</v>
      </c>
      <c r="Z72" s="646" t="s">
        <v>24</v>
      </c>
      <c r="AB72" s="330"/>
    </row>
    <row r="73" spans="2:28" ht="16.5" thickBot="1">
      <c r="B73" s="12"/>
      <c r="C73" s="462"/>
      <c r="E73" s="619" t="s">
        <v>298</v>
      </c>
      <c r="F73" s="665"/>
      <c r="G73" s="623" t="s">
        <v>324</v>
      </c>
      <c r="H73" s="363"/>
      <c r="I73" s="14" t="s">
        <v>8</v>
      </c>
      <c r="J73" s="494"/>
      <c r="L73" s="12">
        <f>IF(AND($G$69="Yes",$G$14="Simple"),1,0)</f>
        <v>1</v>
      </c>
      <c r="M73" s="18"/>
      <c r="N73" s="310">
        <f>IF(AND($G$14="Simple",SUM(P73:Z73)=1),1,IF(AND($G$14="Simple",SUM(P73:Z73)&lt;&gt;1),2,0))</f>
        <v>1</v>
      </c>
      <c r="O73" s="647" t="str">
        <f t="shared" ref="O73:O78" si="0">E15</f>
        <v>Total Installed Cost</v>
      </c>
      <c r="P73" s="648">
        <v>0.94</v>
      </c>
      <c r="Q73" s="727">
        <v>0</v>
      </c>
      <c r="R73" s="762">
        <v>1.4999999999999999E-2</v>
      </c>
      <c r="S73" s="763"/>
      <c r="T73" s="764"/>
      <c r="U73" s="648">
        <v>0.01</v>
      </c>
      <c r="V73" s="648">
        <v>0</v>
      </c>
      <c r="W73" s="648">
        <v>0</v>
      </c>
      <c r="X73" s="648">
        <v>0.01</v>
      </c>
      <c r="Y73" s="648">
        <v>0</v>
      </c>
      <c r="Z73" s="649">
        <v>2.5000000000000001E-2</v>
      </c>
      <c r="AB73" s="375" t="s">
        <v>8</v>
      </c>
    </row>
    <row r="74" spans="2:28" ht="15.75">
      <c r="B74" s="12"/>
      <c r="E74" s="666" t="s">
        <v>30</v>
      </c>
      <c r="F74" s="667" t="s">
        <v>1</v>
      </c>
      <c r="G74" s="668">
        <f>IF($G$69="Yes",$G$70+(G72*(1-$G$70)),0%)</f>
        <v>0.40525</v>
      </c>
      <c r="H74" s="376"/>
      <c r="I74" s="14" t="s">
        <v>8</v>
      </c>
      <c r="J74" s="494"/>
      <c r="L74" s="12">
        <f>IF(AND($G$69="Yes",$G$14="Intermediate"),1,0)</f>
        <v>0</v>
      </c>
      <c r="M74" s="18"/>
      <c r="N74" s="310">
        <f>IF(AND($G$14="Intermediate",SUM(P74:Z74)=1),1,IF(AND($G$14="Intermediate",SUM(P74:Z74)&lt;&gt;1),2,0))</f>
        <v>0</v>
      </c>
      <c r="O74" s="650" t="str">
        <f t="shared" si="0"/>
        <v>Generation Equipment</v>
      </c>
      <c r="P74" s="651">
        <v>0.96</v>
      </c>
      <c r="Q74" s="728">
        <v>0</v>
      </c>
      <c r="R74" s="765">
        <v>0.02</v>
      </c>
      <c r="S74" s="766"/>
      <c r="T74" s="767"/>
      <c r="U74" s="651">
        <v>0</v>
      </c>
      <c r="V74" s="651">
        <v>0</v>
      </c>
      <c r="W74" s="651">
        <v>0</v>
      </c>
      <c r="X74" s="651">
        <v>0.02</v>
      </c>
      <c r="Y74" s="651">
        <v>0</v>
      </c>
      <c r="Z74" s="652">
        <v>0</v>
      </c>
      <c r="AB74" s="375" t="s">
        <v>8</v>
      </c>
    </row>
    <row r="75" spans="2:28" ht="16.5" thickBot="1">
      <c r="B75" s="12"/>
      <c r="E75" s="568" t="s">
        <v>95</v>
      </c>
      <c r="F75" s="602"/>
      <c r="G75" s="603" t="s">
        <v>103</v>
      </c>
      <c r="H75" s="491"/>
      <c r="I75" s="14" t="s">
        <v>8</v>
      </c>
      <c r="J75" s="330"/>
      <c r="L75" s="12">
        <f>IF(AND($G$69="Yes",$G$14="Intermediate"),1,0)</f>
        <v>0</v>
      </c>
      <c r="M75" s="18"/>
      <c r="N75" s="310">
        <f>IF(AND($G$14="Intermediate",SUM(P75:Z75)=1),1,IF(AND($G$14="Intermediate",SUM(P75:Z75)&lt;&gt;1),2,0))</f>
        <v>0</v>
      </c>
      <c r="O75" s="653" t="str">
        <f t="shared" si="0"/>
        <v>Balance of Plant</v>
      </c>
      <c r="P75" s="454">
        <v>0.75</v>
      </c>
      <c r="Q75" s="724">
        <v>0</v>
      </c>
      <c r="R75" s="750">
        <v>0</v>
      </c>
      <c r="S75" s="751"/>
      <c r="T75" s="752"/>
      <c r="U75" s="454">
        <v>0</v>
      </c>
      <c r="V75" s="454">
        <v>0</v>
      </c>
      <c r="W75" s="454">
        <v>0.25</v>
      </c>
      <c r="X75" s="454">
        <v>0</v>
      </c>
      <c r="Y75" s="454">
        <v>0</v>
      </c>
      <c r="Z75" s="654">
        <v>0</v>
      </c>
      <c r="AB75" s="375" t="s">
        <v>8</v>
      </c>
    </row>
    <row r="76" spans="2:28" ht="15.75">
      <c r="B76" s="12"/>
      <c r="J76" s="330"/>
      <c r="L76" s="12">
        <f>IF(AND($G$69="Yes",$G$14="Intermediate"),1,0)</f>
        <v>0</v>
      </c>
      <c r="M76" s="18"/>
      <c r="N76" s="310">
        <f>IF(AND($G$14="Intermediate",SUM(P76:Z76)=1),1,IF(AND($G$14="Intermediate",SUM(P76:Z76)&lt;&gt;1),2,0))</f>
        <v>0</v>
      </c>
      <c r="O76" s="653" t="str">
        <f t="shared" si="0"/>
        <v>Interconnection</v>
      </c>
      <c r="P76" s="454">
        <v>0</v>
      </c>
      <c r="Q76" s="724">
        <v>0</v>
      </c>
      <c r="R76" s="750">
        <v>1</v>
      </c>
      <c r="S76" s="751"/>
      <c r="T76" s="752"/>
      <c r="U76" s="454">
        <v>0</v>
      </c>
      <c r="V76" s="454">
        <v>0</v>
      </c>
      <c r="W76" s="454">
        <v>0</v>
      </c>
      <c r="X76" s="454">
        <v>0</v>
      </c>
      <c r="Y76" s="454">
        <v>0</v>
      </c>
      <c r="Z76" s="654">
        <v>0</v>
      </c>
      <c r="AB76" s="375" t="s">
        <v>8</v>
      </c>
    </row>
    <row r="77" spans="2:28" ht="16.5" thickBot="1">
      <c r="B77" s="377"/>
      <c r="C77" s="94"/>
      <c r="D77" s="94"/>
      <c r="E77" s="94"/>
      <c r="F77" s="94"/>
      <c r="G77" s="94"/>
      <c r="H77" s="94"/>
      <c r="I77" s="94"/>
      <c r="J77" s="387"/>
      <c r="L77" s="12">
        <f>IF(AND($G$69="Yes",$G$14="Intermediate"),1,0)</f>
        <v>0</v>
      </c>
      <c r="M77" s="18"/>
      <c r="N77" s="310">
        <f>IF(AND($G$14="Intermediate",SUM(P77:Z77)=1),1,IF(AND($G$14="Intermediate",SUM(P77:Z77)&lt;&gt;1),2,0))</f>
        <v>0</v>
      </c>
      <c r="O77" s="653" t="str">
        <f t="shared" si="0"/>
        <v>Development Costs &amp; Fee</v>
      </c>
      <c r="P77" s="454">
        <v>0.8</v>
      </c>
      <c r="Q77" s="724">
        <v>0</v>
      </c>
      <c r="R77" s="750">
        <v>0</v>
      </c>
      <c r="S77" s="751"/>
      <c r="T77" s="752"/>
      <c r="U77" s="454">
        <v>0</v>
      </c>
      <c r="V77" s="454">
        <v>0</v>
      </c>
      <c r="W77" s="454">
        <v>0.05</v>
      </c>
      <c r="X77" s="454">
        <v>0.05</v>
      </c>
      <c r="Y77" s="454">
        <v>0</v>
      </c>
      <c r="Z77" s="654">
        <v>0.1</v>
      </c>
      <c r="AB77" s="375" t="s">
        <v>8</v>
      </c>
    </row>
    <row r="78" spans="2:28" ht="16.5" thickBot="1">
      <c r="L78" s="12">
        <f>IF(AND($G$69="Yes",$G$14="Intermediate"),1,0)</f>
        <v>0</v>
      </c>
      <c r="M78" s="18"/>
      <c r="N78" s="310">
        <f>IF(AND($G$14="Intermediate",SUM(P78:Z78)=1),1,IF(AND($G$14="Intermediate",SUM(P78:Z78)&lt;&gt;1),2,0))</f>
        <v>0</v>
      </c>
      <c r="O78" s="655" t="str">
        <f t="shared" si="0"/>
        <v>Reserves &amp; Financing Costs</v>
      </c>
      <c r="P78" s="656">
        <v>0</v>
      </c>
      <c r="Q78" s="725">
        <v>0</v>
      </c>
      <c r="R78" s="753">
        <v>0</v>
      </c>
      <c r="S78" s="754"/>
      <c r="T78" s="755"/>
      <c r="U78" s="656">
        <v>0</v>
      </c>
      <c r="V78" s="656">
        <v>0</v>
      </c>
      <c r="W78" s="656">
        <v>0</v>
      </c>
      <c r="X78" s="656">
        <v>0.5</v>
      </c>
      <c r="Y78" s="656">
        <v>0</v>
      </c>
      <c r="Z78" s="657">
        <v>0.5</v>
      </c>
      <c r="AB78" s="375" t="s">
        <v>8</v>
      </c>
    </row>
    <row r="79" spans="2:28" ht="16.5" thickBot="1">
      <c r="L79" s="377">
        <f>IF(AND($G$69="Yes",$G$14="Complex"),1,0)</f>
        <v>0</v>
      </c>
      <c r="M79" s="388"/>
      <c r="N79" s="388"/>
      <c r="O79" s="658" t="s">
        <v>322</v>
      </c>
      <c r="P79" s="659"/>
      <c r="Q79" s="660"/>
      <c r="R79" s="756"/>
      <c r="S79" s="757"/>
      <c r="T79" s="758"/>
      <c r="U79" s="659"/>
      <c r="V79" s="659"/>
      <c r="W79" s="659"/>
      <c r="X79" s="659"/>
      <c r="Y79" s="659"/>
      <c r="Z79" s="661"/>
      <c r="AA79" s="94"/>
      <c r="AB79" s="512" t="s">
        <v>8</v>
      </c>
    </row>
    <row r="81" spans="1:29" ht="15.75" thickBot="1"/>
    <row r="82" spans="1:29" ht="15.75">
      <c r="B82" s="437"/>
      <c r="C82" s="438"/>
      <c r="D82" s="438"/>
      <c r="E82" s="449" t="s">
        <v>303</v>
      </c>
      <c r="F82" s="438"/>
      <c r="G82" s="438"/>
      <c r="H82" s="438"/>
      <c r="I82" s="438"/>
      <c r="J82" s="438"/>
      <c r="K82" s="438"/>
      <c r="L82" s="438"/>
      <c r="M82" s="439"/>
      <c r="N82" s="439"/>
      <c r="O82" s="439"/>
      <c r="P82" s="439"/>
      <c r="Q82" s="439"/>
      <c r="R82" s="439"/>
      <c r="S82" s="439"/>
      <c r="T82" s="439"/>
      <c r="U82" s="439"/>
      <c r="V82" s="438"/>
      <c r="W82" s="438"/>
      <c r="X82" s="438"/>
      <c r="Y82" s="438"/>
      <c r="Z82" s="438"/>
      <c r="AA82" s="438"/>
      <c r="AB82" s="440"/>
    </row>
    <row r="83" spans="1:29" ht="15.75">
      <c r="B83" s="441"/>
      <c r="C83" s="435"/>
      <c r="D83" s="435"/>
      <c r="E83" s="442" t="s">
        <v>305</v>
      </c>
      <c r="F83" s="435"/>
      <c r="G83" s="435"/>
      <c r="H83" s="435"/>
      <c r="I83" s="435"/>
      <c r="J83" s="435"/>
      <c r="K83" s="435"/>
      <c r="L83" s="435"/>
      <c r="M83" s="436"/>
      <c r="N83" s="436"/>
      <c r="O83" s="436"/>
      <c r="P83" s="436"/>
      <c r="Q83" s="436"/>
      <c r="R83" s="436"/>
      <c r="S83" s="436"/>
      <c r="T83" s="436"/>
      <c r="U83" s="436"/>
      <c r="V83" s="435"/>
      <c r="W83" s="435"/>
      <c r="X83" s="435"/>
      <c r="Y83" s="435"/>
      <c r="Z83" s="435"/>
      <c r="AA83" s="435"/>
      <c r="AB83" s="443"/>
    </row>
    <row r="84" spans="1:29" ht="15.75">
      <c r="B84" s="441"/>
      <c r="C84" s="435"/>
      <c r="D84" s="435"/>
      <c r="E84" s="442" t="s">
        <v>306</v>
      </c>
      <c r="F84" s="435"/>
      <c r="G84" s="435"/>
      <c r="H84" s="435"/>
      <c r="I84" s="435"/>
      <c r="J84" s="435"/>
      <c r="K84" s="435"/>
      <c r="L84" s="435"/>
      <c r="M84" s="436"/>
      <c r="N84" s="436"/>
      <c r="O84" s="436"/>
      <c r="P84" s="436"/>
      <c r="Q84" s="436"/>
      <c r="R84" s="436"/>
      <c r="S84" s="436"/>
      <c r="T84" s="436"/>
      <c r="U84" s="436"/>
      <c r="V84" s="435"/>
      <c r="W84" s="435"/>
      <c r="X84" s="435"/>
      <c r="Y84" s="435"/>
      <c r="Z84" s="435"/>
      <c r="AA84" s="435"/>
      <c r="AB84" s="443"/>
    </row>
    <row r="85" spans="1:29" ht="15.75">
      <c r="B85" s="441"/>
      <c r="C85" s="435"/>
      <c r="D85" s="435"/>
      <c r="E85" s="442" t="s">
        <v>319</v>
      </c>
      <c r="F85" s="435"/>
      <c r="G85" s="435"/>
      <c r="H85" s="435"/>
      <c r="I85" s="435"/>
      <c r="J85" s="435"/>
      <c r="K85" s="435"/>
      <c r="L85" s="435"/>
      <c r="M85" s="436"/>
      <c r="N85" s="436"/>
      <c r="O85" s="436"/>
      <c r="P85" s="436"/>
      <c r="Q85" s="436"/>
      <c r="R85" s="436"/>
      <c r="S85" s="436"/>
      <c r="T85" s="436"/>
      <c r="U85" s="436"/>
      <c r="V85" s="435"/>
      <c r="W85" s="435"/>
      <c r="X85" s="435"/>
      <c r="Y85" s="435"/>
      <c r="Z85" s="435"/>
      <c r="AA85" s="435"/>
      <c r="AB85" s="443"/>
    </row>
    <row r="86" spans="1:29" ht="15.75">
      <c r="B86" s="441"/>
      <c r="C86" s="435"/>
      <c r="D86" s="435"/>
      <c r="E86" s="442" t="s">
        <v>320</v>
      </c>
      <c r="F86" s="435"/>
      <c r="G86" s="435"/>
      <c r="H86" s="435"/>
      <c r="I86" s="435"/>
      <c r="J86" s="435"/>
      <c r="K86" s="435"/>
      <c r="L86" s="435"/>
      <c r="M86" s="436"/>
      <c r="N86" s="436"/>
      <c r="O86" s="436"/>
      <c r="P86" s="436"/>
      <c r="Q86" s="436"/>
      <c r="R86" s="436"/>
      <c r="S86" s="436"/>
      <c r="T86" s="436"/>
      <c r="U86" s="436"/>
      <c r="V86" s="435"/>
      <c r="W86" s="435"/>
      <c r="X86" s="435"/>
      <c r="Y86" s="435"/>
      <c r="Z86" s="435"/>
      <c r="AA86" s="435"/>
      <c r="AB86" s="443"/>
    </row>
    <row r="87" spans="1:29" ht="15.75">
      <c r="B87" s="441"/>
      <c r="C87" s="435"/>
      <c r="D87" s="435"/>
      <c r="E87" s="442" t="s">
        <v>307</v>
      </c>
      <c r="F87" s="435"/>
      <c r="G87" s="435"/>
      <c r="H87" s="435"/>
      <c r="I87" s="435"/>
      <c r="J87" s="435"/>
      <c r="K87" s="435"/>
      <c r="L87" s="435"/>
      <c r="M87" s="436"/>
      <c r="N87" s="436"/>
      <c r="O87" s="436"/>
      <c r="P87" s="436"/>
      <c r="Q87" s="436"/>
      <c r="R87" s="436"/>
      <c r="S87" s="436"/>
      <c r="T87" s="436"/>
      <c r="U87" s="436"/>
      <c r="V87" s="435"/>
      <c r="W87" s="435"/>
      <c r="X87" s="435"/>
      <c r="Y87" s="435"/>
      <c r="Z87" s="435"/>
      <c r="AA87" s="435"/>
      <c r="AB87" s="443"/>
    </row>
    <row r="88" spans="1:29" ht="15.75">
      <c r="B88" s="441"/>
      <c r="C88" s="435"/>
      <c r="D88" s="435"/>
      <c r="E88" s="442" t="s">
        <v>308</v>
      </c>
      <c r="F88" s="435"/>
      <c r="G88" s="435"/>
      <c r="H88" s="435"/>
      <c r="I88" s="435"/>
      <c r="J88" s="435"/>
      <c r="K88" s="435"/>
      <c r="L88" s="435"/>
      <c r="M88" s="436"/>
      <c r="N88" s="436"/>
      <c r="O88" s="436"/>
      <c r="P88" s="436"/>
      <c r="Q88" s="436"/>
      <c r="R88" s="436"/>
      <c r="S88" s="436"/>
      <c r="T88" s="436"/>
      <c r="U88" s="436"/>
      <c r="V88" s="435"/>
      <c r="W88" s="435"/>
      <c r="X88" s="435"/>
      <c r="Y88" s="435"/>
      <c r="Z88" s="435"/>
      <c r="AA88" s="435"/>
      <c r="AB88" s="443"/>
    </row>
    <row r="89" spans="1:29" ht="15.75">
      <c r="B89" s="441"/>
      <c r="C89" s="435"/>
      <c r="D89" s="435"/>
      <c r="E89" s="442" t="s">
        <v>309</v>
      </c>
      <c r="F89" s="435"/>
      <c r="G89" s="435"/>
      <c r="H89" s="435"/>
      <c r="I89" s="435"/>
      <c r="J89" s="435"/>
      <c r="K89" s="436"/>
      <c r="L89" s="436"/>
      <c r="M89" s="436"/>
      <c r="N89" s="436"/>
      <c r="O89" s="436"/>
      <c r="P89" s="436"/>
      <c r="Q89" s="436"/>
      <c r="R89" s="436"/>
      <c r="S89" s="436"/>
      <c r="T89" s="436"/>
      <c r="U89" s="436"/>
      <c r="V89" s="435"/>
      <c r="W89" s="435"/>
      <c r="X89" s="435"/>
      <c r="Y89" s="435"/>
      <c r="Z89" s="435"/>
      <c r="AA89" s="435"/>
      <c r="AB89" s="443"/>
    </row>
    <row r="90" spans="1:29" ht="15.75">
      <c r="B90" s="441"/>
      <c r="C90" s="435"/>
      <c r="D90" s="435"/>
      <c r="E90" s="442" t="s">
        <v>310</v>
      </c>
      <c r="F90" s="435"/>
      <c r="G90" s="435"/>
      <c r="H90" s="435"/>
      <c r="I90" s="435"/>
      <c r="J90" s="435"/>
      <c r="K90" s="436"/>
      <c r="L90" s="436"/>
      <c r="M90" s="436"/>
      <c r="N90" s="436"/>
      <c r="O90" s="436"/>
      <c r="P90" s="436"/>
      <c r="Q90" s="436"/>
      <c r="R90" s="436"/>
      <c r="S90" s="436"/>
      <c r="T90" s="436"/>
      <c r="U90" s="436"/>
      <c r="V90" s="435"/>
      <c r="W90" s="435"/>
      <c r="X90" s="435"/>
      <c r="Y90" s="435"/>
      <c r="Z90" s="435"/>
      <c r="AA90" s="435"/>
      <c r="AB90" s="443"/>
    </row>
    <row r="91" spans="1:29" ht="15.75">
      <c r="B91" s="441"/>
      <c r="C91" s="435"/>
      <c r="D91" s="435"/>
      <c r="E91" s="442" t="s">
        <v>311</v>
      </c>
      <c r="F91" s="435"/>
      <c r="G91" s="435"/>
      <c r="H91" s="435"/>
      <c r="I91" s="435"/>
      <c r="J91" s="435"/>
      <c r="K91" s="436"/>
      <c r="L91" s="436"/>
      <c r="M91" s="436"/>
      <c r="N91" s="436"/>
      <c r="O91" s="436"/>
      <c r="P91" s="436"/>
      <c r="Q91" s="436"/>
      <c r="R91" s="436"/>
      <c r="S91" s="436"/>
      <c r="T91" s="436"/>
      <c r="U91" s="436"/>
      <c r="V91" s="435"/>
      <c r="W91" s="435"/>
      <c r="X91" s="435"/>
      <c r="Y91" s="435"/>
      <c r="Z91" s="435"/>
      <c r="AA91" s="435"/>
      <c r="AB91" s="443"/>
    </row>
    <row r="92" spans="1:29" ht="16.5" thickBot="1">
      <c r="B92" s="444"/>
      <c r="C92" s="445"/>
      <c r="D92" s="445"/>
      <c r="E92" s="446" t="s">
        <v>304</v>
      </c>
      <c r="F92" s="445"/>
      <c r="G92" s="445"/>
      <c r="H92" s="445"/>
      <c r="I92" s="445"/>
      <c r="J92" s="445"/>
      <c r="K92" s="447"/>
      <c r="L92" s="447"/>
      <c r="M92" s="447"/>
      <c r="N92" s="447"/>
      <c r="O92" s="447"/>
      <c r="P92" s="447"/>
      <c r="Q92" s="447"/>
      <c r="R92" s="447"/>
      <c r="S92" s="447"/>
      <c r="T92" s="447"/>
      <c r="U92" s="447"/>
      <c r="V92" s="445"/>
      <c r="W92" s="445"/>
      <c r="X92" s="445"/>
      <c r="Y92" s="445"/>
      <c r="Z92" s="445"/>
      <c r="AA92" s="445"/>
      <c r="AB92" s="448"/>
    </row>
    <row r="93" spans="1:29" s="676" customFormat="1" ht="15.75">
      <c r="E93" s="677"/>
      <c r="K93" s="678"/>
    </row>
    <row r="94" spans="1:29">
      <c r="A94" s="676"/>
      <c r="B94" s="676"/>
      <c r="C94" s="676"/>
      <c r="D94" s="681"/>
      <c r="E94" s="682"/>
      <c r="F94" s="676"/>
      <c r="G94" s="676"/>
      <c r="H94" s="676"/>
      <c r="I94" s="676"/>
      <c r="J94" s="676"/>
      <c r="K94" s="676"/>
      <c r="AC94" s="676"/>
    </row>
    <row r="95" spans="1:29">
      <c r="A95" s="676"/>
      <c r="B95" s="676"/>
      <c r="C95" s="676"/>
      <c r="D95" s="676"/>
      <c r="E95" s="683"/>
      <c r="F95" s="676"/>
      <c r="G95" s="684"/>
      <c r="H95" s="676"/>
      <c r="I95" s="676"/>
      <c r="J95" s="676"/>
      <c r="K95" s="676"/>
      <c r="AC95" s="676"/>
    </row>
    <row r="96" spans="1:29">
      <c r="A96" s="676"/>
      <c r="B96" s="676"/>
      <c r="C96" s="676"/>
      <c r="D96" s="676"/>
      <c r="E96" s="683"/>
      <c r="F96" s="676"/>
      <c r="G96" s="684"/>
      <c r="H96" s="676"/>
      <c r="I96" s="676"/>
      <c r="J96" s="676"/>
      <c r="K96" s="676"/>
      <c r="L96" s="676"/>
      <c r="M96" s="685"/>
      <c r="N96" s="676"/>
      <c r="O96" s="676"/>
      <c r="P96" s="676"/>
      <c r="Q96" s="676"/>
      <c r="R96" s="676"/>
      <c r="S96" s="676"/>
      <c r="T96" s="676"/>
      <c r="U96" s="676"/>
      <c r="V96" s="676"/>
      <c r="W96" s="676"/>
      <c r="X96" s="676"/>
      <c r="Y96" s="676"/>
      <c r="Z96" s="676"/>
      <c r="AA96" s="676"/>
      <c r="AB96" s="676"/>
      <c r="AC96" s="676"/>
    </row>
    <row r="97" spans="1:29" ht="15.75">
      <c r="A97" s="676"/>
      <c r="B97" s="676"/>
      <c r="C97" s="676"/>
      <c r="D97" s="676"/>
      <c r="E97" s="683"/>
      <c r="F97" s="676"/>
      <c r="G97" s="684"/>
      <c r="H97" s="676"/>
      <c r="I97" s="676"/>
      <c r="J97" s="676"/>
      <c r="K97" s="676"/>
      <c r="L97" s="733"/>
      <c r="M97" s="734"/>
      <c r="N97" s="734">
        <f>IF(OR(Q97&lt;0,Q97&gt;1,Q97=""),1,0)</f>
        <v>0</v>
      </c>
      <c r="O97" s="735" t="s">
        <v>17</v>
      </c>
      <c r="P97" s="736" t="s">
        <v>1</v>
      </c>
      <c r="Q97" s="737">
        <v>1</v>
      </c>
      <c r="R97" s="734"/>
      <c r="S97" s="738"/>
      <c r="T97" s="455">
        <f>IF(AND($Q$18="Cost-Based",$Q$19="ITC"),1,0)</f>
        <v>0</v>
      </c>
      <c r="U97" s="676"/>
      <c r="V97" s="676"/>
      <c r="W97" s="676"/>
      <c r="X97" s="676"/>
      <c r="Y97" s="676"/>
      <c r="Z97" s="676"/>
      <c r="AA97" s="676"/>
      <c r="AB97" s="676"/>
      <c r="AC97" s="676"/>
    </row>
    <row r="98" spans="1:29" ht="15.75">
      <c r="A98" s="676"/>
      <c r="B98" s="676"/>
      <c r="C98" s="676"/>
      <c r="D98" s="676"/>
      <c r="E98" s="683"/>
      <c r="F98" s="676"/>
      <c r="G98" s="684"/>
      <c r="H98" s="676"/>
      <c r="I98" s="676"/>
      <c r="J98" s="676"/>
      <c r="K98" s="676"/>
      <c r="L98" s="739"/>
      <c r="M98" s="431"/>
      <c r="N98" s="431">
        <f>IF(OR(Q98&lt;0,Q98&gt;1),1,0)</f>
        <v>0</v>
      </c>
      <c r="O98" s="431" t="s">
        <v>381</v>
      </c>
      <c r="P98" s="731" t="s">
        <v>1</v>
      </c>
      <c r="Q98" s="732">
        <v>1</v>
      </c>
      <c r="R98" s="729"/>
      <c r="S98" s="740"/>
      <c r="T98" s="18"/>
      <c r="U98" s="676"/>
      <c r="V98" s="676"/>
      <c r="W98" s="676"/>
      <c r="X98" s="676"/>
      <c r="Y98" s="676"/>
      <c r="Z98" s="676"/>
      <c r="AA98" s="676"/>
      <c r="AB98" s="676"/>
      <c r="AC98" s="676"/>
    </row>
    <row r="99" spans="1:29" ht="15.75">
      <c r="A99" s="676"/>
      <c r="B99" s="676"/>
      <c r="C99" s="676"/>
      <c r="D99" s="676"/>
      <c r="E99" s="676"/>
      <c r="F99" s="676"/>
      <c r="G99" s="676"/>
      <c r="H99" s="676"/>
      <c r="I99" s="676"/>
      <c r="J99" s="676"/>
      <c r="K99" s="676"/>
      <c r="L99" s="739"/>
      <c r="M99" s="431"/>
      <c r="N99" s="431">
        <f>IF(OR(Q99&lt;0,Q99&gt;1),1,0)</f>
        <v>0</v>
      </c>
      <c r="O99" s="730" t="s">
        <v>26</v>
      </c>
      <c r="P99" s="731" t="s">
        <v>1</v>
      </c>
      <c r="Q99" s="732">
        <v>1</v>
      </c>
      <c r="R99" s="729"/>
      <c r="S99" s="740"/>
      <c r="T99" s="18"/>
      <c r="U99" s="676"/>
      <c r="V99" s="676"/>
      <c r="W99" s="676"/>
      <c r="X99" s="676"/>
      <c r="Y99" s="676"/>
      <c r="Z99" s="676"/>
      <c r="AA99" s="676"/>
      <c r="AB99" s="676"/>
      <c r="AC99" s="676"/>
    </row>
    <row r="100" spans="1:29" ht="15.75">
      <c r="L100" s="741"/>
      <c r="M100" s="742"/>
      <c r="N100" s="742">
        <f>IF(OR(Q100&lt;0,Q100&gt;1),1,0)</f>
        <v>0</v>
      </c>
      <c r="O100" s="742" t="s">
        <v>162</v>
      </c>
      <c r="P100" s="743" t="s">
        <v>1</v>
      </c>
      <c r="Q100" s="744">
        <v>1</v>
      </c>
      <c r="R100" s="745"/>
      <c r="S100" s="746"/>
      <c r="T100" s="25"/>
    </row>
  </sheetData>
  <sheetProtection password="CA95" sheet="1" objects="1" scenarios="1"/>
  <protectedRanges>
    <protectedRange sqref="Q7:Q9 Q12:Q14 Q26:Q27 Q22:Q25 Q18:Q20" name="Column Q Inputs 1"/>
    <protectedRange sqref="G7:G8 G10:G11 G14:G19 G26:G32 G42:G43 G54 G58 G60 G69:G73 G34:G38 G47:G51" name="Column G Inputs"/>
    <protectedRange sqref="Q34:Q42 Q56:Q57 Q61 Q64 Q45:Q52 Q30:Q32" name="Column Q Inputs 2"/>
    <protectedRange sqref="P69:P70 P73:Z78" name="Depreciation Inputs"/>
    <protectedRange sqref="Q40" name="Column Q Inputs"/>
  </protectedRanges>
  <mergeCells count="10">
    <mergeCell ref="O4:P4"/>
    <mergeCell ref="C2:T2"/>
    <mergeCell ref="R77:T77"/>
    <mergeCell ref="R78:T78"/>
    <mergeCell ref="R79:T79"/>
    <mergeCell ref="R72:T72"/>
    <mergeCell ref="R73:T73"/>
    <mergeCell ref="R74:T74"/>
    <mergeCell ref="R75:T75"/>
    <mergeCell ref="R76:T76"/>
  </mergeCells>
  <conditionalFormatting sqref="C14">
    <cfRule type="expression" dxfId="142" priority="559">
      <formula>$G$14&lt;&gt;""</formula>
    </cfRule>
  </conditionalFormatting>
  <conditionalFormatting sqref="C27">
    <cfRule type="expression" dxfId="141" priority="553">
      <formula>$G$27&gt;=0</formula>
    </cfRule>
  </conditionalFormatting>
  <conditionalFormatting sqref="C15">
    <cfRule type="expression" dxfId="140" priority="380">
      <formula>AND($G$14="Simple",$G$15&gt;0)</formula>
    </cfRule>
    <cfRule type="expression" dxfId="139" priority="550">
      <formula>AND($G$14="Simple",$G$15&lt;=0)</formula>
    </cfRule>
  </conditionalFormatting>
  <conditionalFormatting sqref="C16">
    <cfRule type="expression" dxfId="138" priority="379">
      <formula>AND($G$14="Intermediate",$G$16&gt;0)</formula>
    </cfRule>
    <cfRule type="expression" dxfId="137" priority="549">
      <formula>AND($G$14="Intermediate",$G$16&lt;=0)</formula>
    </cfRule>
  </conditionalFormatting>
  <conditionalFormatting sqref="C70">
    <cfRule type="expression" dxfId="136" priority="133">
      <formula>$G$69="No"</formula>
    </cfRule>
    <cfRule type="expression" dxfId="135" priority="134">
      <formula>$D$70=1</formula>
    </cfRule>
  </conditionalFormatting>
  <conditionalFormatting sqref="C58">
    <cfRule type="expression" dxfId="134" priority="371">
      <formula>$D$58=1</formula>
    </cfRule>
  </conditionalFormatting>
  <conditionalFormatting sqref="L26 G21:H21 K24">
    <cfRule type="expression" dxfId="133" priority="713">
      <formula>$G$14="Complex"</formula>
    </cfRule>
  </conditionalFormatting>
  <conditionalFormatting sqref="C47">
    <cfRule type="expression" dxfId="132" priority="373">
      <formula>$D$47=1</formula>
    </cfRule>
  </conditionalFormatting>
  <conditionalFormatting sqref="E7:I7">
    <cfRule type="expression" dxfId="131" priority="401">
      <formula>#REF!="Solar Thermal Electric"</formula>
    </cfRule>
  </conditionalFormatting>
  <conditionalFormatting sqref="M9">
    <cfRule type="expression" dxfId="130" priority="396">
      <formula>$Q$9&lt;&gt;""</formula>
    </cfRule>
  </conditionalFormatting>
  <conditionalFormatting sqref="M8">
    <cfRule type="expression" dxfId="129" priority="395">
      <formula>$Q$8&lt;&gt;""</formula>
    </cfRule>
  </conditionalFormatting>
  <conditionalFormatting sqref="E36:G36 E37:H39 E32:H35">
    <cfRule type="expression" dxfId="128" priority="391">
      <formula>$G$26="Simple"</formula>
    </cfRule>
  </conditionalFormatting>
  <conditionalFormatting sqref="C21">
    <cfRule type="expression" dxfId="127" priority="377">
      <formula>AND($G$14="Complex",$G$21&gt;0)</formula>
    </cfRule>
    <cfRule type="expression" dxfId="126" priority="378">
      <formula>$G$14="Complex"</formula>
    </cfRule>
  </conditionalFormatting>
  <conditionalFormatting sqref="C29">
    <cfRule type="expression" dxfId="125" priority="376">
      <formula>$G$29&gt;0</formula>
    </cfRule>
  </conditionalFormatting>
  <conditionalFormatting sqref="C30">
    <cfRule type="expression" dxfId="124" priority="375">
      <formula>AND($G$30&gt;0,$G$30&lt;=$G$11)</formula>
    </cfRule>
  </conditionalFormatting>
  <conditionalFormatting sqref="C31">
    <cfRule type="expression" dxfId="123" priority="374">
      <formula>$G$31&gt;0</formula>
    </cfRule>
  </conditionalFormatting>
  <conditionalFormatting sqref="G53">
    <cfRule type="expression" dxfId="122" priority="358">
      <formula>$G$53="Fail"</formula>
    </cfRule>
  </conditionalFormatting>
  <conditionalFormatting sqref="O57:Q57 S57">
    <cfRule type="expression" dxfId="121" priority="353">
      <formula>$Q$56="Salvage"</formula>
    </cfRule>
  </conditionalFormatting>
  <conditionalFormatting sqref="E42:G44">
    <cfRule type="expression" dxfId="120" priority="331">
      <formula>$G$14="Simple"</formula>
    </cfRule>
  </conditionalFormatting>
  <conditionalFormatting sqref="G56">
    <cfRule type="expression" dxfId="119" priority="299">
      <formula>$G$56="Fail"</formula>
    </cfRule>
  </conditionalFormatting>
  <conditionalFormatting sqref="G15">
    <cfRule type="expression" dxfId="118" priority="263">
      <formula>$G$14="Simple"</formula>
    </cfRule>
  </conditionalFormatting>
  <conditionalFormatting sqref="G20 E16:F20">
    <cfRule type="expression" dxfId="117" priority="262">
      <formula>$G$14="Intermediate"</formula>
    </cfRule>
  </conditionalFormatting>
  <conditionalFormatting sqref="G16 G18:G19">
    <cfRule type="expression" dxfId="116" priority="251">
      <formula>$G$14="Intermediate"</formula>
    </cfRule>
  </conditionalFormatting>
  <conditionalFormatting sqref="G17">
    <cfRule type="expression" dxfId="115" priority="249">
      <formula>$G$14="Intermediate"</formula>
    </cfRule>
    <cfRule type="expression" dxfId="114" priority="250">
      <formula>$G$14="Intermediate"</formula>
    </cfRule>
  </conditionalFormatting>
  <conditionalFormatting sqref="E48:G56 I48:I56">
    <cfRule type="expression" dxfId="113" priority="245">
      <formula>$G$47=0</formula>
    </cfRule>
  </conditionalFormatting>
  <conditionalFormatting sqref="O13:P13">
    <cfRule type="expression" dxfId="112" priority="238">
      <formula>$T$13=1</formula>
    </cfRule>
  </conditionalFormatting>
  <conditionalFormatting sqref="O14:P14">
    <cfRule type="expression" dxfId="111" priority="237">
      <formula>$T$14=1</formula>
    </cfRule>
  </conditionalFormatting>
  <conditionalFormatting sqref="O15">
    <cfRule type="expression" dxfId="110" priority="236">
      <formula>$T$15=1</formula>
    </cfRule>
  </conditionalFormatting>
  <conditionalFormatting sqref="Q13">
    <cfRule type="expression" dxfId="109" priority="233">
      <formula>$T$13=1</formula>
    </cfRule>
  </conditionalFormatting>
  <conditionalFormatting sqref="Q14">
    <cfRule type="expression" dxfId="108" priority="232">
      <formula>$T$14=1</formula>
    </cfRule>
  </conditionalFormatting>
  <conditionalFormatting sqref="P15:Q15">
    <cfRule type="expression" dxfId="107" priority="231">
      <formula>$T$15=1</formula>
    </cfRule>
  </conditionalFormatting>
  <conditionalFormatting sqref="O12:P12">
    <cfRule type="expression" dxfId="106" priority="229">
      <formula>$T$12=1</formula>
    </cfRule>
  </conditionalFormatting>
  <conditionalFormatting sqref="Q12">
    <cfRule type="expression" dxfId="105" priority="228">
      <formula>$T$12=1</formula>
    </cfRule>
  </conditionalFormatting>
  <conditionalFormatting sqref="M96 O19:Q21 S19:S21">
    <cfRule type="expression" dxfId="104" priority="216">
      <formula>$T$18=1</formula>
    </cfRule>
  </conditionalFormatting>
  <conditionalFormatting sqref="S22:S25 O22:Q25">
    <cfRule type="expression" dxfId="103" priority="215">
      <formula>$R$18=1</formula>
    </cfRule>
  </conditionalFormatting>
  <conditionalFormatting sqref="I15">
    <cfRule type="expression" dxfId="102" priority="204">
      <formula>$G$14="Simple"</formula>
    </cfRule>
  </conditionalFormatting>
  <conditionalFormatting sqref="I21">
    <cfRule type="expression" dxfId="101" priority="203">
      <formula>$G$14="Complex"</formula>
    </cfRule>
  </conditionalFormatting>
  <conditionalFormatting sqref="I16:I20">
    <cfRule type="expression" dxfId="100" priority="202">
      <formula>$G$14="Intermediate"</formula>
    </cfRule>
  </conditionalFormatting>
  <conditionalFormatting sqref="I32:I39">
    <cfRule type="expression" dxfId="99" priority="201">
      <formula>$G$26="Intermediate"</formula>
    </cfRule>
  </conditionalFormatting>
  <conditionalFormatting sqref="E15:F15">
    <cfRule type="expression" dxfId="98" priority="195">
      <formula>$G$14="Simple"</formula>
    </cfRule>
  </conditionalFormatting>
  <conditionalFormatting sqref="F21">
    <cfRule type="expression" dxfId="97" priority="192">
      <formula>$G$14="Complex"</formula>
    </cfRule>
  </conditionalFormatting>
  <conditionalFormatting sqref="E21">
    <cfRule type="expression" dxfId="96" priority="191">
      <formula>$G$14="Complex"</formula>
    </cfRule>
  </conditionalFormatting>
  <conditionalFormatting sqref="S12">
    <cfRule type="expression" dxfId="95" priority="180">
      <formula>$T$12=1</formula>
    </cfRule>
  </conditionalFormatting>
  <conditionalFormatting sqref="S13">
    <cfRule type="expression" dxfId="94" priority="179">
      <formula>$T$13=1</formula>
    </cfRule>
  </conditionalFormatting>
  <conditionalFormatting sqref="S14">
    <cfRule type="expression" dxfId="93" priority="178">
      <formula>$T$14=1</formula>
    </cfRule>
  </conditionalFormatting>
  <conditionalFormatting sqref="S15">
    <cfRule type="expression" dxfId="92" priority="177">
      <formula>$T$15=1</formula>
    </cfRule>
  </conditionalFormatting>
  <conditionalFormatting sqref="C53">
    <cfRule type="expression" dxfId="91" priority="176">
      <formula>$G$53="Fail"</formula>
    </cfRule>
  </conditionalFormatting>
  <conditionalFormatting sqref="C56">
    <cfRule type="expression" dxfId="90" priority="175">
      <formula>$G$56="Fail"</formula>
    </cfRule>
  </conditionalFormatting>
  <conditionalFormatting sqref="E59:G59">
    <cfRule type="expression" dxfId="89" priority="174">
      <formula>$G$47=0%</formula>
    </cfRule>
  </conditionalFormatting>
  <conditionalFormatting sqref="C8">
    <cfRule type="expression" dxfId="88" priority="170">
      <formula>$D$8=1</formula>
    </cfRule>
  </conditionalFormatting>
  <conditionalFormatting sqref="C10">
    <cfRule type="expression" dxfId="87" priority="169">
      <formula>$D$10=1</formula>
    </cfRule>
  </conditionalFormatting>
  <conditionalFormatting sqref="M7">
    <cfRule type="expression" dxfId="86" priority="168">
      <formula>$N$7=1</formula>
    </cfRule>
  </conditionalFormatting>
  <conditionalFormatting sqref="C7">
    <cfRule type="expression" dxfId="85" priority="166">
      <formula>$G$7&gt;0</formula>
    </cfRule>
  </conditionalFormatting>
  <conditionalFormatting sqref="C26">
    <cfRule type="expression" dxfId="84" priority="159">
      <formula>$G$26&lt;&gt;""</formula>
    </cfRule>
  </conditionalFormatting>
  <conditionalFormatting sqref="C42">
    <cfRule type="expression" dxfId="83" priority="140">
      <formula>$G$14="Simple"</formula>
    </cfRule>
    <cfRule type="expression" dxfId="82" priority="158">
      <formula>$G$42&lt;=0</formula>
    </cfRule>
  </conditionalFormatting>
  <conditionalFormatting sqref="C43">
    <cfRule type="expression" dxfId="81" priority="139">
      <formula>$G$14="Simple"</formula>
    </cfRule>
    <cfRule type="expression" dxfId="80" priority="155">
      <formula>AND($G$14="Intermediate",$G$43&gt;=0)</formula>
    </cfRule>
  </conditionalFormatting>
  <conditionalFormatting sqref="C48">
    <cfRule type="expression" dxfId="79" priority="138">
      <formula>$G$47=0</formula>
    </cfRule>
    <cfRule type="expression" dxfId="78" priority="154">
      <formula>$D$48=1</formula>
    </cfRule>
  </conditionalFormatting>
  <conditionalFormatting sqref="C49">
    <cfRule type="expression" dxfId="77" priority="151">
      <formula>$D$49=1</formula>
    </cfRule>
  </conditionalFormatting>
  <conditionalFormatting sqref="C51">
    <cfRule type="expression" dxfId="76" priority="150">
      <formula>$G$51&lt;1</formula>
    </cfRule>
  </conditionalFormatting>
  <conditionalFormatting sqref="C54">
    <cfRule type="expression" dxfId="75" priority="149">
      <formula>$G$54&lt;1</formula>
    </cfRule>
  </conditionalFormatting>
  <conditionalFormatting sqref="C50">
    <cfRule type="expression" dxfId="74" priority="148">
      <formula>$D$50=1</formula>
    </cfRule>
  </conditionalFormatting>
  <conditionalFormatting sqref="C53:C54 C56 C48:C51">
    <cfRule type="expression" dxfId="73" priority="137">
      <formula>$G$47=0</formula>
    </cfRule>
  </conditionalFormatting>
  <conditionalFormatting sqref="C60">
    <cfRule type="expression" dxfId="72" priority="136">
      <formula>$G$60&lt;0</formula>
    </cfRule>
  </conditionalFormatting>
  <conditionalFormatting sqref="C69">
    <cfRule type="expression" dxfId="71" priority="135">
      <formula>$G$69=""</formula>
    </cfRule>
  </conditionalFormatting>
  <conditionalFormatting sqref="C72">
    <cfRule type="expression" dxfId="70" priority="126">
      <formula>$G$69="No"</formula>
    </cfRule>
    <cfRule type="expression" dxfId="69" priority="127">
      <formula>$D$72=1</formula>
    </cfRule>
  </conditionalFormatting>
  <conditionalFormatting sqref="C71">
    <cfRule type="expression" dxfId="68" priority="125">
      <formula>$G$71=""</formula>
    </cfRule>
  </conditionalFormatting>
  <conditionalFormatting sqref="C73">
    <cfRule type="expression" dxfId="67" priority="124">
      <formula>$G$73=""</formula>
    </cfRule>
  </conditionalFormatting>
  <conditionalFormatting sqref="M12">
    <cfRule type="expression" dxfId="66" priority="122">
      <formula>$Q$12=""</formula>
    </cfRule>
  </conditionalFormatting>
  <conditionalFormatting sqref="M13">
    <cfRule type="expression" dxfId="65" priority="121">
      <formula>$N$13=1</formula>
    </cfRule>
  </conditionalFormatting>
  <conditionalFormatting sqref="M14">
    <cfRule type="expression" dxfId="64" priority="120">
      <formula>$N$14=1</formula>
    </cfRule>
  </conditionalFormatting>
  <conditionalFormatting sqref="M18">
    <cfRule type="expression" dxfId="63" priority="119">
      <formula>$Q$18=""</formula>
    </cfRule>
  </conditionalFormatting>
  <conditionalFormatting sqref="M19">
    <cfRule type="expression" dxfId="62" priority="118">
      <formula>$Q$19=""</formula>
    </cfRule>
  </conditionalFormatting>
  <conditionalFormatting sqref="M22">
    <cfRule type="expression" dxfId="61" priority="117">
      <formula>$Q$22=""</formula>
    </cfRule>
  </conditionalFormatting>
  <conditionalFormatting sqref="M20 M27 M30:M31 M34 M42 M51 M56 M45 M47 M49">
    <cfRule type="expression" dxfId="60" priority="116">
      <formula>$N20=1</formula>
    </cfRule>
  </conditionalFormatting>
  <conditionalFormatting sqref="M23">
    <cfRule type="expression" dxfId="59" priority="108">
      <formula>$Q$23&lt;0</formula>
    </cfRule>
  </conditionalFormatting>
  <conditionalFormatting sqref="M24">
    <cfRule type="expression" dxfId="58" priority="107">
      <formula>$N$24=1</formula>
    </cfRule>
  </conditionalFormatting>
  <conditionalFormatting sqref="M25">
    <cfRule type="expression" dxfId="57" priority="106">
      <formula>$Q$25=""</formula>
    </cfRule>
  </conditionalFormatting>
  <conditionalFormatting sqref="M26 M40 M61 M64">
    <cfRule type="expression" dxfId="56" priority="104">
      <formula>$Q26&lt;0</formula>
    </cfRule>
  </conditionalFormatting>
  <conditionalFormatting sqref="M32">
    <cfRule type="expression" dxfId="55" priority="100">
      <formula>$N$32=1</formula>
    </cfRule>
  </conditionalFormatting>
  <conditionalFormatting sqref="M37">
    <cfRule type="expression" dxfId="54" priority="99">
      <formula>$Q$37&lt;0</formula>
    </cfRule>
  </conditionalFormatting>
  <conditionalFormatting sqref="M38">
    <cfRule type="expression" dxfId="53" priority="98">
      <formula>$N$38=1</formula>
    </cfRule>
  </conditionalFormatting>
  <conditionalFormatting sqref="M39">
    <cfRule type="expression" dxfId="52" priority="97">
      <formula>$Q$39=""</formula>
    </cfRule>
  </conditionalFormatting>
  <conditionalFormatting sqref="M46 M48 M50 M52">
    <cfRule type="expression" dxfId="51" priority="93">
      <formula>$Q46&gt;=0</formula>
    </cfRule>
  </conditionalFormatting>
  <conditionalFormatting sqref="M57">
    <cfRule type="expression" dxfId="50" priority="81">
      <formula>$Q$56="Salvage"</formula>
    </cfRule>
    <cfRule type="expression" dxfId="49" priority="91">
      <formula>$Q$57&lt;0</formula>
    </cfRule>
  </conditionalFormatting>
  <conditionalFormatting sqref="M66">
    <cfRule type="expression" dxfId="48" priority="88">
      <formula>$Q$66&lt;0</formula>
    </cfRule>
  </conditionalFormatting>
  <conditionalFormatting sqref="M19:M20">
    <cfRule type="expression" dxfId="47" priority="87">
      <formula>$Q$18="Performance-Based"</formula>
    </cfRule>
  </conditionalFormatting>
  <conditionalFormatting sqref="M22:M25">
    <cfRule type="expression" dxfId="46" priority="85">
      <formula>$Q$18="Cost-Based"</formula>
    </cfRule>
  </conditionalFormatting>
  <conditionalFormatting sqref="M31:M32">
    <cfRule type="expression" dxfId="45" priority="84">
      <formula>$R$31=1</formula>
    </cfRule>
  </conditionalFormatting>
  <conditionalFormatting sqref="M34 M37:M39">
    <cfRule type="expression" dxfId="44" priority="82">
      <formula>$R$34=1</formula>
    </cfRule>
  </conditionalFormatting>
  <conditionalFormatting sqref="M73">
    <cfRule type="expression" dxfId="43" priority="77">
      <formula>$N$73=2</formula>
    </cfRule>
    <cfRule type="expression" dxfId="42" priority="78">
      <formula>$N$73=1</formula>
    </cfRule>
  </conditionalFormatting>
  <conditionalFormatting sqref="M74:M78">
    <cfRule type="expression" dxfId="41" priority="73">
      <formula>$N74=2</formula>
    </cfRule>
    <cfRule type="expression" dxfId="40" priority="74">
      <formula>$N74=1</formula>
    </cfRule>
  </conditionalFormatting>
  <conditionalFormatting sqref="AB73:AB79 O73:R78 U73:Z78">
    <cfRule type="expression" dxfId="39" priority="72">
      <formula>$L73=0</formula>
    </cfRule>
  </conditionalFormatting>
  <conditionalFormatting sqref="O79:R79 U79:Z79">
    <cfRule type="expression" dxfId="38" priority="67">
      <formula>$L$79=0</formula>
    </cfRule>
  </conditionalFormatting>
  <conditionalFormatting sqref="C17:C19">
    <cfRule type="expression" dxfId="37" priority="65">
      <formula>$G17&lt;0</formula>
    </cfRule>
  </conditionalFormatting>
  <conditionalFormatting sqref="C32 C34:C38">
    <cfRule type="expression" dxfId="36" priority="62">
      <formula>$G$26="Simple"</formula>
    </cfRule>
  </conditionalFormatting>
  <conditionalFormatting sqref="C32 C34:C35 C37:C38">
    <cfRule type="expression" dxfId="35" priority="59">
      <formula>$G32&lt;0</formula>
    </cfRule>
    <cfRule type="expression" dxfId="34" priority="60">
      <formula>$G32&lt;0</formula>
    </cfRule>
  </conditionalFormatting>
  <conditionalFormatting sqref="C36">
    <cfRule type="expression" dxfId="33" priority="48">
      <formula>$G$36=""</formula>
    </cfRule>
  </conditionalFormatting>
  <conditionalFormatting sqref="C28">
    <cfRule type="expression" dxfId="32" priority="47">
      <formula>$G$28&lt;0</formula>
    </cfRule>
  </conditionalFormatting>
  <conditionalFormatting sqref="C11">
    <cfRule type="expression" dxfId="31" priority="46">
      <formula>$D$11=1</formula>
    </cfRule>
  </conditionalFormatting>
  <conditionalFormatting sqref="I53 I56">
    <cfRule type="expression" dxfId="30" priority="34">
      <formula>$G53="Fail"</formula>
    </cfRule>
  </conditionalFormatting>
  <conditionalFormatting sqref="E53">
    <cfRule type="expression" dxfId="29" priority="29">
      <formula>$G$53="Fail"</formula>
    </cfRule>
  </conditionalFormatting>
  <conditionalFormatting sqref="E56">
    <cfRule type="expression" dxfId="28" priority="28">
      <formula>$G$56="Fail"</formula>
    </cfRule>
  </conditionalFormatting>
  <conditionalFormatting sqref="S31:S33 O31:Q33">
    <cfRule type="expression" dxfId="27" priority="27">
      <formula>$R$31=1</formula>
    </cfRule>
  </conditionalFormatting>
  <conditionalFormatting sqref="O37:Q39 S34:S35 O34:Q35 S37:S39">
    <cfRule type="expression" dxfId="26" priority="26">
      <formula>$R$34=1</formula>
    </cfRule>
  </conditionalFormatting>
  <conditionalFormatting sqref="O36:Q36 S36">
    <cfRule type="expression" dxfId="25" priority="2682">
      <formula>$R$36=1</formula>
    </cfRule>
  </conditionalFormatting>
  <conditionalFormatting sqref="M12:M14">
    <cfRule type="expression" dxfId="24" priority="2760">
      <formula>$G$11=$Q$7</formula>
    </cfRule>
  </conditionalFormatting>
  <conditionalFormatting sqref="L22 K18">
    <cfRule type="expression" dxfId="23" priority="2761">
      <formula>$G$14="Simple"</formula>
    </cfRule>
  </conditionalFormatting>
  <conditionalFormatting sqref="L23:L25 K19:K23">
    <cfRule type="expression" dxfId="22" priority="2763">
      <formula>$G$14="Intermediate"</formula>
    </cfRule>
  </conditionalFormatting>
  <conditionalFormatting sqref="E70:G75 I70:I75">
    <cfRule type="expression" dxfId="21" priority="2765">
      <formula>$G$69="No"</formula>
    </cfRule>
  </conditionalFormatting>
  <conditionalFormatting sqref="M70">
    <cfRule type="expression" dxfId="20" priority="15">
      <formula>$P$69="No"</formula>
    </cfRule>
    <cfRule type="expression" dxfId="19" priority="16">
      <formula>$P$70&lt;0</formula>
    </cfRule>
  </conditionalFormatting>
  <conditionalFormatting sqref="O70:P70">
    <cfRule type="expression" dxfId="18" priority="14">
      <formula>$P$69="No"</formula>
    </cfRule>
  </conditionalFormatting>
  <conditionalFormatting sqref="S70">
    <cfRule type="expression" dxfId="17" priority="13">
      <formula>$P$70="No"</formula>
    </cfRule>
  </conditionalFormatting>
  <conditionalFormatting sqref="M69">
    <cfRule type="expression" dxfId="16" priority="12">
      <formula>$P$69=""</formula>
    </cfRule>
  </conditionalFormatting>
  <conditionalFormatting sqref="O35:Q35 S35">
    <cfRule type="expression" dxfId="15" priority="4">
      <formula>$R$35=1</formula>
    </cfRule>
  </conditionalFormatting>
  <conditionalFormatting sqref="O35:Q35">
    <cfRule type="expression" dxfId="14" priority="3">
      <formula>$Q$35="No"</formula>
    </cfRule>
  </conditionalFormatting>
  <conditionalFormatting sqref="M36">
    <cfRule type="expression" dxfId="13" priority="3914">
      <formula>$Q$34="Tax Credit"</formula>
    </cfRule>
    <cfRule type="expression" dxfId="12" priority="3915">
      <formula>$Q36=""</formula>
    </cfRule>
  </conditionalFormatting>
  <dataValidations count="13">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5">
      <formula1>G54</formula1>
    </dataValidation>
    <dataValidation type="list" allowBlank="1" showInputMessage="1" showErrorMessage="1" sqref="P69 Q42 G69 Q27 Q36">
      <formula1>"Yes, No"</formula1>
    </dataValidation>
    <dataValidation type="list" allowBlank="1" showInputMessage="1" showErrorMessage="1" sqref="Q56">
      <formula1>"Operations, Salvage"</formula1>
    </dataValidation>
    <dataValidation type="list" allowBlank="1" showInputMessage="1" showErrorMessage="1" sqref="Q34 Q22">
      <formula1>"Cash, Tax Credit"</formula1>
    </dataValidation>
    <dataValidation type="list" allowBlank="1" showInputMessage="1" showErrorMessage="1" sqref="Q30 Q18">
      <formula1>"Cost-Based, Performance-Based, Neither"</formula1>
    </dataValidation>
    <dataValidation type="list" allowBlank="1" showInputMessage="1" showErrorMessage="1" sqref="Q19">
      <formula1>"ITC, Cash Grant"</formula1>
    </dataValidation>
    <dataValidation type="list" allowBlank="1" showInputMessage="1" showErrorMessage="1" sqref="G71 G73">
      <formula1>"As Generated, Carried Forward"</formula1>
    </dataValidation>
    <dataValidation errorStyle="warning" allowBlank="1" showInputMessage="1" showErrorMessage="1" sqref="G53"/>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3 H56"/>
    <dataValidation errorStyle="warning" operator="greaterThanOrEqual" allowBlank="1" showInputMessage="1" showErrorMessage="1" errorTitle="test" error="test" sqref="G51"/>
    <dataValidation type="list" allowBlank="1" showInputMessage="1" showErrorMessage="1" sqref="G26">
      <formula1>"Simple, Intermediate"</formula1>
    </dataValidation>
    <dataValidation type="list" allowBlank="1" showInputMessage="1" showErrorMessage="1" sqref="G14">
      <formula1>"Simple, Intermediate, Complex"</formula1>
    </dataValidation>
    <dataValidation type="list" allowBlank="1" showInputMessage="1" showErrorMessage="1" sqref="Q12">
      <formula1>"Year One, Year-by-Year"</formula1>
    </dataValidation>
  </dataValidations>
  <hyperlinks>
    <hyperlink ref="E21" location="'Complex Inputs'!A1" display="'Complex Inputs'!A1"/>
    <hyperlink ref="O15" location="'Complex Inputs'!A126" display="'Complex Inputs'!A126"/>
    <hyperlink ref="O79" location="'Complex Inputs'!A114" display="'Complex Inputs'!A114"/>
  </hyperlinks>
  <pageMargins left="0.7" right="0.7" top="0.75" bottom="0.75" header="0.3" footer="0.3"/>
  <pageSetup orientation="portrait" r:id="rId1"/>
  <ignoredErrors>
    <ignoredError sqref="G44" formulaRange="1"/>
  </ignoredErrors>
  <legacyDrawing r:id="rId2"/>
</worksheet>
</file>

<file path=xl/worksheets/sheet3.xml><?xml version="1.0" encoding="utf-8"?>
<worksheet xmlns="http://schemas.openxmlformats.org/spreadsheetml/2006/main" xmlns:r="http://schemas.openxmlformats.org/officeDocument/2006/relationships">
  <sheetPr codeName="Sheet3"/>
  <dimension ref="B1:O65"/>
  <sheetViews>
    <sheetView showGridLines="0" zoomScale="80" zoomScaleNormal="80" workbookViewId="0">
      <pane xSplit="1" ySplit="2" topLeftCell="B6" activePane="bottomRight" state="frozen"/>
      <selection pane="topRight" activeCell="B1" sqref="B1"/>
      <selection pane="bottomLeft" activeCell="A3" sqref="A3"/>
      <selection pane="bottomRight" activeCell="F11" sqref="F11"/>
    </sheetView>
  </sheetViews>
  <sheetFormatPr defaultRowHeight="14.25"/>
  <cols>
    <col min="1" max="1" width="2.5703125" style="165" customWidth="1"/>
    <col min="2" max="2" width="57.5703125" style="165" customWidth="1"/>
    <col min="3" max="3" width="8.42578125" style="165" bestFit="1" customWidth="1"/>
    <col min="4" max="4" width="22.7109375" style="165" bestFit="1" customWidth="1"/>
    <col min="5" max="5" width="3.85546875" style="165" customWidth="1"/>
    <col min="6" max="15" width="26.28515625" style="165" bestFit="1" customWidth="1"/>
    <col min="16" max="243" width="9.140625" style="165"/>
    <col min="244" max="244" width="21.42578125" style="165" customWidth="1"/>
    <col min="245" max="245" width="16.42578125" style="165" customWidth="1"/>
    <col min="246" max="246" width="18" style="165" customWidth="1"/>
    <col min="247" max="247" width="23.7109375" style="165" customWidth="1"/>
    <col min="248" max="248" width="26" style="165" customWidth="1"/>
    <col min="249" max="249" width="21.42578125" style="165" customWidth="1"/>
    <col min="250" max="250" width="20.85546875" style="165" customWidth="1"/>
    <col min="251" max="251" width="0" style="165" hidden="1" customWidth="1"/>
    <col min="252" max="499" width="9.140625" style="165"/>
    <col min="500" max="500" width="21.42578125" style="165" customWidth="1"/>
    <col min="501" max="501" width="16.42578125" style="165" customWidth="1"/>
    <col min="502" max="502" width="18" style="165" customWidth="1"/>
    <col min="503" max="503" width="23.7109375" style="165" customWidth="1"/>
    <col min="504" max="504" width="26" style="165" customWidth="1"/>
    <col min="505" max="505" width="21.42578125" style="165" customWidth="1"/>
    <col min="506" max="506" width="20.85546875" style="165" customWidth="1"/>
    <col min="507" max="507" width="0" style="165" hidden="1" customWidth="1"/>
    <col min="508" max="755" width="9.140625" style="165"/>
    <col min="756" max="756" width="21.42578125" style="165" customWidth="1"/>
    <col min="757" max="757" width="16.42578125" style="165" customWidth="1"/>
    <col min="758" max="758" width="18" style="165" customWidth="1"/>
    <col min="759" max="759" width="23.7109375" style="165" customWidth="1"/>
    <col min="760" max="760" width="26" style="165" customWidth="1"/>
    <col min="761" max="761" width="21.42578125" style="165" customWidth="1"/>
    <col min="762" max="762" width="20.85546875" style="165" customWidth="1"/>
    <col min="763" max="763" width="0" style="165" hidden="1" customWidth="1"/>
    <col min="764" max="1011" width="9.140625" style="165"/>
    <col min="1012" max="1012" width="21.42578125" style="165" customWidth="1"/>
    <col min="1013" max="1013" width="16.42578125" style="165" customWidth="1"/>
    <col min="1014" max="1014" width="18" style="165" customWidth="1"/>
    <col min="1015" max="1015" width="23.7109375" style="165" customWidth="1"/>
    <col min="1016" max="1016" width="26" style="165" customWidth="1"/>
    <col min="1017" max="1017" width="21.42578125" style="165" customWidth="1"/>
    <col min="1018" max="1018" width="20.85546875" style="165" customWidth="1"/>
    <col min="1019" max="1019" width="0" style="165" hidden="1" customWidth="1"/>
    <col min="1020" max="1267" width="9.140625" style="165"/>
    <col min="1268" max="1268" width="21.42578125" style="165" customWidth="1"/>
    <col min="1269" max="1269" width="16.42578125" style="165" customWidth="1"/>
    <col min="1270" max="1270" width="18" style="165" customWidth="1"/>
    <col min="1271" max="1271" width="23.7109375" style="165" customWidth="1"/>
    <col min="1272" max="1272" width="26" style="165" customWidth="1"/>
    <col min="1273" max="1273" width="21.42578125" style="165" customWidth="1"/>
    <col min="1274" max="1274" width="20.85546875" style="165" customWidth="1"/>
    <col min="1275" max="1275" width="0" style="165" hidden="1" customWidth="1"/>
    <col min="1276" max="1523" width="9.140625" style="165"/>
    <col min="1524" max="1524" width="21.42578125" style="165" customWidth="1"/>
    <col min="1525" max="1525" width="16.42578125" style="165" customWidth="1"/>
    <col min="1526" max="1526" width="18" style="165" customWidth="1"/>
    <col min="1527" max="1527" width="23.7109375" style="165" customWidth="1"/>
    <col min="1528" max="1528" width="26" style="165" customWidth="1"/>
    <col min="1529" max="1529" width="21.42578125" style="165" customWidth="1"/>
    <col min="1530" max="1530" width="20.85546875" style="165" customWidth="1"/>
    <col min="1531" max="1531" width="0" style="165" hidden="1" customWidth="1"/>
    <col min="1532" max="1779" width="9.140625" style="165"/>
    <col min="1780" max="1780" width="21.42578125" style="165" customWidth="1"/>
    <col min="1781" max="1781" width="16.42578125" style="165" customWidth="1"/>
    <col min="1782" max="1782" width="18" style="165" customWidth="1"/>
    <col min="1783" max="1783" width="23.7109375" style="165" customWidth="1"/>
    <col min="1784" max="1784" width="26" style="165" customWidth="1"/>
    <col min="1785" max="1785" width="21.42578125" style="165" customWidth="1"/>
    <col min="1786" max="1786" width="20.85546875" style="165" customWidth="1"/>
    <col min="1787" max="1787" width="0" style="165" hidden="1" customWidth="1"/>
    <col min="1788" max="2035" width="9.140625" style="165"/>
    <col min="2036" max="2036" width="21.42578125" style="165" customWidth="1"/>
    <col min="2037" max="2037" width="16.42578125" style="165" customWidth="1"/>
    <col min="2038" max="2038" width="18" style="165" customWidth="1"/>
    <col min="2039" max="2039" width="23.7109375" style="165" customWidth="1"/>
    <col min="2040" max="2040" width="26" style="165" customWidth="1"/>
    <col min="2041" max="2041" width="21.42578125" style="165" customWidth="1"/>
    <col min="2042" max="2042" width="20.85546875" style="165" customWidth="1"/>
    <col min="2043" max="2043" width="0" style="165" hidden="1" customWidth="1"/>
    <col min="2044" max="2291" width="9.140625" style="165"/>
    <col min="2292" max="2292" width="21.42578125" style="165" customWidth="1"/>
    <col min="2293" max="2293" width="16.42578125" style="165" customWidth="1"/>
    <col min="2294" max="2294" width="18" style="165" customWidth="1"/>
    <col min="2295" max="2295" width="23.7109375" style="165" customWidth="1"/>
    <col min="2296" max="2296" width="26" style="165" customWidth="1"/>
    <col min="2297" max="2297" width="21.42578125" style="165" customWidth="1"/>
    <col min="2298" max="2298" width="20.85546875" style="165" customWidth="1"/>
    <col min="2299" max="2299" width="0" style="165" hidden="1" customWidth="1"/>
    <col min="2300" max="2547" width="9.140625" style="165"/>
    <col min="2548" max="2548" width="21.42578125" style="165" customWidth="1"/>
    <col min="2549" max="2549" width="16.42578125" style="165" customWidth="1"/>
    <col min="2550" max="2550" width="18" style="165" customWidth="1"/>
    <col min="2551" max="2551" width="23.7109375" style="165" customWidth="1"/>
    <col min="2552" max="2552" width="26" style="165" customWidth="1"/>
    <col min="2553" max="2553" width="21.42578125" style="165" customWidth="1"/>
    <col min="2554" max="2554" width="20.85546875" style="165" customWidth="1"/>
    <col min="2555" max="2555" width="0" style="165" hidden="1" customWidth="1"/>
    <col min="2556" max="2803" width="9.140625" style="165"/>
    <col min="2804" max="2804" width="21.42578125" style="165" customWidth="1"/>
    <col min="2805" max="2805" width="16.42578125" style="165" customWidth="1"/>
    <col min="2806" max="2806" width="18" style="165" customWidth="1"/>
    <col min="2807" max="2807" width="23.7109375" style="165" customWidth="1"/>
    <col min="2808" max="2808" width="26" style="165" customWidth="1"/>
    <col min="2809" max="2809" width="21.42578125" style="165" customWidth="1"/>
    <col min="2810" max="2810" width="20.85546875" style="165" customWidth="1"/>
    <col min="2811" max="2811" width="0" style="165" hidden="1" customWidth="1"/>
    <col min="2812" max="3059" width="9.140625" style="165"/>
    <col min="3060" max="3060" width="21.42578125" style="165" customWidth="1"/>
    <col min="3061" max="3061" width="16.42578125" style="165" customWidth="1"/>
    <col min="3062" max="3062" width="18" style="165" customWidth="1"/>
    <col min="3063" max="3063" width="23.7109375" style="165" customWidth="1"/>
    <col min="3064" max="3064" width="26" style="165" customWidth="1"/>
    <col min="3065" max="3065" width="21.42578125" style="165" customWidth="1"/>
    <col min="3066" max="3066" width="20.85546875" style="165" customWidth="1"/>
    <col min="3067" max="3067" width="0" style="165" hidden="1" customWidth="1"/>
    <col min="3068" max="3315" width="9.140625" style="165"/>
    <col min="3316" max="3316" width="21.42578125" style="165" customWidth="1"/>
    <col min="3317" max="3317" width="16.42578125" style="165" customWidth="1"/>
    <col min="3318" max="3318" width="18" style="165" customWidth="1"/>
    <col min="3319" max="3319" width="23.7109375" style="165" customWidth="1"/>
    <col min="3320" max="3320" width="26" style="165" customWidth="1"/>
    <col min="3321" max="3321" width="21.42578125" style="165" customWidth="1"/>
    <col min="3322" max="3322" width="20.85546875" style="165" customWidth="1"/>
    <col min="3323" max="3323" width="0" style="165" hidden="1" customWidth="1"/>
    <col min="3324" max="3571" width="9.140625" style="165"/>
    <col min="3572" max="3572" width="21.42578125" style="165" customWidth="1"/>
    <col min="3573" max="3573" width="16.42578125" style="165" customWidth="1"/>
    <col min="3574" max="3574" width="18" style="165" customWidth="1"/>
    <col min="3575" max="3575" width="23.7109375" style="165" customWidth="1"/>
    <col min="3576" max="3576" width="26" style="165" customWidth="1"/>
    <col min="3577" max="3577" width="21.42578125" style="165" customWidth="1"/>
    <col min="3578" max="3578" width="20.85546875" style="165" customWidth="1"/>
    <col min="3579" max="3579" width="0" style="165" hidden="1" customWidth="1"/>
    <col min="3580" max="3827" width="9.140625" style="165"/>
    <col min="3828" max="3828" width="21.42578125" style="165" customWidth="1"/>
    <col min="3829" max="3829" width="16.42578125" style="165" customWidth="1"/>
    <col min="3830" max="3830" width="18" style="165" customWidth="1"/>
    <col min="3831" max="3831" width="23.7109375" style="165" customWidth="1"/>
    <col min="3832" max="3832" width="26" style="165" customWidth="1"/>
    <col min="3833" max="3833" width="21.42578125" style="165" customWidth="1"/>
    <col min="3834" max="3834" width="20.85546875" style="165" customWidth="1"/>
    <col min="3835" max="3835" width="0" style="165" hidden="1" customWidth="1"/>
    <col min="3836" max="4083" width="9.140625" style="165"/>
    <col min="4084" max="4084" width="21.42578125" style="165" customWidth="1"/>
    <col min="4085" max="4085" width="16.42578125" style="165" customWidth="1"/>
    <col min="4086" max="4086" width="18" style="165" customWidth="1"/>
    <col min="4087" max="4087" width="23.7109375" style="165" customWidth="1"/>
    <col min="4088" max="4088" width="26" style="165" customWidth="1"/>
    <col min="4089" max="4089" width="21.42578125" style="165" customWidth="1"/>
    <col min="4090" max="4090" width="20.85546875" style="165" customWidth="1"/>
    <col min="4091" max="4091" width="0" style="165" hidden="1" customWidth="1"/>
    <col min="4092" max="4339" width="9.140625" style="165"/>
    <col min="4340" max="4340" width="21.42578125" style="165" customWidth="1"/>
    <col min="4341" max="4341" width="16.42578125" style="165" customWidth="1"/>
    <col min="4342" max="4342" width="18" style="165" customWidth="1"/>
    <col min="4343" max="4343" width="23.7109375" style="165" customWidth="1"/>
    <col min="4344" max="4344" width="26" style="165" customWidth="1"/>
    <col min="4345" max="4345" width="21.42578125" style="165" customWidth="1"/>
    <col min="4346" max="4346" width="20.85546875" style="165" customWidth="1"/>
    <col min="4347" max="4347" width="0" style="165" hidden="1" customWidth="1"/>
    <col min="4348" max="4595" width="9.140625" style="165"/>
    <col min="4596" max="4596" width="21.42578125" style="165" customWidth="1"/>
    <col min="4597" max="4597" width="16.42578125" style="165" customWidth="1"/>
    <col min="4598" max="4598" width="18" style="165" customWidth="1"/>
    <col min="4599" max="4599" width="23.7109375" style="165" customWidth="1"/>
    <col min="4600" max="4600" width="26" style="165" customWidth="1"/>
    <col min="4601" max="4601" width="21.42578125" style="165" customWidth="1"/>
    <col min="4602" max="4602" width="20.85546875" style="165" customWidth="1"/>
    <col min="4603" max="4603" width="0" style="165" hidden="1" customWidth="1"/>
    <col min="4604" max="4851" width="9.140625" style="165"/>
    <col min="4852" max="4852" width="21.42578125" style="165" customWidth="1"/>
    <col min="4853" max="4853" width="16.42578125" style="165" customWidth="1"/>
    <col min="4854" max="4854" width="18" style="165" customWidth="1"/>
    <col min="4855" max="4855" width="23.7109375" style="165" customWidth="1"/>
    <col min="4856" max="4856" width="26" style="165" customWidth="1"/>
    <col min="4857" max="4857" width="21.42578125" style="165" customWidth="1"/>
    <col min="4858" max="4858" width="20.85546875" style="165" customWidth="1"/>
    <col min="4859" max="4859" width="0" style="165" hidden="1" customWidth="1"/>
    <col min="4860" max="5107" width="9.140625" style="165"/>
    <col min="5108" max="5108" width="21.42578125" style="165" customWidth="1"/>
    <col min="5109" max="5109" width="16.42578125" style="165" customWidth="1"/>
    <col min="5110" max="5110" width="18" style="165" customWidth="1"/>
    <col min="5111" max="5111" width="23.7109375" style="165" customWidth="1"/>
    <col min="5112" max="5112" width="26" style="165" customWidth="1"/>
    <col min="5113" max="5113" width="21.42578125" style="165" customWidth="1"/>
    <col min="5114" max="5114" width="20.85546875" style="165" customWidth="1"/>
    <col min="5115" max="5115" width="0" style="165" hidden="1" customWidth="1"/>
    <col min="5116" max="5363" width="9.140625" style="165"/>
    <col min="5364" max="5364" width="21.42578125" style="165" customWidth="1"/>
    <col min="5365" max="5365" width="16.42578125" style="165" customWidth="1"/>
    <col min="5366" max="5366" width="18" style="165" customWidth="1"/>
    <col min="5367" max="5367" width="23.7109375" style="165" customWidth="1"/>
    <col min="5368" max="5368" width="26" style="165" customWidth="1"/>
    <col min="5369" max="5369" width="21.42578125" style="165" customWidth="1"/>
    <col min="5370" max="5370" width="20.85546875" style="165" customWidth="1"/>
    <col min="5371" max="5371" width="0" style="165" hidden="1" customWidth="1"/>
    <col min="5372" max="5619" width="9.140625" style="165"/>
    <col min="5620" max="5620" width="21.42578125" style="165" customWidth="1"/>
    <col min="5621" max="5621" width="16.42578125" style="165" customWidth="1"/>
    <col min="5622" max="5622" width="18" style="165" customWidth="1"/>
    <col min="5623" max="5623" width="23.7109375" style="165" customWidth="1"/>
    <col min="5624" max="5624" width="26" style="165" customWidth="1"/>
    <col min="5625" max="5625" width="21.42578125" style="165" customWidth="1"/>
    <col min="5626" max="5626" width="20.85546875" style="165" customWidth="1"/>
    <col min="5627" max="5627" width="0" style="165" hidden="1" customWidth="1"/>
    <col min="5628" max="5875" width="9.140625" style="165"/>
    <col min="5876" max="5876" width="21.42578125" style="165" customWidth="1"/>
    <col min="5877" max="5877" width="16.42578125" style="165" customWidth="1"/>
    <col min="5878" max="5878" width="18" style="165" customWidth="1"/>
    <col min="5879" max="5879" width="23.7109375" style="165" customWidth="1"/>
    <col min="5880" max="5880" width="26" style="165" customWidth="1"/>
    <col min="5881" max="5881" width="21.42578125" style="165" customWidth="1"/>
    <col min="5882" max="5882" width="20.85546875" style="165" customWidth="1"/>
    <col min="5883" max="5883" width="0" style="165" hidden="1" customWidth="1"/>
    <col min="5884" max="6131" width="9.140625" style="165"/>
    <col min="6132" max="6132" width="21.42578125" style="165" customWidth="1"/>
    <col min="6133" max="6133" width="16.42578125" style="165" customWidth="1"/>
    <col min="6134" max="6134" width="18" style="165" customWidth="1"/>
    <col min="6135" max="6135" width="23.7109375" style="165" customWidth="1"/>
    <col min="6136" max="6136" width="26" style="165" customWidth="1"/>
    <col min="6137" max="6137" width="21.42578125" style="165" customWidth="1"/>
    <col min="6138" max="6138" width="20.85546875" style="165" customWidth="1"/>
    <col min="6139" max="6139" width="0" style="165" hidden="1" customWidth="1"/>
    <col min="6140" max="6387" width="9.140625" style="165"/>
    <col min="6388" max="6388" width="21.42578125" style="165" customWidth="1"/>
    <col min="6389" max="6389" width="16.42578125" style="165" customWidth="1"/>
    <col min="6390" max="6390" width="18" style="165" customWidth="1"/>
    <col min="6391" max="6391" width="23.7109375" style="165" customWidth="1"/>
    <col min="6392" max="6392" width="26" style="165" customWidth="1"/>
    <col min="6393" max="6393" width="21.42578125" style="165" customWidth="1"/>
    <col min="6394" max="6394" width="20.85546875" style="165" customWidth="1"/>
    <col min="6395" max="6395" width="0" style="165" hidden="1" customWidth="1"/>
    <col min="6396" max="6643" width="9.140625" style="165"/>
    <col min="6644" max="6644" width="21.42578125" style="165" customWidth="1"/>
    <col min="6645" max="6645" width="16.42578125" style="165" customWidth="1"/>
    <col min="6646" max="6646" width="18" style="165" customWidth="1"/>
    <col min="6647" max="6647" width="23.7109375" style="165" customWidth="1"/>
    <col min="6648" max="6648" width="26" style="165" customWidth="1"/>
    <col min="6649" max="6649" width="21.42578125" style="165" customWidth="1"/>
    <col min="6650" max="6650" width="20.85546875" style="165" customWidth="1"/>
    <col min="6651" max="6651" width="0" style="165" hidden="1" customWidth="1"/>
    <col min="6652" max="6899" width="9.140625" style="165"/>
    <col min="6900" max="6900" width="21.42578125" style="165" customWidth="1"/>
    <col min="6901" max="6901" width="16.42578125" style="165" customWidth="1"/>
    <col min="6902" max="6902" width="18" style="165" customWidth="1"/>
    <col min="6903" max="6903" width="23.7109375" style="165" customWidth="1"/>
    <col min="6904" max="6904" width="26" style="165" customWidth="1"/>
    <col min="6905" max="6905" width="21.42578125" style="165" customWidth="1"/>
    <col min="6906" max="6906" width="20.85546875" style="165" customWidth="1"/>
    <col min="6907" max="6907" width="0" style="165" hidden="1" customWidth="1"/>
    <col min="6908" max="7155" width="9.140625" style="165"/>
    <col min="7156" max="7156" width="21.42578125" style="165" customWidth="1"/>
    <col min="7157" max="7157" width="16.42578125" style="165" customWidth="1"/>
    <col min="7158" max="7158" width="18" style="165" customWidth="1"/>
    <col min="7159" max="7159" width="23.7109375" style="165" customWidth="1"/>
    <col min="7160" max="7160" width="26" style="165" customWidth="1"/>
    <col min="7161" max="7161" width="21.42578125" style="165" customWidth="1"/>
    <col min="7162" max="7162" width="20.85546875" style="165" customWidth="1"/>
    <col min="7163" max="7163" width="0" style="165" hidden="1" customWidth="1"/>
    <col min="7164" max="7411" width="9.140625" style="165"/>
    <col min="7412" max="7412" width="21.42578125" style="165" customWidth="1"/>
    <col min="7413" max="7413" width="16.42578125" style="165" customWidth="1"/>
    <col min="7414" max="7414" width="18" style="165" customWidth="1"/>
    <col min="7415" max="7415" width="23.7109375" style="165" customWidth="1"/>
    <col min="7416" max="7416" width="26" style="165" customWidth="1"/>
    <col min="7417" max="7417" width="21.42578125" style="165" customWidth="1"/>
    <col min="7418" max="7418" width="20.85546875" style="165" customWidth="1"/>
    <col min="7419" max="7419" width="0" style="165" hidden="1" customWidth="1"/>
    <col min="7420" max="7667" width="9.140625" style="165"/>
    <col min="7668" max="7668" width="21.42578125" style="165" customWidth="1"/>
    <col min="7669" max="7669" width="16.42578125" style="165" customWidth="1"/>
    <col min="7670" max="7670" width="18" style="165" customWidth="1"/>
    <col min="7671" max="7671" width="23.7109375" style="165" customWidth="1"/>
    <col min="7672" max="7672" width="26" style="165" customWidth="1"/>
    <col min="7673" max="7673" width="21.42578125" style="165" customWidth="1"/>
    <col min="7674" max="7674" width="20.85546875" style="165" customWidth="1"/>
    <col min="7675" max="7675" width="0" style="165" hidden="1" customWidth="1"/>
    <col min="7676" max="7923" width="9.140625" style="165"/>
    <col min="7924" max="7924" width="21.42578125" style="165" customWidth="1"/>
    <col min="7925" max="7925" width="16.42578125" style="165" customWidth="1"/>
    <col min="7926" max="7926" width="18" style="165" customWidth="1"/>
    <col min="7927" max="7927" width="23.7109375" style="165" customWidth="1"/>
    <col min="7928" max="7928" width="26" style="165" customWidth="1"/>
    <col min="7929" max="7929" width="21.42578125" style="165" customWidth="1"/>
    <col min="7930" max="7930" width="20.85546875" style="165" customWidth="1"/>
    <col min="7931" max="7931" width="0" style="165" hidden="1" customWidth="1"/>
    <col min="7932" max="8179" width="9.140625" style="165"/>
    <col min="8180" max="8180" width="21.42578125" style="165" customWidth="1"/>
    <col min="8181" max="8181" width="16.42578125" style="165" customWidth="1"/>
    <col min="8182" max="8182" width="18" style="165" customWidth="1"/>
    <col min="8183" max="8183" width="23.7109375" style="165" customWidth="1"/>
    <col min="8184" max="8184" width="26" style="165" customWidth="1"/>
    <col min="8185" max="8185" width="21.42578125" style="165" customWidth="1"/>
    <col min="8186" max="8186" width="20.85546875" style="165" customWidth="1"/>
    <col min="8187" max="8187" width="0" style="165" hidden="1" customWidth="1"/>
    <col min="8188" max="8435" width="9.140625" style="165"/>
    <col min="8436" max="8436" width="21.42578125" style="165" customWidth="1"/>
    <col min="8437" max="8437" width="16.42578125" style="165" customWidth="1"/>
    <col min="8438" max="8438" width="18" style="165" customWidth="1"/>
    <col min="8439" max="8439" width="23.7109375" style="165" customWidth="1"/>
    <col min="8440" max="8440" width="26" style="165" customWidth="1"/>
    <col min="8441" max="8441" width="21.42578125" style="165" customWidth="1"/>
    <col min="8442" max="8442" width="20.85546875" style="165" customWidth="1"/>
    <col min="8443" max="8443" width="0" style="165" hidden="1" customWidth="1"/>
    <col min="8444" max="8691" width="9.140625" style="165"/>
    <col min="8692" max="8692" width="21.42578125" style="165" customWidth="1"/>
    <col min="8693" max="8693" width="16.42578125" style="165" customWidth="1"/>
    <col min="8694" max="8694" width="18" style="165" customWidth="1"/>
    <col min="8695" max="8695" width="23.7109375" style="165" customWidth="1"/>
    <col min="8696" max="8696" width="26" style="165" customWidth="1"/>
    <col min="8697" max="8697" width="21.42578125" style="165" customWidth="1"/>
    <col min="8698" max="8698" width="20.85546875" style="165" customWidth="1"/>
    <col min="8699" max="8699" width="0" style="165" hidden="1" customWidth="1"/>
    <col min="8700" max="8947" width="9.140625" style="165"/>
    <col min="8948" max="8948" width="21.42578125" style="165" customWidth="1"/>
    <col min="8949" max="8949" width="16.42578125" style="165" customWidth="1"/>
    <col min="8950" max="8950" width="18" style="165" customWidth="1"/>
    <col min="8951" max="8951" width="23.7109375" style="165" customWidth="1"/>
    <col min="8952" max="8952" width="26" style="165" customWidth="1"/>
    <col min="8953" max="8953" width="21.42578125" style="165" customWidth="1"/>
    <col min="8954" max="8954" width="20.85546875" style="165" customWidth="1"/>
    <col min="8955" max="8955" width="0" style="165" hidden="1" customWidth="1"/>
    <col min="8956" max="9203" width="9.140625" style="165"/>
    <col min="9204" max="9204" width="21.42578125" style="165" customWidth="1"/>
    <col min="9205" max="9205" width="16.42578125" style="165" customWidth="1"/>
    <col min="9206" max="9206" width="18" style="165" customWidth="1"/>
    <col min="9207" max="9207" width="23.7109375" style="165" customWidth="1"/>
    <col min="9208" max="9208" width="26" style="165" customWidth="1"/>
    <col min="9209" max="9209" width="21.42578125" style="165" customWidth="1"/>
    <col min="9210" max="9210" width="20.85546875" style="165" customWidth="1"/>
    <col min="9211" max="9211" width="0" style="165" hidden="1" customWidth="1"/>
    <col min="9212" max="9459" width="9.140625" style="165"/>
    <col min="9460" max="9460" width="21.42578125" style="165" customWidth="1"/>
    <col min="9461" max="9461" width="16.42578125" style="165" customWidth="1"/>
    <col min="9462" max="9462" width="18" style="165" customWidth="1"/>
    <col min="9463" max="9463" width="23.7109375" style="165" customWidth="1"/>
    <col min="9464" max="9464" width="26" style="165" customWidth="1"/>
    <col min="9465" max="9465" width="21.42578125" style="165" customWidth="1"/>
    <col min="9466" max="9466" width="20.85546875" style="165" customWidth="1"/>
    <col min="9467" max="9467" width="0" style="165" hidden="1" customWidth="1"/>
    <col min="9468" max="9715" width="9.140625" style="165"/>
    <col min="9716" max="9716" width="21.42578125" style="165" customWidth="1"/>
    <col min="9717" max="9717" width="16.42578125" style="165" customWidth="1"/>
    <col min="9718" max="9718" width="18" style="165" customWidth="1"/>
    <col min="9719" max="9719" width="23.7109375" style="165" customWidth="1"/>
    <col min="9720" max="9720" width="26" style="165" customWidth="1"/>
    <col min="9721" max="9721" width="21.42578125" style="165" customWidth="1"/>
    <col min="9722" max="9722" width="20.85546875" style="165" customWidth="1"/>
    <col min="9723" max="9723" width="0" style="165" hidden="1" customWidth="1"/>
    <col min="9724" max="9971" width="9.140625" style="165"/>
    <col min="9972" max="9972" width="21.42578125" style="165" customWidth="1"/>
    <col min="9973" max="9973" width="16.42578125" style="165" customWidth="1"/>
    <col min="9974" max="9974" width="18" style="165" customWidth="1"/>
    <col min="9975" max="9975" width="23.7109375" style="165" customWidth="1"/>
    <col min="9976" max="9976" width="26" style="165" customWidth="1"/>
    <col min="9977" max="9977" width="21.42578125" style="165" customWidth="1"/>
    <col min="9978" max="9978" width="20.85546875" style="165" customWidth="1"/>
    <col min="9979" max="9979" width="0" style="165" hidden="1" customWidth="1"/>
    <col min="9980" max="10227" width="9.140625" style="165"/>
    <col min="10228" max="10228" width="21.42578125" style="165" customWidth="1"/>
    <col min="10229" max="10229" width="16.42578125" style="165" customWidth="1"/>
    <col min="10230" max="10230" width="18" style="165" customWidth="1"/>
    <col min="10231" max="10231" width="23.7109375" style="165" customWidth="1"/>
    <col min="10232" max="10232" width="26" style="165" customWidth="1"/>
    <col min="10233" max="10233" width="21.42578125" style="165" customWidth="1"/>
    <col min="10234" max="10234" width="20.85546875" style="165" customWidth="1"/>
    <col min="10235" max="10235" width="0" style="165" hidden="1" customWidth="1"/>
    <col min="10236" max="10483" width="9.140625" style="165"/>
    <col min="10484" max="10484" width="21.42578125" style="165" customWidth="1"/>
    <col min="10485" max="10485" width="16.42578125" style="165" customWidth="1"/>
    <col min="10486" max="10486" width="18" style="165" customWidth="1"/>
    <col min="10487" max="10487" width="23.7109375" style="165" customWidth="1"/>
    <col min="10488" max="10488" width="26" style="165" customWidth="1"/>
    <col min="10489" max="10489" width="21.42578125" style="165" customWidth="1"/>
    <col min="10490" max="10490" width="20.85546875" style="165" customWidth="1"/>
    <col min="10491" max="10491" width="0" style="165" hidden="1" customWidth="1"/>
    <col min="10492" max="10739" width="9.140625" style="165"/>
    <col min="10740" max="10740" width="21.42578125" style="165" customWidth="1"/>
    <col min="10741" max="10741" width="16.42578125" style="165" customWidth="1"/>
    <col min="10742" max="10742" width="18" style="165" customWidth="1"/>
    <col min="10743" max="10743" width="23.7109375" style="165" customWidth="1"/>
    <col min="10744" max="10744" width="26" style="165" customWidth="1"/>
    <col min="10745" max="10745" width="21.42578125" style="165" customWidth="1"/>
    <col min="10746" max="10746" width="20.85546875" style="165" customWidth="1"/>
    <col min="10747" max="10747" width="0" style="165" hidden="1" customWidth="1"/>
    <col min="10748" max="10995" width="9.140625" style="165"/>
    <col min="10996" max="10996" width="21.42578125" style="165" customWidth="1"/>
    <col min="10997" max="10997" width="16.42578125" style="165" customWidth="1"/>
    <col min="10998" max="10998" width="18" style="165" customWidth="1"/>
    <col min="10999" max="10999" width="23.7109375" style="165" customWidth="1"/>
    <col min="11000" max="11000" width="26" style="165" customWidth="1"/>
    <col min="11001" max="11001" width="21.42578125" style="165" customWidth="1"/>
    <col min="11002" max="11002" width="20.85546875" style="165" customWidth="1"/>
    <col min="11003" max="11003" width="0" style="165" hidden="1" customWidth="1"/>
    <col min="11004" max="11251" width="9.140625" style="165"/>
    <col min="11252" max="11252" width="21.42578125" style="165" customWidth="1"/>
    <col min="11253" max="11253" width="16.42578125" style="165" customWidth="1"/>
    <col min="11254" max="11254" width="18" style="165" customWidth="1"/>
    <col min="11255" max="11255" width="23.7109375" style="165" customWidth="1"/>
    <col min="11256" max="11256" width="26" style="165" customWidth="1"/>
    <col min="11257" max="11257" width="21.42578125" style="165" customWidth="1"/>
    <col min="11258" max="11258" width="20.85546875" style="165" customWidth="1"/>
    <col min="11259" max="11259" width="0" style="165" hidden="1" customWidth="1"/>
    <col min="11260" max="11507" width="9.140625" style="165"/>
    <col min="11508" max="11508" width="21.42578125" style="165" customWidth="1"/>
    <col min="11509" max="11509" width="16.42578125" style="165" customWidth="1"/>
    <col min="11510" max="11510" width="18" style="165" customWidth="1"/>
    <col min="11511" max="11511" width="23.7109375" style="165" customWidth="1"/>
    <col min="11512" max="11512" width="26" style="165" customWidth="1"/>
    <col min="11513" max="11513" width="21.42578125" style="165" customWidth="1"/>
    <col min="11514" max="11514" width="20.85546875" style="165" customWidth="1"/>
    <col min="11515" max="11515" width="0" style="165" hidden="1" customWidth="1"/>
    <col min="11516" max="11763" width="9.140625" style="165"/>
    <col min="11764" max="11764" width="21.42578125" style="165" customWidth="1"/>
    <col min="11765" max="11765" width="16.42578125" style="165" customWidth="1"/>
    <col min="11766" max="11766" width="18" style="165" customWidth="1"/>
    <col min="11767" max="11767" width="23.7109375" style="165" customWidth="1"/>
    <col min="11768" max="11768" width="26" style="165" customWidth="1"/>
    <col min="11769" max="11769" width="21.42578125" style="165" customWidth="1"/>
    <col min="11770" max="11770" width="20.85546875" style="165" customWidth="1"/>
    <col min="11771" max="11771" width="0" style="165" hidden="1" customWidth="1"/>
    <col min="11772" max="12019" width="9.140625" style="165"/>
    <col min="12020" max="12020" width="21.42578125" style="165" customWidth="1"/>
    <col min="12021" max="12021" width="16.42578125" style="165" customWidth="1"/>
    <col min="12022" max="12022" width="18" style="165" customWidth="1"/>
    <col min="12023" max="12023" width="23.7109375" style="165" customWidth="1"/>
    <col min="12024" max="12024" width="26" style="165" customWidth="1"/>
    <col min="12025" max="12025" width="21.42578125" style="165" customWidth="1"/>
    <col min="12026" max="12026" width="20.85546875" style="165" customWidth="1"/>
    <col min="12027" max="12027" width="0" style="165" hidden="1" customWidth="1"/>
    <col min="12028" max="12275" width="9.140625" style="165"/>
    <col min="12276" max="12276" width="21.42578125" style="165" customWidth="1"/>
    <col min="12277" max="12277" width="16.42578125" style="165" customWidth="1"/>
    <col min="12278" max="12278" width="18" style="165" customWidth="1"/>
    <col min="12279" max="12279" width="23.7109375" style="165" customWidth="1"/>
    <col min="12280" max="12280" width="26" style="165" customWidth="1"/>
    <col min="12281" max="12281" width="21.42578125" style="165" customWidth="1"/>
    <col min="12282" max="12282" width="20.85546875" style="165" customWidth="1"/>
    <col min="12283" max="12283" width="0" style="165" hidden="1" customWidth="1"/>
    <col min="12284" max="12531" width="9.140625" style="165"/>
    <col min="12532" max="12532" width="21.42578125" style="165" customWidth="1"/>
    <col min="12533" max="12533" width="16.42578125" style="165" customWidth="1"/>
    <col min="12534" max="12534" width="18" style="165" customWidth="1"/>
    <col min="12535" max="12535" width="23.7109375" style="165" customWidth="1"/>
    <col min="12536" max="12536" width="26" style="165" customWidth="1"/>
    <col min="12537" max="12537" width="21.42578125" style="165" customWidth="1"/>
    <col min="12538" max="12538" width="20.85546875" style="165" customWidth="1"/>
    <col min="12539" max="12539" width="0" style="165" hidden="1" customWidth="1"/>
    <col min="12540" max="12787" width="9.140625" style="165"/>
    <col min="12788" max="12788" width="21.42578125" style="165" customWidth="1"/>
    <col min="12789" max="12789" width="16.42578125" style="165" customWidth="1"/>
    <col min="12790" max="12790" width="18" style="165" customWidth="1"/>
    <col min="12791" max="12791" width="23.7109375" style="165" customWidth="1"/>
    <col min="12792" max="12792" width="26" style="165" customWidth="1"/>
    <col min="12793" max="12793" width="21.42578125" style="165" customWidth="1"/>
    <col min="12794" max="12794" width="20.85546875" style="165" customWidth="1"/>
    <col min="12795" max="12795" width="0" style="165" hidden="1" customWidth="1"/>
    <col min="12796" max="13043" width="9.140625" style="165"/>
    <col min="13044" max="13044" width="21.42578125" style="165" customWidth="1"/>
    <col min="13045" max="13045" width="16.42578125" style="165" customWidth="1"/>
    <col min="13046" max="13046" width="18" style="165" customWidth="1"/>
    <col min="13047" max="13047" width="23.7109375" style="165" customWidth="1"/>
    <col min="13048" max="13048" width="26" style="165" customWidth="1"/>
    <col min="13049" max="13049" width="21.42578125" style="165" customWidth="1"/>
    <col min="13050" max="13050" width="20.85546875" style="165" customWidth="1"/>
    <col min="13051" max="13051" width="0" style="165" hidden="1" customWidth="1"/>
    <col min="13052" max="13299" width="9.140625" style="165"/>
    <col min="13300" max="13300" width="21.42578125" style="165" customWidth="1"/>
    <col min="13301" max="13301" width="16.42578125" style="165" customWidth="1"/>
    <col min="13302" max="13302" width="18" style="165" customWidth="1"/>
    <col min="13303" max="13303" width="23.7109375" style="165" customWidth="1"/>
    <col min="13304" max="13304" width="26" style="165" customWidth="1"/>
    <col min="13305" max="13305" width="21.42578125" style="165" customWidth="1"/>
    <col min="13306" max="13306" width="20.85546875" style="165" customWidth="1"/>
    <col min="13307" max="13307" width="0" style="165" hidden="1" customWidth="1"/>
    <col min="13308" max="13555" width="9.140625" style="165"/>
    <col min="13556" max="13556" width="21.42578125" style="165" customWidth="1"/>
    <col min="13557" max="13557" width="16.42578125" style="165" customWidth="1"/>
    <col min="13558" max="13558" width="18" style="165" customWidth="1"/>
    <col min="13559" max="13559" width="23.7109375" style="165" customWidth="1"/>
    <col min="13560" max="13560" width="26" style="165" customWidth="1"/>
    <col min="13561" max="13561" width="21.42578125" style="165" customWidth="1"/>
    <col min="13562" max="13562" width="20.85546875" style="165" customWidth="1"/>
    <col min="13563" max="13563" width="0" style="165" hidden="1" customWidth="1"/>
    <col min="13564" max="13811" width="9.140625" style="165"/>
    <col min="13812" max="13812" width="21.42578125" style="165" customWidth="1"/>
    <col min="13813" max="13813" width="16.42578125" style="165" customWidth="1"/>
    <col min="13814" max="13814" width="18" style="165" customWidth="1"/>
    <col min="13815" max="13815" width="23.7109375" style="165" customWidth="1"/>
    <col min="13816" max="13816" width="26" style="165" customWidth="1"/>
    <col min="13817" max="13817" width="21.42578125" style="165" customWidth="1"/>
    <col min="13818" max="13818" width="20.85546875" style="165" customWidth="1"/>
    <col min="13819" max="13819" width="0" style="165" hidden="1" customWidth="1"/>
    <col min="13820" max="14067" width="9.140625" style="165"/>
    <col min="14068" max="14068" width="21.42578125" style="165" customWidth="1"/>
    <col min="14069" max="14069" width="16.42578125" style="165" customWidth="1"/>
    <col min="14070" max="14070" width="18" style="165" customWidth="1"/>
    <col min="14071" max="14071" width="23.7109375" style="165" customWidth="1"/>
    <col min="14072" max="14072" width="26" style="165" customWidth="1"/>
    <col min="14073" max="14073" width="21.42578125" style="165" customWidth="1"/>
    <col min="14074" max="14074" width="20.85546875" style="165" customWidth="1"/>
    <col min="14075" max="14075" width="0" style="165" hidden="1" customWidth="1"/>
    <col min="14076" max="14323" width="9.140625" style="165"/>
    <col min="14324" max="14324" width="21.42578125" style="165" customWidth="1"/>
    <col min="14325" max="14325" width="16.42578125" style="165" customWidth="1"/>
    <col min="14326" max="14326" width="18" style="165" customWidth="1"/>
    <col min="14327" max="14327" width="23.7109375" style="165" customWidth="1"/>
    <col min="14328" max="14328" width="26" style="165" customWidth="1"/>
    <col min="14329" max="14329" width="21.42578125" style="165" customWidth="1"/>
    <col min="14330" max="14330" width="20.85546875" style="165" customWidth="1"/>
    <col min="14331" max="14331" width="0" style="165" hidden="1" customWidth="1"/>
    <col min="14332" max="14579" width="9.140625" style="165"/>
    <col min="14580" max="14580" width="21.42578125" style="165" customWidth="1"/>
    <col min="14581" max="14581" width="16.42578125" style="165" customWidth="1"/>
    <col min="14582" max="14582" width="18" style="165" customWidth="1"/>
    <col min="14583" max="14583" width="23.7109375" style="165" customWidth="1"/>
    <col min="14584" max="14584" width="26" style="165" customWidth="1"/>
    <col min="14585" max="14585" width="21.42578125" style="165" customWidth="1"/>
    <col min="14586" max="14586" width="20.85546875" style="165" customWidth="1"/>
    <col min="14587" max="14587" width="0" style="165" hidden="1" customWidth="1"/>
    <col min="14588" max="14835" width="9.140625" style="165"/>
    <col min="14836" max="14836" width="21.42578125" style="165" customWidth="1"/>
    <col min="14837" max="14837" width="16.42578125" style="165" customWidth="1"/>
    <col min="14838" max="14838" width="18" style="165" customWidth="1"/>
    <col min="14839" max="14839" width="23.7109375" style="165" customWidth="1"/>
    <col min="14840" max="14840" width="26" style="165" customWidth="1"/>
    <col min="14841" max="14841" width="21.42578125" style="165" customWidth="1"/>
    <col min="14842" max="14842" width="20.85546875" style="165" customWidth="1"/>
    <col min="14843" max="14843" width="0" style="165" hidden="1" customWidth="1"/>
    <col min="14844" max="15091" width="9.140625" style="165"/>
    <col min="15092" max="15092" width="21.42578125" style="165" customWidth="1"/>
    <col min="15093" max="15093" width="16.42578125" style="165" customWidth="1"/>
    <col min="15094" max="15094" width="18" style="165" customWidth="1"/>
    <col min="15095" max="15095" width="23.7109375" style="165" customWidth="1"/>
    <col min="15096" max="15096" width="26" style="165" customWidth="1"/>
    <col min="15097" max="15097" width="21.42578125" style="165" customWidth="1"/>
    <col min="15098" max="15098" width="20.85546875" style="165" customWidth="1"/>
    <col min="15099" max="15099" width="0" style="165" hidden="1" customWidth="1"/>
    <col min="15100" max="15347" width="9.140625" style="165"/>
    <col min="15348" max="15348" width="21.42578125" style="165" customWidth="1"/>
    <col min="15349" max="15349" width="16.42578125" style="165" customWidth="1"/>
    <col min="15350" max="15350" width="18" style="165" customWidth="1"/>
    <col min="15351" max="15351" width="23.7109375" style="165" customWidth="1"/>
    <col min="15352" max="15352" width="26" style="165" customWidth="1"/>
    <col min="15353" max="15353" width="21.42578125" style="165" customWidth="1"/>
    <col min="15354" max="15354" width="20.85546875" style="165" customWidth="1"/>
    <col min="15355" max="15355" width="0" style="165" hidden="1" customWidth="1"/>
    <col min="15356" max="15603" width="9.140625" style="165"/>
    <col min="15604" max="15604" width="21.42578125" style="165" customWidth="1"/>
    <col min="15605" max="15605" width="16.42578125" style="165" customWidth="1"/>
    <col min="15606" max="15606" width="18" style="165" customWidth="1"/>
    <col min="15607" max="15607" width="23.7109375" style="165" customWidth="1"/>
    <col min="15608" max="15608" width="26" style="165" customWidth="1"/>
    <col min="15609" max="15609" width="21.42578125" style="165" customWidth="1"/>
    <col min="15610" max="15610" width="20.85546875" style="165" customWidth="1"/>
    <col min="15611" max="15611" width="0" style="165" hidden="1" customWidth="1"/>
    <col min="15612" max="15859" width="9.140625" style="165"/>
    <col min="15860" max="15860" width="21.42578125" style="165" customWidth="1"/>
    <col min="15861" max="15861" width="16.42578125" style="165" customWidth="1"/>
    <col min="15862" max="15862" width="18" style="165" customWidth="1"/>
    <col min="15863" max="15863" width="23.7109375" style="165" customWidth="1"/>
    <col min="15864" max="15864" width="26" style="165" customWidth="1"/>
    <col min="15865" max="15865" width="21.42578125" style="165" customWidth="1"/>
    <col min="15866" max="15866" width="20.85546875" style="165" customWidth="1"/>
    <col min="15867" max="15867" width="0" style="165" hidden="1" customWidth="1"/>
    <col min="15868" max="16115" width="9.140625" style="165"/>
    <col min="16116" max="16116" width="21.42578125" style="165" customWidth="1"/>
    <col min="16117" max="16117" width="16.42578125" style="165" customWidth="1"/>
    <col min="16118" max="16118" width="18" style="165" customWidth="1"/>
    <col min="16119" max="16119" width="23.7109375" style="165" customWidth="1"/>
    <col min="16120" max="16120" width="26" style="165" customWidth="1"/>
    <col min="16121" max="16121" width="21.42578125" style="165" customWidth="1"/>
    <col min="16122" max="16122" width="20.85546875" style="165" customWidth="1"/>
    <col min="16123" max="16123" width="0" style="165" hidden="1" customWidth="1"/>
    <col min="16124" max="16384" width="9.140625" style="165"/>
  </cols>
  <sheetData>
    <row r="1" spans="2:15" ht="9" customHeight="1"/>
    <row r="2" spans="2:15" ht="30" customHeight="1">
      <c r="B2" s="202" t="s">
        <v>239</v>
      </c>
      <c r="C2" s="203"/>
      <c r="D2" s="203"/>
      <c r="E2" s="203"/>
      <c r="F2" s="203"/>
      <c r="G2" s="203"/>
      <c r="H2" s="203"/>
      <c r="I2" s="203"/>
      <c r="J2" s="204"/>
    </row>
    <row r="3" spans="2:15" ht="30" customHeight="1">
      <c r="B3" s="768" t="s">
        <v>220</v>
      </c>
      <c r="C3" s="769"/>
      <c r="D3" s="769"/>
      <c r="E3" s="769"/>
      <c r="F3" s="769"/>
      <c r="G3" s="769"/>
      <c r="H3" s="769"/>
      <c r="I3" s="769"/>
      <c r="J3" s="770"/>
    </row>
    <row r="4" spans="2:15" ht="15" customHeight="1" thickBot="1">
      <c r="B4" s="323"/>
      <c r="C4" s="323"/>
      <c r="D4" s="323"/>
      <c r="E4" s="323"/>
      <c r="F4" s="323"/>
      <c r="G4" s="323"/>
      <c r="H4" s="323"/>
      <c r="I4" s="323"/>
      <c r="J4" s="323"/>
    </row>
    <row r="5" spans="2:15" ht="45" customHeight="1" thickBot="1">
      <c r="B5" s="773" t="s">
        <v>334</v>
      </c>
      <c r="C5" s="774"/>
      <c r="D5" s="775"/>
      <c r="E5" s="323"/>
      <c r="F5" s="768" t="s">
        <v>218</v>
      </c>
      <c r="G5" s="769"/>
      <c r="H5" s="769"/>
      <c r="I5" s="769"/>
      <c r="J5" s="770"/>
    </row>
    <row r="6" spans="2:15" ht="15.75" thickBot="1">
      <c r="B6" s="483" t="s">
        <v>51</v>
      </c>
      <c r="C6" s="484" t="s">
        <v>62</v>
      </c>
      <c r="D6" s="485" t="s">
        <v>61</v>
      </c>
      <c r="E6" s="179"/>
      <c r="F6" s="485" t="s">
        <v>219</v>
      </c>
      <c r="G6" s="485" t="s">
        <v>219</v>
      </c>
      <c r="H6" s="485" t="s">
        <v>219</v>
      </c>
      <c r="I6" s="485" t="s">
        <v>219</v>
      </c>
      <c r="J6" s="485" t="s">
        <v>219</v>
      </c>
      <c r="K6" s="485" t="s">
        <v>219</v>
      </c>
      <c r="L6" s="485" t="s">
        <v>219</v>
      </c>
      <c r="M6" s="485" t="s">
        <v>219</v>
      </c>
      <c r="N6" s="485" t="s">
        <v>219</v>
      </c>
      <c r="O6" s="485" t="s">
        <v>219</v>
      </c>
    </row>
    <row r="7" spans="2:15" s="719" customFormat="1" ht="30" customHeight="1">
      <c r="B7" s="717" t="s">
        <v>454</v>
      </c>
      <c r="C7" s="715" t="s">
        <v>53</v>
      </c>
      <c r="D7" s="716">
        <f>'Cash Flow'!G72</f>
        <v>10.050000000000001</v>
      </c>
      <c r="E7" s="718"/>
      <c r="F7" s="716"/>
      <c r="G7" s="716"/>
      <c r="H7" s="716"/>
      <c r="I7" s="716"/>
      <c r="J7" s="716"/>
      <c r="K7" s="716"/>
      <c r="L7" s="716"/>
      <c r="M7" s="716"/>
      <c r="N7" s="716"/>
      <c r="O7" s="716"/>
    </row>
    <row r="8" spans="2:15" ht="15.75" customHeight="1">
      <c r="B8" s="205" t="s">
        <v>213</v>
      </c>
      <c r="C8" s="206" t="s">
        <v>1</v>
      </c>
      <c r="D8" s="324">
        <f>Inputs!$Q$9</f>
        <v>0</v>
      </c>
      <c r="E8" s="258"/>
      <c r="F8" s="324"/>
      <c r="G8" s="324"/>
      <c r="H8" s="324"/>
      <c r="I8" s="324"/>
      <c r="J8" s="324"/>
      <c r="K8" s="324"/>
      <c r="L8" s="324"/>
      <c r="M8" s="324"/>
      <c r="N8" s="324"/>
      <c r="O8" s="324"/>
    </row>
    <row r="9" spans="2:15" ht="15.75" customHeight="1">
      <c r="B9" s="207" t="s">
        <v>105</v>
      </c>
      <c r="C9" s="208" t="s">
        <v>1</v>
      </c>
      <c r="D9" s="324">
        <f>Inputs!$Q$8</f>
        <v>0</v>
      </c>
      <c r="E9" s="258"/>
      <c r="F9" s="324"/>
      <c r="G9" s="324"/>
      <c r="H9" s="324"/>
      <c r="I9" s="324"/>
      <c r="J9" s="324"/>
      <c r="K9" s="324"/>
      <c r="L9" s="324"/>
      <c r="M9" s="324"/>
      <c r="N9" s="324"/>
      <c r="O9" s="324"/>
    </row>
    <row r="10" spans="2:15" ht="30">
      <c r="B10" s="498" t="s">
        <v>312</v>
      </c>
      <c r="C10" s="499"/>
      <c r="D10" s="490" t="str">
        <f>IF(Inputs!$G$53="Pass","Yes","No, see Inputs Worksheet")</f>
        <v>No, see Inputs Worksheet</v>
      </c>
      <c r="E10" s="179"/>
      <c r="F10" s="792"/>
      <c r="G10" s="792"/>
      <c r="H10" s="792"/>
      <c r="I10" s="792"/>
      <c r="J10" s="792"/>
      <c r="K10" s="792"/>
      <c r="L10" s="792"/>
      <c r="M10" s="792"/>
      <c r="N10" s="792"/>
      <c r="O10" s="792"/>
    </row>
    <row r="11" spans="2:15" ht="30">
      <c r="B11" s="500" t="s">
        <v>313</v>
      </c>
      <c r="C11" s="501"/>
      <c r="D11" s="490" t="str">
        <f>IF(Inputs!$G$56="Pass","Yes","No, see Inputs Worksheet")</f>
        <v>No, see Inputs Worksheet</v>
      </c>
      <c r="E11" s="179"/>
      <c r="F11" s="792"/>
      <c r="G11" s="792"/>
      <c r="H11" s="792"/>
      <c r="I11" s="792"/>
      <c r="J11" s="792"/>
      <c r="K11" s="792"/>
      <c r="L11" s="792"/>
      <c r="M11" s="792"/>
      <c r="N11" s="792"/>
      <c r="O11" s="792"/>
    </row>
    <row r="12" spans="2:15" ht="15.75" customHeight="1">
      <c r="B12" s="473" t="s">
        <v>326</v>
      </c>
      <c r="C12" s="471"/>
      <c r="D12" s="472"/>
      <c r="E12" s="179"/>
      <c r="F12" s="472"/>
      <c r="G12" s="472"/>
      <c r="H12" s="472"/>
      <c r="I12" s="472"/>
      <c r="J12" s="472"/>
      <c r="K12" s="472"/>
      <c r="L12" s="472"/>
      <c r="M12" s="472"/>
      <c r="N12" s="472"/>
      <c r="O12" s="472"/>
    </row>
    <row r="13" spans="2:15" ht="15.75" customHeight="1">
      <c r="B13" s="336"/>
      <c r="C13" s="206"/>
      <c r="D13" s="337"/>
      <c r="E13" s="179"/>
      <c r="F13" s="337"/>
      <c r="G13" s="337"/>
      <c r="H13" s="337"/>
      <c r="I13" s="337"/>
      <c r="J13" s="337"/>
      <c r="K13" s="337"/>
      <c r="L13" s="337"/>
      <c r="M13" s="337"/>
      <c r="N13" s="337"/>
      <c r="O13" s="337"/>
    </row>
    <row r="14" spans="2:15" s="719" customFormat="1" ht="30" customHeight="1">
      <c r="B14" s="720" t="s">
        <v>455</v>
      </c>
      <c r="C14" s="721" t="s">
        <v>53</v>
      </c>
      <c r="D14" s="722">
        <f>-PMT(Inputs!$G$58,Inputs!$Q$7,NPV(Inputs!$G$58,'Cash Flow'!G14:AJ14))</f>
        <v>10.050000000000004</v>
      </c>
      <c r="E14" s="723"/>
      <c r="F14" s="722"/>
      <c r="G14" s="722"/>
      <c r="H14" s="722"/>
      <c r="I14" s="722"/>
      <c r="J14" s="722"/>
      <c r="K14" s="722"/>
      <c r="L14" s="722"/>
      <c r="M14" s="722"/>
      <c r="N14" s="722"/>
      <c r="O14" s="722"/>
    </row>
    <row r="15" spans="2:15" s="185" customFormat="1">
      <c r="C15" s="209"/>
      <c r="D15" s="210"/>
      <c r="E15" s="184"/>
      <c r="F15" s="210"/>
      <c r="G15" s="210"/>
      <c r="H15" s="210"/>
      <c r="I15" s="210"/>
      <c r="J15" s="210"/>
      <c r="K15" s="210"/>
      <c r="L15" s="210"/>
      <c r="M15" s="210"/>
      <c r="N15" s="210"/>
      <c r="O15" s="210"/>
    </row>
    <row r="16" spans="2:15" s="185" customFormat="1" ht="15.75" customHeight="1">
      <c r="B16" s="211" t="s">
        <v>50</v>
      </c>
      <c r="C16" s="340"/>
      <c r="D16" s="339"/>
      <c r="E16" s="179"/>
      <c r="F16" s="339"/>
      <c r="G16" s="339"/>
      <c r="H16" s="339"/>
      <c r="I16" s="339"/>
      <c r="J16" s="339"/>
      <c r="K16" s="339"/>
      <c r="L16" s="339"/>
      <c r="M16" s="339"/>
      <c r="N16" s="339"/>
      <c r="O16" s="339"/>
    </row>
    <row r="17" spans="2:15" s="185" customFormat="1" ht="15.75" customHeight="1">
      <c r="B17" s="708"/>
      <c r="C17" s="707"/>
      <c r="D17" s="709"/>
      <c r="E17" s="179"/>
      <c r="F17" s="709"/>
      <c r="G17" s="709"/>
      <c r="H17" s="709"/>
      <c r="I17" s="709"/>
      <c r="J17" s="709"/>
      <c r="K17" s="709"/>
      <c r="L17" s="709"/>
      <c r="M17" s="709"/>
      <c r="N17" s="709"/>
      <c r="O17" s="709"/>
    </row>
    <row r="18" spans="2:15" ht="15">
      <c r="B18" s="205" t="s">
        <v>29</v>
      </c>
      <c r="C18" s="206" t="str">
        <f>Inputs!F7</f>
        <v>kW</v>
      </c>
      <c r="D18" s="529">
        <f>Inputs!G7</f>
        <v>10000</v>
      </c>
      <c r="E18" s="213"/>
      <c r="F18" s="529"/>
      <c r="G18" s="529"/>
      <c r="H18" s="529"/>
      <c r="I18" s="529"/>
      <c r="J18" s="529"/>
      <c r="K18" s="529"/>
      <c r="L18" s="529"/>
      <c r="M18" s="529"/>
      <c r="N18" s="529"/>
      <c r="O18" s="529"/>
    </row>
    <row r="19" spans="2:15" ht="15">
      <c r="B19" s="205" t="s">
        <v>281</v>
      </c>
      <c r="C19" s="206" t="str">
        <f>Inputs!$F$8</f>
        <v>%</v>
      </c>
      <c r="D19" s="214">
        <f>Inputs!$G$8</f>
        <v>0.32</v>
      </c>
      <c r="E19" s="215"/>
      <c r="F19" s="214"/>
      <c r="G19" s="214"/>
      <c r="H19" s="214"/>
      <c r="I19" s="214"/>
      <c r="J19" s="214"/>
      <c r="K19" s="214"/>
      <c r="L19" s="214"/>
      <c r="M19" s="214"/>
      <c r="N19" s="214"/>
      <c r="O19" s="214"/>
    </row>
    <row r="20" spans="2:15" ht="15">
      <c r="B20" s="205" t="s">
        <v>289</v>
      </c>
      <c r="C20" s="206" t="s">
        <v>2</v>
      </c>
      <c r="D20" s="529">
        <f>Inputs!G9</f>
        <v>28032000</v>
      </c>
      <c r="E20" s="215"/>
      <c r="F20" s="529"/>
      <c r="G20" s="529"/>
      <c r="H20" s="529"/>
      <c r="I20" s="529"/>
      <c r="J20" s="529"/>
      <c r="K20" s="529"/>
      <c r="L20" s="529"/>
      <c r="M20" s="529"/>
      <c r="N20" s="529"/>
      <c r="O20" s="529"/>
    </row>
    <row r="21" spans="2:15" ht="15">
      <c r="B21" s="205" t="s">
        <v>226</v>
      </c>
      <c r="C21" s="206" t="s">
        <v>52</v>
      </c>
      <c r="D21" s="216">
        <f>Inputs!G11</f>
        <v>20</v>
      </c>
      <c r="E21" s="215"/>
      <c r="F21" s="216"/>
      <c r="G21" s="216"/>
      <c r="H21" s="216"/>
      <c r="I21" s="216"/>
      <c r="J21" s="216"/>
      <c r="K21" s="216"/>
      <c r="L21" s="216"/>
      <c r="M21" s="216"/>
      <c r="N21" s="216"/>
      <c r="O21" s="216"/>
    </row>
    <row r="22" spans="2:15" ht="15">
      <c r="B22" s="205" t="str">
        <f>[1]Inputs!$O$8</f>
        <v>Payment Duration for Cost-Based Tariff</v>
      </c>
      <c r="C22" s="206" t="s">
        <v>52</v>
      </c>
      <c r="D22" s="216">
        <f>Inputs!$Q$7</f>
        <v>20</v>
      </c>
      <c r="E22" s="212"/>
      <c r="F22" s="216"/>
      <c r="G22" s="216"/>
      <c r="H22" s="216"/>
      <c r="I22" s="216"/>
      <c r="J22" s="216"/>
      <c r="K22" s="216"/>
      <c r="L22" s="216"/>
      <c r="M22" s="216"/>
      <c r="N22" s="216"/>
      <c r="O22" s="216"/>
    </row>
    <row r="23" spans="2:15" ht="15">
      <c r="B23" s="205" t="s">
        <v>439</v>
      </c>
      <c r="C23" s="206" t="s">
        <v>1</v>
      </c>
      <c r="D23" s="705">
        <f>Inputs!Q8</f>
        <v>0</v>
      </c>
      <c r="E23" s="212"/>
      <c r="F23" s="705"/>
      <c r="G23" s="705"/>
      <c r="H23" s="705"/>
      <c r="I23" s="705"/>
      <c r="J23" s="705"/>
      <c r="K23" s="705"/>
      <c r="L23" s="705"/>
      <c r="M23" s="705"/>
      <c r="N23" s="705"/>
      <c r="O23" s="705"/>
    </row>
    <row r="24" spans="2:15" ht="15">
      <c r="B24" s="205"/>
      <c r="C24" s="206"/>
      <c r="D24" s="216"/>
      <c r="E24" s="212"/>
      <c r="F24" s="216"/>
      <c r="G24" s="216"/>
      <c r="H24" s="216"/>
      <c r="I24" s="216"/>
      <c r="J24" s="216"/>
      <c r="K24" s="216"/>
      <c r="L24" s="216"/>
      <c r="M24" s="216"/>
      <c r="N24" s="216"/>
      <c r="O24" s="216"/>
    </row>
    <row r="25" spans="2:15" ht="15">
      <c r="B25" s="205" t="s">
        <v>440</v>
      </c>
      <c r="C25" s="206" t="s">
        <v>0</v>
      </c>
      <c r="D25" s="217">
        <f>Inputs!$G22-Inputs!$G$65</f>
        <v>25000000</v>
      </c>
      <c r="E25" s="218"/>
      <c r="F25" s="217"/>
      <c r="G25" s="217"/>
      <c r="H25" s="217"/>
      <c r="I25" s="217"/>
      <c r="J25" s="217"/>
      <c r="K25" s="217"/>
      <c r="L25" s="217"/>
      <c r="M25" s="217"/>
      <c r="N25" s="217"/>
      <c r="O25" s="217"/>
    </row>
    <row r="26" spans="2:15" ht="15">
      <c r="B26" s="205" t="s">
        <v>440</v>
      </c>
      <c r="C26" s="219" t="s">
        <v>358</v>
      </c>
      <c r="D26" s="217">
        <f>D25/D18</f>
        <v>2500</v>
      </c>
      <c r="E26" s="220"/>
      <c r="F26" s="217"/>
      <c r="G26" s="217"/>
      <c r="H26" s="217"/>
      <c r="I26" s="217"/>
      <c r="J26" s="217"/>
      <c r="K26" s="217"/>
      <c r="L26" s="217"/>
      <c r="M26" s="217"/>
      <c r="N26" s="217"/>
      <c r="O26" s="217"/>
    </row>
    <row r="27" spans="2:15" ht="15">
      <c r="B27" s="205"/>
      <c r="C27" s="206"/>
      <c r="D27" s="217"/>
      <c r="E27" s="220"/>
      <c r="F27" s="217"/>
      <c r="G27" s="217"/>
      <c r="H27" s="217"/>
      <c r="I27" s="217"/>
      <c r="J27" s="217"/>
      <c r="K27" s="217"/>
      <c r="L27" s="217"/>
      <c r="M27" s="217"/>
      <c r="N27" s="217"/>
      <c r="O27" s="217"/>
    </row>
    <row r="28" spans="2:15" ht="15">
      <c r="B28" s="205" t="s">
        <v>441</v>
      </c>
      <c r="C28" s="704" t="s">
        <v>447</v>
      </c>
      <c r="D28" s="706">
        <f>'Cash Flow'!G37</f>
        <v>-3.6219908675799086</v>
      </c>
      <c r="E28" s="220"/>
      <c r="F28" s="706"/>
      <c r="G28" s="706"/>
      <c r="H28" s="706"/>
      <c r="I28" s="706"/>
      <c r="J28" s="706"/>
      <c r="K28" s="706"/>
      <c r="L28" s="706"/>
      <c r="M28" s="706"/>
      <c r="N28" s="706"/>
      <c r="O28" s="706"/>
    </row>
    <row r="29" spans="2:15" ht="15">
      <c r="B29" s="205"/>
      <c r="C29" s="206"/>
      <c r="D29" s="216"/>
      <c r="E29" s="212"/>
      <c r="F29" s="216"/>
      <c r="G29" s="216"/>
      <c r="H29" s="216"/>
      <c r="I29" s="216"/>
      <c r="J29" s="216"/>
      <c r="K29" s="216"/>
      <c r="L29" s="216"/>
      <c r="M29" s="216"/>
      <c r="N29" s="216"/>
      <c r="O29" s="216"/>
    </row>
    <row r="30" spans="2:15" ht="15">
      <c r="B30" s="205" t="str">
        <f>[1]Inputs!$E$61</f>
        <v>% Equity (% hard costs) (soft costs also equity funded)</v>
      </c>
      <c r="C30" s="219" t="s">
        <v>1</v>
      </c>
      <c r="D30" s="221">
        <f>Inputs!$G57</f>
        <v>0.5</v>
      </c>
      <c r="E30" s="222"/>
      <c r="F30" s="221"/>
      <c r="G30" s="221"/>
      <c r="H30" s="221"/>
      <c r="I30" s="221"/>
      <c r="J30" s="221"/>
      <c r="K30" s="221"/>
      <c r="L30" s="221"/>
      <c r="M30" s="221"/>
      <c r="N30" s="221"/>
      <c r="O30" s="221"/>
    </row>
    <row r="31" spans="2:15" ht="15">
      <c r="B31" s="205" t="str">
        <f>[1]Inputs!$E$62</f>
        <v>Target After-Tax Equity IRR</v>
      </c>
      <c r="C31" s="206" t="s">
        <v>1</v>
      </c>
      <c r="D31" s="325">
        <f>Inputs!$G58</f>
        <v>0.15</v>
      </c>
      <c r="E31" s="222"/>
      <c r="F31" s="325"/>
      <c r="G31" s="325"/>
      <c r="H31" s="325"/>
      <c r="I31" s="325"/>
      <c r="J31" s="325"/>
      <c r="K31" s="325"/>
      <c r="L31" s="325"/>
      <c r="M31" s="325"/>
      <c r="N31" s="325"/>
      <c r="O31" s="325"/>
    </row>
    <row r="32" spans="2:15" ht="15">
      <c r="B32" s="205" t="str">
        <f>[1]Inputs!$E$51</f>
        <v>% Debt (% of hard costs) (mortgage-style amort.)</v>
      </c>
      <c r="C32" s="219" t="s">
        <v>1</v>
      </c>
      <c r="D32" s="221">
        <f>Inputs!$G47</f>
        <v>0.5</v>
      </c>
      <c r="E32" s="222"/>
      <c r="F32" s="221"/>
      <c r="G32" s="221"/>
      <c r="H32" s="221"/>
      <c r="I32" s="221"/>
      <c r="J32" s="221"/>
      <c r="K32" s="221"/>
      <c r="L32" s="221"/>
      <c r="M32" s="221"/>
      <c r="N32" s="221"/>
      <c r="O32" s="221"/>
    </row>
    <row r="33" spans="2:15" ht="15">
      <c r="B33" s="205" t="s">
        <v>442</v>
      </c>
      <c r="C33" s="219" t="s">
        <v>52</v>
      </c>
      <c r="D33" s="216">
        <f>IF(D32&gt;0%,Inputs!G48,"NA")</f>
        <v>15</v>
      </c>
      <c r="E33" s="222"/>
      <c r="F33" s="216"/>
      <c r="G33" s="216"/>
      <c r="H33" s="216"/>
      <c r="I33" s="216"/>
      <c r="J33" s="216"/>
      <c r="K33" s="216"/>
      <c r="L33" s="216"/>
      <c r="M33" s="216"/>
      <c r="N33" s="216"/>
      <c r="O33" s="216"/>
    </row>
    <row r="34" spans="2:15" ht="15">
      <c r="B34" s="205" t="str">
        <f>[1]Inputs!$E$53</f>
        <v>Interest Rate on Term Debt</v>
      </c>
      <c r="C34" s="219" t="s">
        <v>1</v>
      </c>
      <c r="D34" s="325">
        <f>IF(D32&gt;0%,Inputs!$G49,"NA")</f>
        <v>7.0000000000000007E-2</v>
      </c>
      <c r="E34" s="222"/>
      <c r="F34" s="325"/>
      <c r="G34" s="325"/>
      <c r="H34" s="325"/>
      <c r="I34" s="325"/>
      <c r="J34" s="325"/>
      <c r="K34" s="325"/>
      <c r="L34" s="325"/>
      <c r="M34" s="325"/>
      <c r="N34" s="325"/>
      <c r="O34" s="325"/>
    </row>
    <row r="35" spans="2:15" ht="15">
      <c r="B35" s="205" t="str">
        <f>[1]Inputs!$E$73</f>
        <v>Is owner a taxable entity?</v>
      </c>
      <c r="C35" s="700"/>
      <c r="D35" s="221" t="str">
        <f>Inputs!$G$69</f>
        <v>Yes</v>
      </c>
      <c r="E35" s="223"/>
      <c r="F35" s="221"/>
      <c r="G35" s="221"/>
      <c r="H35" s="221"/>
      <c r="I35" s="221"/>
      <c r="J35" s="221"/>
      <c r="K35" s="221"/>
      <c r="L35" s="221"/>
      <c r="M35" s="221"/>
      <c r="N35" s="221"/>
      <c r="O35" s="221"/>
    </row>
    <row r="36" spans="2:15" ht="15">
      <c r="B36" s="205" t="s">
        <v>443</v>
      </c>
      <c r="C36" s="700"/>
      <c r="D36" s="221" t="str">
        <f>IF($D$35="Yes",Inputs!G71,"NA")</f>
        <v>As Generated</v>
      </c>
      <c r="E36" s="223"/>
      <c r="F36" s="221"/>
      <c r="G36" s="221"/>
      <c r="H36" s="221"/>
      <c r="I36" s="221"/>
      <c r="J36" s="221"/>
      <c r="K36" s="221"/>
      <c r="L36" s="221"/>
      <c r="M36" s="221"/>
      <c r="N36" s="221"/>
      <c r="O36" s="221"/>
    </row>
    <row r="37" spans="2:15" ht="15">
      <c r="B37" s="205" t="s">
        <v>444</v>
      </c>
      <c r="C37" s="700"/>
      <c r="D37" s="221" t="str">
        <f>IF($D$35="Yes",Inputs!G73,"NA")</f>
        <v>As Generated</v>
      </c>
      <c r="E37" s="223"/>
      <c r="F37" s="221"/>
      <c r="G37" s="221"/>
      <c r="H37" s="221"/>
      <c r="I37" s="221"/>
      <c r="J37" s="221"/>
      <c r="K37" s="221"/>
      <c r="L37" s="221"/>
      <c r="M37" s="221"/>
      <c r="N37" s="221"/>
      <c r="O37" s="221"/>
    </row>
    <row r="38" spans="2:15" ht="15">
      <c r="B38" s="702"/>
      <c r="C38" s="700"/>
      <c r="D38" s="221"/>
      <c r="E38" s="223"/>
      <c r="F38" s="221"/>
      <c r="G38" s="221"/>
      <c r="H38" s="221"/>
      <c r="I38" s="221"/>
      <c r="J38" s="221"/>
      <c r="K38" s="221"/>
      <c r="L38" s="221"/>
      <c r="M38" s="221"/>
      <c r="N38" s="221"/>
      <c r="O38" s="221"/>
    </row>
    <row r="39" spans="2:15" ht="15">
      <c r="B39" s="205" t="s">
        <v>315</v>
      </c>
      <c r="C39" s="206"/>
      <c r="D39" s="217" t="str">
        <f>Inputs!Q18</f>
        <v>Cost-Based</v>
      </c>
      <c r="E39" s="223"/>
      <c r="F39" s="217"/>
      <c r="G39" s="217"/>
      <c r="H39" s="217"/>
      <c r="I39" s="217"/>
      <c r="J39" s="217"/>
      <c r="K39" s="217"/>
      <c r="L39" s="217"/>
      <c r="M39" s="217"/>
      <c r="N39" s="217"/>
      <c r="O39" s="217"/>
    </row>
    <row r="40" spans="2:15" ht="15">
      <c r="B40" s="205" t="s">
        <v>438</v>
      </c>
      <c r="C40" s="206"/>
      <c r="D40" s="217" t="str">
        <f>IF($D$39="Cost-Based",Inputs!$Q$19,Inputs!$Q$22)</f>
        <v>Cash Grant</v>
      </c>
      <c r="E40" s="223"/>
      <c r="F40" s="217"/>
      <c r="G40" s="217"/>
      <c r="H40" s="217"/>
      <c r="I40" s="217"/>
      <c r="J40" s="217"/>
      <c r="K40" s="217"/>
      <c r="L40" s="217"/>
      <c r="M40" s="217"/>
      <c r="N40" s="217"/>
      <c r="O40" s="217"/>
    </row>
    <row r="41" spans="2:15" ht="15">
      <c r="B41" s="205"/>
      <c r="C41" s="206"/>
      <c r="D41" s="217"/>
      <c r="E41" s="223"/>
      <c r="F41" s="217"/>
      <c r="G41" s="217"/>
      <c r="H41" s="217"/>
      <c r="I41" s="217"/>
      <c r="J41" s="217"/>
      <c r="K41" s="217"/>
      <c r="L41" s="217"/>
      <c r="M41" s="217"/>
      <c r="N41" s="217"/>
      <c r="O41" s="217"/>
    </row>
    <row r="42" spans="2:15" ht="15">
      <c r="B42" s="205" t="s">
        <v>190</v>
      </c>
      <c r="C42" s="225"/>
      <c r="D42" s="216" t="str">
        <f>IF(AND(Inputs!$Q$26=0,Inputs!$Q$40=0),"No","Yes")</f>
        <v>No</v>
      </c>
      <c r="E42" s="223"/>
      <c r="F42" s="216"/>
      <c r="G42" s="216"/>
      <c r="H42" s="216"/>
      <c r="I42" s="216"/>
      <c r="J42" s="216"/>
      <c r="K42" s="216"/>
      <c r="L42" s="216"/>
      <c r="M42" s="216"/>
      <c r="N42" s="216"/>
      <c r="O42" s="216"/>
    </row>
    <row r="43" spans="2:15" ht="15">
      <c r="B43" s="336" t="s">
        <v>445</v>
      </c>
      <c r="C43" s="206" t="s">
        <v>0</v>
      </c>
      <c r="D43" s="217" t="str">
        <f>IF(D42="No","NA",Inputs!$G$65)</f>
        <v>NA</v>
      </c>
      <c r="E43" s="223"/>
      <c r="F43" s="217"/>
      <c r="G43" s="217"/>
      <c r="H43" s="217"/>
      <c r="I43" s="217"/>
      <c r="J43" s="217"/>
      <c r="K43" s="217"/>
      <c r="L43" s="217"/>
      <c r="M43" s="217"/>
      <c r="N43" s="217"/>
      <c r="O43" s="217"/>
    </row>
    <row r="44" spans="2:15" ht="15">
      <c r="B44" s="336"/>
      <c r="C44" s="206"/>
      <c r="D44" s="217"/>
      <c r="E44" s="223"/>
      <c r="F44" s="217"/>
      <c r="G44" s="217"/>
      <c r="H44" s="217"/>
      <c r="I44" s="217"/>
      <c r="J44" s="217"/>
      <c r="K44" s="217"/>
      <c r="L44" s="217"/>
      <c r="M44" s="217"/>
      <c r="N44" s="217"/>
      <c r="O44" s="217"/>
    </row>
    <row r="45" spans="2:15" ht="15">
      <c r="B45" s="703" t="s">
        <v>446</v>
      </c>
      <c r="C45" s="188"/>
      <c r="D45" s="224" t="str">
        <f>IF(Inputs!$G$69="No","NA",Inputs!P69)</f>
        <v>Yes</v>
      </c>
      <c r="E45" s="225"/>
      <c r="F45" s="224"/>
      <c r="G45" s="224"/>
      <c r="H45" s="224"/>
      <c r="I45" s="224"/>
      <c r="J45" s="224"/>
      <c r="K45" s="224"/>
      <c r="L45" s="224"/>
      <c r="M45" s="224"/>
      <c r="N45" s="224"/>
      <c r="O45" s="224"/>
    </row>
    <row r="46" spans="2:15" ht="150.75" customHeight="1">
      <c r="B46" s="450" t="s">
        <v>389</v>
      </c>
      <c r="C46" s="451"/>
      <c r="D46" s="338"/>
      <c r="F46" s="338"/>
      <c r="G46" s="338"/>
      <c r="H46" s="338"/>
      <c r="I46" s="338"/>
      <c r="J46" s="338"/>
      <c r="K46" s="338"/>
      <c r="L46" s="338"/>
      <c r="M46" s="338"/>
      <c r="N46" s="338"/>
      <c r="O46" s="338"/>
    </row>
    <row r="47" spans="2:15" ht="30" customHeight="1">
      <c r="B47" s="250"/>
      <c r="C47" s="250"/>
      <c r="D47" s="250"/>
      <c r="E47" s="250"/>
      <c r="F47" s="250"/>
      <c r="G47" s="250"/>
      <c r="H47" s="250"/>
      <c r="I47" s="250"/>
      <c r="J47" s="250"/>
    </row>
    <row r="48" spans="2:15" s="251" customFormat="1" ht="18">
      <c r="B48" s="250"/>
      <c r="C48" s="250"/>
      <c r="D48" s="252"/>
      <c r="E48" s="250"/>
      <c r="F48" s="250"/>
      <c r="G48" s="250"/>
      <c r="H48" s="250"/>
      <c r="I48" s="250"/>
      <c r="J48" s="250"/>
    </row>
    <row r="49" spans="2:11">
      <c r="B49" s="225"/>
      <c r="C49" s="225"/>
      <c r="D49" s="772"/>
      <c r="E49" s="772"/>
      <c r="F49" s="772"/>
      <c r="G49" s="772"/>
      <c r="H49" s="772"/>
      <c r="I49" s="772"/>
      <c r="J49" s="253"/>
      <c r="K49" s="225"/>
    </row>
    <row r="50" spans="2:11" ht="15">
      <c r="B50" s="225"/>
      <c r="C50" s="247"/>
      <c r="D50" s="248"/>
      <c r="E50" s="248"/>
      <c r="F50" s="248"/>
      <c r="G50" s="248"/>
      <c r="H50" s="248"/>
      <c r="I50" s="248"/>
      <c r="J50" s="248"/>
      <c r="K50" s="225"/>
    </row>
    <row r="51" spans="2:11" ht="15">
      <c r="B51" s="771"/>
      <c r="C51" s="249"/>
      <c r="D51" s="225"/>
      <c r="E51" s="225"/>
      <c r="F51" s="225"/>
      <c r="G51" s="225"/>
      <c r="H51" s="225"/>
      <c r="I51" s="225"/>
      <c r="J51" s="225"/>
      <c r="K51" s="225"/>
    </row>
    <row r="52" spans="2:11" ht="15">
      <c r="B52" s="771"/>
      <c r="C52" s="249"/>
      <c r="D52" s="225"/>
      <c r="E52" s="225"/>
      <c r="F52" s="225"/>
      <c r="G52" s="225"/>
      <c r="H52" s="225"/>
      <c r="I52" s="225"/>
      <c r="J52" s="225"/>
      <c r="K52" s="225"/>
    </row>
    <row r="53" spans="2:11" ht="15">
      <c r="B53" s="771"/>
      <c r="C53" s="249"/>
      <c r="D53" s="225"/>
      <c r="E53" s="225"/>
      <c r="F53" s="225"/>
      <c r="G53" s="225"/>
      <c r="H53" s="225"/>
      <c r="I53" s="225"/>
      <c r="J53" s="225"/>
      <c r="K53" s="225"/>
    </row>
    <row r="54" spans="2:11" ht="15">
      <c r="B54" s="771"/>
      <c r="C54" s="249"/>
      <c r="D54" s="225"/>
      <c r="E54" s="225"/>
      <c r="F54" s="225"/>
      <c r="G54" s="225"/>
      <c r="H54" s="225"/>
      <c r="I54" s="225"/>
      <c r="J54" s="225"/>
      <c r="K54" s="225"/>
    </row>
    <row r="55" spans="2:11" ht="15">
      <c r="B55" s="771"/>
      <c r="C55" s="249"/>
      <c r="D55" s="225"/>
      <c r="E55" s="225"/>
      <c r="F55" s="225"/>
      <c r="G55" s="225"/>
      <c r="H55" s="225"/>
      <c r="I55" s="225"/>
      <c r="J55" s="225"/>
      <c r="K55" s="225"/>
    </row>
    <row r="56" spans="2:11">
      <c r="B56" s="225"/>
      <c r="C56" s="225"/>
      <c r="D56" s="225"/>
      <c r="E56" s="225"/>
      <c r="F56" s="225"/>
      <c r="G56" s="225"/>
      <c r="H56" s="225"/>
      <c r="I56" s="225"/>
      <c r="J56" s="225"/>
      <c r="K56" s="225"/>
    </row>
    <row r="57" spans="2:11">
      <c r="B57" s="225"/>
      <c r="C57" s="225"/>
      <c r="D57" s="225"/>
      <c r="E57" s="225"/>
      <c r="F57" s="225"/>
      <c r="G57" s="225"/>
      <c r="H57" s="225"/>
      <c r="I57" s="225"/>
      <c r="J57" s="225"/>
      <c r="K57" s="225"/>
    </row>
    <row r="58" spans="2:11">
      <c r="B58" s="225"/>
      <c r="C58" s="225"/>
      <c r="D58" s="225"/>
      <c r="E58" s="225"/>
      <c r="F58" s="225"/>
      <c r="G58" s="225"/>
      <c r="H58" s="225"/>
      <c r="I58" s="225"/>
      <c r="J58" s="225"/>
      <c r="K58" s="225"/>
    </row>
    <row r="59" spans="2:11" ht="15.75" customHeight="1">
      <c r="B59" s="225"/>
      <c r="C59" s="225"/>
      <c r="D59" s="225"/>
      <c r="E59" s="225"/>
      <c r="F59" s="225"/>
      <c r="G59" s="225"/>
      <c r="H59" s="225"/>
      <c r="I59" s="225"/>
      <c r="J59" s="225"/>
      <c r="K59" s="225"/>
    </row>
    <row r="60" spans="2:11">
      <c r="B60" s="225"/>
      <c r="C60" s="225"/>
      <c r="D60" s="225"/>
      <c r="E60" s="225"/>
      <c r="F60" s="225"/>
      <c r="G60" s="225"/>
      <c r="H60" s="225"/>
      <c r="I60" s="225"/>
      <c r="J60" s="225"/>
      <c r="K60" s="225"/>
    </row>
    <row r="61" spans="2:11">
      <c r="B61" s="225"/>
      <c r="C61" s="225"/>
      <c r="D61" s="225"/>
      <c r="E61" s="225"/>
      <c r="F61" s="225"/>
      <c r="G61" s="225"/>
      <c r="H61" s="225"/>
      <c r="I61" s="225"/>
      <c r="J61" s="225"/>
      <c r="K61" s="225"/>
    </row>
    <row r="62" spans="2:11">
      <c r="B62" s="225"/>
      <c r="C62" s="225"/>
      <c r="D62" s="225"/>
      <c r="E62" s="225"/>
      <c r="F62" s="225"/>
      <c r="G62" s="225"/>
      <c r="H62" s="225"/>
      <c r="I62" s="225"/>
      <c r="J62" s="225"/>
      <c r="K62" s="225"/>
    </row>
    <row r="63" spans="2:11">
      <c r="B63" s="225"/>
      <c r="C63" s="225"/>
      <c r="D63" s="225"/>
      <c r="E63" s="225"/>
      <c r="F63" s="225"/>
      <c r="G63" s="225"/>
      <c r="H63" s="225"/>
      <c r="I63" s="225"/>
      <c r="J63" s="225"/>
      <c r="K63" s="225"/>
    </row>
    <row r="64" spans="2:11">
      <c r="B64" s="225"/>
      <c r="C64" s="225"/>
      <c r="D64" s="225"/>
      <c r="E64" s="225"/>
      <c r="F64" s="225"/>
      <c r="G64" s="225"/>
      <c r="H64" s="225"/>
      <c r="I64" s="225"/>
      <c r="J64" s="225"/>
      <c r="K64" s="225"/>
    </row>
    <row r="65" spans="2:11">
      <c r="B65" s="225"/>
      <c r="C65" s="225"/>
      <c r="D65" s="225"/>
      <c r="E65" s="225"/>
      <c r="F65" s="225"/>
      <c r="G65" s="225"/>
      <c r="H65" s="225"/>
      <c r="I65" s="225"/>
      <c r="J65" s="225"/>
      <c r="K65" s="225"/>
    </row>
  </sheetData>
  <sheetProtection password="CA95" sheet="1" objects="1" scenarios="1"/>
  <protectedRanges>
    <protectedRange sqref="F6:I6 K6:O6" name="Scenario Names"/>
    <protectedRange sqref="D46 F7:I46 K7:O46" name="InputsOutputs"/>
  </protectedRanges>
  <mergeCells count="5">
    <mergeCell ref="B3:J3"/>
    <mergeCell ref="B51:B55"/>
    <mergeCell ref="D49:I49"/>
    <mergeCell ref="F5:J5"/>
    <mergeCell ref="B5:D5"/>
  </mergeCells>
  <conditionalFormatting sqref="D10">
    <cfRule type="expression" dxfId="11" priority="11">
      <formula>$D10="Yes"</formula>
    </cfRule>
  </conditionalFormatting>
  <conditionalFormatting sqref="D11">
    <cfRule type="expression" dxfId="10" priority="9">
      <formula>$D11="Yes"</formula>
    </cfRule>
  </conditionalFormatting>
  <conditionalFormatting sqref="B10:C10">
    <cfRule type="expression" dxfId="9" priority="8">
      <formula>$D$10="Yes"</formula>
    </cfRule>
  </conditionalFormatting>
  <conditionalFormatting sqref="B11:C11">
    <cfRule type="expression" dxfId="8" priority="7">
      <formula>$D$11="Yes"</formula>
    </cfRule>
  </conditionalFormatting>
  <conditionalFormatting sqref="F10:O10">
    <cfRule type="expression" dxfId="3" priority="2">
      <formula>$D10="Yes"</formula>
    </cfRule>
  </conditionalFormatting>
  <conditionalFormatting sqref="F11:O11">
    <cfRule type="expression" dxfId="2" priority="1">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sheetPr codeName="Sheet4"/>
  <dimension ref="B1:S38"/>
  <sheetViews>
    <sheetView showGridLines="0" zoomScale="80" zoomScaleNormal="80" workbookViewId="0">
      <pane xSplit="1" ySplit="5" topLeftCell="B6" activePane="bottomRight" state="frozen"/>
      <selection pane="topRight" activeCell="B1" sqref="B1"/>
      <selection pane="bottomLeft" activeCell="A6" sqref="A6"/>
      <selection pane="bottomRight" activeCell="G8" sqref="G8"/>
    </sheetView>
  </sheetViews>
  <sheetFormatPr defaultRowHeight="14.25"/>
  <cols>
    <col min="1" max="1" width="2.5703125" style="165" customWidth="1"/>
    <col min="2" max="2" width="9.7109375" style="165" customWidth="1"/>
    <col min="3" max="3" width="15" style="165" customWidth="1"/>
    <col min="4" max="4" width="12.85546875" style="165" customWidth="1"/>
    <col min="5" max="5" width="13.7109375" style="165" customWidth="1"/>
    <col min="6" max="6" width="14.7109375" style="165" customWidth="1"/>
    <col min="7" max="7" width="13" style="166" customWidth="1"/>
    <col min="8" max="8" width="12.42578125" style="165" customWidth="1"/>
    <col min="9" max="10" width="15.140625" style="165" bestFit="1" customWidth="1"/>
    <col min="11" max="11" width="15.85546875" style="165" customWidth="1"/>
    <col min="12" max="12" width="14.42578125" style="165" customWidth="1"/>
    <col min="13" max="13" width="15.7109375" style="165" customWidth="1"/>
    <col min="14" max="14" width="16.42578125" style="165" customWidth="1"/>
    <col min="15" max="15" width="11.42578125" style="165" customWidth="1"/>
    <col min="16" max="16" width="11.140625" style="165" customWidth="1"/>
    <col min="17" max="17" width="9.140625" style="165"/>
    <col min="18" max="18" width="24.85546875" style="165" bestFit="1" customWidth="1"/>
    <col min="19" max="19" width="29.28515625" style="165" bestFit="1" customWidth="1"/>
    <col min="20" max="235" width="9.140625" style="165"/>
    <col min="236" max="236" width="21.42578125" style="165" customWidth="1"/>
    <col min="237" max="237" width="16.42578125" style="165" customWidth="1"/>
    <col min="238" max="238" width="18" style="165" customWidth="1"/>
    <col min="239" max="239" width="23.7109375" style="165" customWidth="1"/>
    <col min="240" max="240" width="26" style="165" customWidth="1"/>
    <col min="241" max="241" width="21.42578125" style="165" customWidth="1"/>
    <col min="242" max="242" width="20.85546875" style="165" customWidth="1"/>
    <col min="243" max="243" width="0" style="165" hidden="1" customWidth="1"/>
    <col min="244" max="491" width="9.140625" style="165"/>
    <col min="492" max="492" width="21.42578125" style="165" customWidth="1"/>
    <col min="493" max="493" width="16.42578125" style="165" customWidth="1"/>
    <col min="494" max="494" width="18" style="165" customWidth="1"/>
    <col min="495" max="495" width="23.7109375" style="165" customWidth="1"/>
    <col min="496" max="496" width="26" style="165" customWidth="1"/>
    <col min="497" max="497" width="21.42578125" style="165" customWidth="1"/>
    <col min="498" max="498" width="20.85546875" style="165" customWidth="1"/>
    <col min="499" max="499" width="0" style="165" hidden="1" customWidth="1"/>
    <col min="500" max="747" width="9.140625" style="165"/>
    <col min="748" max="748" width="21.42578125" style="165" customWidth="1"/>
    <col min="749" max="749" width="16.42578125" style="165" customWidth="1"/>
    <col min="750" max="750" width="18" style="165" customWidth="1"/>
    <col min="751" max="751" width="23.7109375" style="165" customWidth="1"/>
    <col min="752" max="752" width="26" style="165" customWidth="1"/>
    <col min="753" max="753" width="21.42578125" style="165" customWidth="1"/>
    <col min="754" max="754" width="20.85546875" style="165" customWidth="1"/>
    <col min="755" max="755" width="0" style="165" hidden="1" customWidth="1"/>
    <col min="756" max="1003" width="9.140625" style="165"/>
    <col min="1004" max="1004" width="21.42578125" style="165" customWidth="1"/>
    <col min="1005" max="1005" width="16.42578125" style="165" customWidth="1"/>
    <col min="1006" max="1006" width="18" style="165" customWidth="1"/>
    <col min="1007" max="1007" width="23.7109375" style="165" customWidth="1"/>
    <col min="1008" max="1008" width="26" style="165" customWidth="1"/>
    <col min="1009" max="1009" width="21.42578125" style="165" customWidth="1"/>
    <col min="1010" max="1010" width="20.85546875" style="165" customWidth="1"/>
    <col min="1011" max="1011" width="0" style="165" hidden="1" customWidth="1"/>
    <col min="1012" max="1259" width="9.140625" style="165"/>
    <col min="1260" max="1260" width="21.42578125" style="165" customWidth="1"/>
    <col min="1261" max="1261" width="16.42578125" style="165" customWidth="1"/>
    <col min="1262" max="1262" width="18" style="165" customWidth="1"/>
    <col min="1263" max="1263" width="23.7109375" style="165" customWidth="1"/>
    <col min="1264" max="1264" width="26" style="165" customWidth="1"/>
    <col min="1265" max="1265" width="21.42578125" style="165" customWidth="1"/>
    <col min="1266" max="1266" width="20.85546875" style="165" customWidth="1"/>
    <col min="1267" max="1267" width="0" style="165" hidden="1" customWidth="1"/>
    <col min="1268" max="1515" width="9.140625" style="165"/>
    <col min="1516" max="1516" width="21.42578125" style="165" customWidth="1"/>
    <col min="1517" max="1517" width="16.42578125" style="165" customWidth="1"/>
    <col min="1518" max="1518" width="18" style="165" customWidth="1"/>
    <col min="1519" max="1519" width="23.7109375" style="165" customWidth="1"/>
    <col min="1520" max="1520" width="26" style="165" customWidth="1"/>
    <col min="1521" max="1521" width="21.42578125" style="165" customWidth="1"/>
    <col min="1522" max="1522" width="20.85546875" style="165" customWidth="1"/>
    <col min="1523" max="1523" width="0" style="165" hidden="1" customWidth="1"/>
    <col min="1524" max="1771" width="9.140625" style="165"/>
    <col min="1772" max="1772" width="21.42578125" style="165" customWidth="1"/>
    <col min="1773" max="1773" width="16.42578125" style="165" customWidth="1"/>
    <col min="1774" max="1774" width="18" style="165" customWidth="1"/>
    <col min="1775" max="1775" width="23.7109375" style="165" customWidth="1"/>
    <col min="1776" max="1776" width="26" style="165" customWidth="1"/>
    <col min="1777" max="1777" width="21.42578125" style="165" customWidth="1"/>
    <col min="1778" max="1778" width="20.85546875" style="165" customWidth="1"/>
    <col min="1779" max="1779" width="0" style="165" hidden="1" customWidth="1"/>
    <col min="1780" max="2027" width="9.140625" style="165"/>
    <col min="2028" max="2028" width="21.42578125" style="165" customWidth="1"/>
    <col min="2029" max="2029" width="16.42578125" style="165" customWidth="1"/>
    <col min="2030" max="2030" width="18" style="165" customWidth="1"/>
    <col min="2031" max="2031" width="23.7109375" style="165" customWidth="1"/>
    <col min="2032" max="2032" width="26" style="165" customWidth="1"/>
    <col min="2033" max="2033" width="21.42578125" style="165" customWidth="1"/>
    <col min="2034" max="2034" width="20.85546875" style="165" customWidth="1"/>
    <col min="2035" max="2035" width="0" style="165" hidden="1" customWidth="1"/>
    <col min="2036" max="2283" width="9.140625" style="165"/>
    <col min="2284" max="2284" width="21.42578125" style="165" customWidth="1"/>
    <col min="2285" max="2285" width="16.42578125" style="165" customWidth="1"/>
    <col min="2286" max="2286" width="18" style="165" customWidth="1"/>
    <col min="2287" max="2287" width="23.7109375" style="165" customWidth="1"/>
    <col min="2288" max="2288" width="26" style="165" customWidth="1"/>
    <col min="2289" max="2289" width="21.42578125" style="165" customWidth="1"/>
    <col min="2290" max="2290" width="20.85546875" style="165" customWidth="1"/>
    <col min="2291" max="2291" width="0" style="165" hidden="1" customWidth="1"/>
    <col min="2292" max="2539" width="9.140625" style="165"/>
    <col min="2540" max="2540" width="21.42578125" style="165" customWidth="1"/>
    <col min="2541" max="2541" width="16.42578125" style="165" customWidth="1"/>
    <col min="2542" max="2542" width="18" style="165" customWidth="1"/>
    <col min="2543" max="2543" width="23.7109375" style="165" customWidth="1"/>
    <col min="2544" max="2544" width="26" style="165" customWidth="1"/>
    <col min="2545" max="2545" width="21.42578125" style="165" customWidth="1"/>
    <col min="2546" max="2546" width="20.85546875" style="165" customWidth="1"/>
    <col min="2547" max="2547" width="0" style="165" hidden="1" customWidth="1"/>
    <col min="2548" max="2795" width="9.140625" style="165"/>
    <col min="2796" max="2796" width="21.42578125" style="165" customWidth="1"/>
    <col min="2797" max="2797" width="16.42578125" style="165" customWidth="1"/>
    <col min="2798" max="2798" width="18" style="165" customWidth="1"/>
    <col min="2799" max="2799" width="23.7109375" style="165" customWidth="1"/>
    <col min="2800" max="2800" width="26" style="165" customWidth="1"/>
    <col min="2801" max="2801" width="21.42578125" style="165" customWidth="1"/>
    <col min="2802" max="2802" width="20.85546875" style="165" customWidth="1"/>
    <col min="2803" max="2803" width="0" style="165" hidden="1" customWidth="1"/>
    <col min="2804" max="3051" width="9.140625" style="165"/>
    <col min="3052" max="3052" width="21.42578125" style="165" customWidth="1"/>
    <col min="3053" max="3053" width="16.42578125" style="165" customWidth="1"/>
    <col min="3054" max="3054" width="18" style="165" customWidth="1"/>
    <col min="3055" max="3055" width="23.7109375" style="165" customWidth="1"/>
    <col min="3056" max="3056" width="26" style="165" customWidth="1"/>
    <col min="3057" max="3057" width="21.42578125" style="165" customWidth="1"/>
    <col min="3058" max="3058" width="20.85546875" style="165" customWidth="1"/>
    <col min="3059" max="3059" width="0" style="165" hidden="1" customWidth="1"/>
    <col min="3060" max="3307" width="9.140625" style="165"/>
    <col min="3308" max="3308" width="21.42578125" style="165" customWidth="1"/>
    <col min="3309" max="3309" width="16.42578125" style="165" customWidth="1"/>
    <col min="3310" max="3310" width="18" style="165" customWidth="1"/>
    <col min="3311" max="3311" width="23.7109375" style="165" customWidth="1"/>
    <col min="3312" max="3312" width="26" style="165" customWidth="1"/>
    <col min="3313" max="3313" width="21.42578125" style="165" customWidth="1"/>
    <col min="3314" max="3314" width="20.85546875" style="165" customWidth="1"/>
    <col min="3315" max="3315" width="0" style="165" hidden="1" customWidth="1"/>
    <col min="3316" max="3563" width="9.140625" style="165"/>
    <col min="3564" max="3564" width="21.42578125" style="165" customWidth="1"/>
    <col min="3565" max="3565" width="16.42578125" style="165" customWidth="1"/>
    <col min="3566" max="3566" width="18" style="165" customWidth="1"/>
    <col min="3567" max="3567" width="23.7109375" style="165" customWidth="1"/>
    <col min="3568" max="3568" width="26" style="165" customWidth="1"/>
    <col min="3569" max="3569" width="21.42578125" style="165" customWidth="1"/>
    <col min="3570" max="3570" width="20.85546875" style="165" customWidth="1"/>
    <col min="3571" max="3571" width="0" style="165" hidden="1" customWidth="1"/>
    <col min="3572" max="3819" width="9.140625" style="165"/>
    <col min="3820" max="3820" width="21.42578125" style="165" customWidth="1"/>
    <col min="3821" max="3821" width="16.42578125" style="165" customWidth="1"/>
    <col min="3822" max="3822" width="18" style="165" customWidth="1"/>
    <col min="3823" max="3823" width="23.7109375" style="165" customWidth="1"/>
    <col min="3824" max="3824" width="26" style="165" customWidth="1"/>
    <col min="3825" max="3825" width="21.42578125" style="165" customWidth="1"/>
    <col min="3826" max="3826" width="20.85546875" style="165" customWidth="1"/>
    <col min="3827" max="3827" width="0" style="165" hidden="1" customWidth="1"/>
    <col min="3828" max="4075" width="9.140625" style="165"/>
    <col min="4076" max="4076" width="21.42578125" style="165" customWidth="1"/>
    <col min="4077" max="4077" width="16.42578125" style="165" customWidth="1"/>
    <col min="4078" max="4078" width="18" style="165" customWidth="1"/>
    <col min="4079" max="4079" width="23.7109375" style="165" customWidth="1"/>
    <col min="4080" max="4080" width="26" style="165" customWidth="1"/>
    <col min="4081" max="4081" width="21.42578125" style="165" customWidth="1"/>
    <col min="4082" max="4082" width="20.85546875" style="165" customWidth="1"/>
    <col min="4083" max="4083" width="0" style="165" hidden="1" customWidth="1"/>
    <col min="4084" max="4331" width="9.140625" style="165"/>
    <col min="4332" max="4332" width="21.42578125" style="165" customWidth="1"/>
    <col min="4333" max="4333" width="16.42578125" style="165" customWidth="1"/>
    <col min="4334" max="4334" width="18" style="165" customWidth="1"/>
    <col min="4335" max="4335" width="23.7109375" style="165" customWidth="1"/>
    <col min="4336" max="4336" width="26" style="165" customWidth="1"/>
    <col min="4337" max="4337" width="21.42578125" style="165" customWidth="1"/>
    <col min="4338" max="4338" width="20.85546875" style="165" customWidth="1"/>
    <col min="4339" max="4339" width="0" style="165" hidden="1" customWidth="1"/>
    <col min="4340" max="4587" width="9.140625" style="165"/>
    <col min="4588" max="4588" width="21.42578125" style="165" customWidth="1"/>
    <col min="4589" max="4589" width="16.42578125" style="165" customWidth="1"/>
    <col min="4590" max="4590" width="18" style="165" customWidth="1"/>
    <col min="4591" max="4591" width="23.7109375" style="165" customWidth="1"/>
    <col min="4592" max="4592" width="26" style="165" customWidth="1"/>
    <col min="4593" max="4593" width="21.42578125" style="165" customWidth="1"/>
    <col min="4594" max="4594" width="20.85546875" style="165" customWidth="1"/>
    <col min="4595" max="4595" width="0" style="165" hidden="1" customWidth="1"/>
    <col min="4596" max="4843" width="9.140625" style="165"/>
    <col min="4844" max="4844" width="21.42578125" style="165" customWidth="1"/>
    <col min="4845" max="4845" width="16.42578125" style="165" customWidth="1"/>
    <col min="4846" max="4846" width="18" style="165" customWidth="1"/>
    <col min="4847" max="4847" width="23.7109375" style="165" customWidth="1"/>
    <col min="4848" max="4848" width="26" style="165" customWidth="1"/>
    <col min="4849" max="4849" width="21.42578125" style="165" customWidth="1"/>
    <col min="4850" max="4850" width="20.85546875" style="165" customWidth="1"/>
    <col min="4851" max="4851" width="0" style="165" hidden="1" customWidth="1"/>
    <col min="4852" max="5099" width="9.140625" style="165"/>
    <col min="5100" max="5100" width="21.42578125" style="165" customWidth="1"/>
    <col min="5101" max="5101" width="16.42578125" style="165" customWidth="1"/>
    <col min="5102" max="5102" width="18" style="165" customWidth="1"/>
    <col min="5103" max="5103" width="23.7109375" style="165" customWidth="1"/>
    <col min="5104" max="5104" width="26" style="165" customWidth="1"/>
    <col min="5105" max="5105" width="21.42578125" style="165" customWidth="1"/>
    <col min="5106" max="5106" width="20.85546875" style="165" customWidth="1"/>
    <col min="5107" max="5107" width="0" style="165" hidden="1" customWidth="1"/>
    <col min="5108" max="5355" width="9.140625" style="165"/>
    <col min="5356" max="5356" width="21.42578125" style="165" customWidth="1"/>
    <col min="5357" max="5357" width="16.42578125" style="165" customWidth="1"/>
    <col min="5358" max="5358" width="18" style="165" customWidth="1"/>
    <col min="5359" max="5359" width="23.7109375" style="165" customWidth="1"/>
    <col min="5360" max="5360" width="26" style="165" customWidth="1"/>
    <col min="5361" max="5361" width="21.42578125" style="165" customWidth="1"/>
    <col min="5362" max="5362" width="20.85546875" style="165" customWidth="1"/>
    <col min="5363" max="5363" width="0" style="165" hidden="1" customWidth="1"/>
    <col min="5364" max="5611" width="9.140625" style="165"/>
    <col min="5612" max="5612" width="21.42578125" style="165" customWidth="1"/>
    <col min="5613" max="5613" width="16.42578125" style="165" customWidth="1"/>
    <col min="5614" max="5614" width="18" style="165" customWidth="1"/>
    <col min="5615" max="5615" width="23.7109375" style="165" customWidth="1"/>
    <col min="5616" max="5616" width="26" style="165" customWidth="1"/>
    <col min="5617" max="5617" width="21.42578125" style="165" customWidth="1"/>
    <col min="5618" max="5618" width="20.85546875" style="165" customWidth="1"/>
    <col min="5619" max="5619" width="0" style="165" hidden="1" customWidth="1"/>
    <col min="5620" max="5867" width="9.140625" style="165"/>
    <col min="5868" max="5868" width="21.42578125" style="165" customWidth="1"/>
    <col min="5869" max="5869" width="16.42578125" style="165" customWidth="1"/>
    <col min="5870" max="5870" width="18" style="165" customWidth="1"/>
    <col min="5871" max="5871" width="23.7109375" style="165" customWidth="1"/>
    <col min="5872" max="5872" width="26" style="165" customWidth="1"/>
    <col min="5873" max="5873" width="21.42578125" style="165" customWidth="1"/>
    <col min="5874" max="5874" width="20.85546875" style="165" customWidth="1"/>
    <col min="5875" max="5875" width="0" style="165" hidden="1" customWidth="1"/>
    <col min="5876" max="6123" width="9.140625" style="165"/>
    <col min="6124" max="6124" width="21.42578125" style="165" customWidth="1"/>
    <col min="6125" max="6125" width="16.42578125" style="165" customWidth="1"/>
    <col min="6126" max="6126" width="18" style="165" customWidth="1"/>
    <col min="6127" max="6127" width="23.7109375" style="165" customWidth="1"/>
    <col min="6128" max="6128" width="26" style="165" customWidth="1"/>
    <col min="6129" max="6129" width="21.42578125" style="165" customWidth="1"/>
    <col min="6130" max="6130" width="20.85546875" style="165" customWidth="1"/>
    <col min="6131" max="6131" width="0" style="165" hidden="1" customWidth="1"/>
    <col min="6132" max="6379" width="9.140625" style="165"/>
    <col min="6380" max="6380" width="21.42578125" style="165" customWidth="1"/>
    <col min="6381" max="6381" width="16.42578125" style="165" customWidth="1"/>
    <col min="6382" max="6382" width="18" style="165" customWidth="1"/>
    <col min="6383" max="6383" width="23.7109375" style="165" customWidth="1"/>
    <col min="6384" max="6384" width="26" style="165" customWidth="1"/>
    <col min="6385" max="6385" width="21.42578125" style="165" customWidth="1"/>
    <col min="6386" max="6386" width="20.85546875" style="165" customWidth="1"/>
    <col min="6387" max="6387" width="0" style="165" hidden="1" customWidth="1"/>
    <col min="6388" max="6635" width="9.140625" style="165"/>
    <col min="6636" max="6636" width="21.42578125" style="165" customWidth="1"/>
    <col min="6637" max="6637" width="16.42578125" style="165" customWidth="1"/>
    <col min="6638" max="6638" width="18" style="165" customWidth="1"/>
    <col min="6639" max="6639" width="23.7109375" style="165" customWidth="1"/>
    <col min="6640" max="6640" width="26" style="165" customWidth="1"/>
    <col min="6641" max="6641" width="21.42578125" style="165" customWidth="1"/>
    <col min="6642" max="6642" width="20.85546875" style="165" customWidth="1"/>
    <col min="6643" max="6643" width="0" style="165" hidden="1" customWidth="1"/>
    <col min="6644" max="6891" width="9.140625" style="165"/>
    <col min="6892" max="6892" width="21.42578125" style="165" customWidth="1"/>
    <col min="6893" max="6893" width="16.42578125" style="165" customWidth="1"/>
    <col min="6894" max="6894" width="18" style="165" customWidth="1"/>
    <col min="6895" max="6895" width="23.7109375" style="165" customWidth="1"/>
    <col min="6896" max="6896" width="26" style="165" customWidth="1"/>
    <col min="6897" max="6897" width="21.42578125" style="165" customWidth="1"/>
    <col min="6898" max="6898" width="20.85546875" style="165" customWidth="1"/>
    <col min="6899" max="6899" width="0" style="165" hidden="1" customWidth="1"/>
    <col min="6900" max="7147" width="9.140625" style="165"/>
    <col min="7148" max="7148" width="21.42578125" style="165" customWidth="1"/>
    <col min="7149" max="7149" width="16.42578125" style="165" customWidth="1"/>
    <col min="7150" max="7150" width="18" style="165" customWidth="1"/>
    <col min="7151" max="7151" width="23.7109375" style="165" customWidth="1"/>
    <col min="7152" max="7152" width="26" style="165" customWidth="1"/>
    <col min="7153" max="7153" width="21.42578125" style="165" customWidth="1"/>
    <col min="7154" max="7154" width="20.85546875" style="165" customWidth="1"/>
    <col min="7155" max="7155" width="0" style="165" hidden="1" customWidth="1"/>
    <col min="7156" max="7403" width="9.140625" style="165"/>
    <col min="7404" max="7404" width="21.42578125" style="165" customWidth="1"/>
    <col min="7405" max="7405" width="16.42578125" style="165" customWidth="1"/>
    <col min="7406" max="7406" width="18" style="165" customWidth="1"/>
    <col min="7407" max="7407" width="23.7109375" style="165" customWidth="1"/>
    <col min="7408" max="7408" width="26" style="165" customWidth="1"/>
    <col min="7409" max="7409" width="21.42578125" style="165" customWidth="1"/>
    <col min="7410" max="7410" width="20.85546875" style="165" customWidth="1"/>
    <col min="7411" max="7411" width="0" style="165" hidden="1" customWidth="1"/>
    <col min="7412" max="7659" width="9.140625" style="165"/>
    <col min="7660" max="7660" width="21.42578125" style="165" customWidth="1"/>
    <col min="7661" max="7661" width="16.42578125" style="165" customWidth="1"/>
    <col min="7662" max="7662" width="18" style="165" customWidth="1"/>
    <col min="7663" max="7663" width="23.7109375" style="165" customWidth="1"/>
    <col min="7664" max="7664" width="26" style="165" customWidth="1"/>
    <col min="7665" max="7665" width="21.42578125" style="165" customWidth="1"/>
    <col min="7666" max="7666" width="20.85546875" style="165" customWidth="1"/>
    <col min="7667" max="7667" width="0" style="165" hidden="1" customWidth="1"/>
    <col min="7668" max="7915" width="9.140625" style="165"/>
    <col min="7916" max="7916" width="21.42578125" style="165" customWidth="1"/>
    <col min="7917" max="7917" width="16.42578125" style="165" customWidth="1"/>
    <col min="7918" max="7918" width="18" style="165" customWidth="1"/>
    <col min="7919" max="7919" width="23.7109375" style="165" customWidth="1"/>
    <col min="7920" max="7920" width="26" style="165" customWidth="1"/>
    <col min="7921" max="7921" width="21.42578125" style="165" customWidth="1"/>
    <col min="7922" max="7922" width="20.85546875" style="165" customWidth="1"/>
    <col min="7923" max="7923" width="0" style="165" hidden="1" customWidth="1"/>
    <col min="7924" max="8171" width="9.140625" style="165"/>
    <col min="8172" max="8172" width="21.42578125" style="165" customWidth="1"/>
    <col min="8173" max="8173" width="16.42578125" style="165" customWidth="1"/>
    <col min="8174" max="8174" width="18" style="165" customWidth="1"/>
    <col min="8175" max="8175" width="23.7109375" style="165" customWidth="1"/>
    <col min="8176" max="8176" width="26" style="165" customWidth="1"/>
    <col min="8177" max="8177" width="21.42578125" style="165" customWidth="1"/>
    <col min="8178" max="8178" width="20.85546875" style="165" customWidth="1"/>
    <col min="8179" max="8179" width="0" style="165" hidden="1" customWidth="1"/>
    <col min="8180" max="8427" width="9.140625" style="165"/>
    <col min="8428" max="8428" width="21.42578125" style="165" customWidth="1"/>
    <col min="8429" max="8429" width="16.42578125" style="165" customWidth="1"/>
    <col min="8430" max="8430" width="18" style="165" customWidth="1"/>
    <col min="8431" max="8431" width="23.7109375" style="165" customWidth="1"/>
    <col min="8432" max="8432" width="26" style="165" customWidth="1"/>
    <col min="8433" max="8433" width="21.42578125" style="165" customWidth="1"/>
    <col min="8434" max="8434" width="20.85546875" style="165" customWidth="1"/>
    <col min="8435" max="8435" width="0" style="165" hidden="1" customWidth="1"/>
    <col min="8436" max="8683" width="9.140625" style="165"/>
    <col min="8684" max="8684" width="21.42578125" style="165" customWidth="1"/>
    <col min="8685" max="8685" width="16.42578125" style="165" customWidth="1"/>
    <col min="8686" max="8686" width="18" style="165" customWidth="1"/>
    <col min="8687" max="8687" width="23.7109375" style="165" customWidth="1"/>
    <col min="8688" max="8688" width="26" style="165" customWidth="1"/>
    <col min="8689" max="8689" width="21.42578125" style="165" customWidth="1"/>
    <col min="8690" max="8690" width="20.85546875" style="165" customWidth="1"/>
    <col min="8691" max="8691" width="0" style="165" hidden="1" customWidth="1"/>
    <col min="8692" max="8939" width="9.140625" style="165"/>
    <col min="8940" max="8940" width="21.42578125" style="165" customWidth="1"/>
    <col min="8941" max="8941" width="16.42578125" style="165" customWidth="1"/>
    <col min="8942" max="8942" width="18" style="165" customWidth="1"/>
    <col min="8943" max="8943" width="23.7109375" style="165" customWidth="1"/>
    <col min="8944" max="8944" width="26" style="165" customWidth="1"/>
    <col min="8945" max="8945" width="21.42578125" style="165" customWidth="1"/>
    <col min="8946" max="8946" width="20.85546875" style="165" customWidth="1"/>
    <col min="8947" max="8947" width="0" style="165" hidden="1" customWidth="1"/>
    <col min="8948" max="9195" width="9.140625" style="165"/>
    <col min="9196" max="9196" width="21.42578125" style="165" customWidth="1"/>
    <col min="9197" max="9197" width="16.42578125" style="165" customWidth="1"/>
    <col min="9198" max="9198" width="18" style="165" customWidth="1"/>
    <col min="9199" max="9199" width="23.7109375" style="165" customWidth="1"/>
    <col min="9200" max="9200" width="26" style="165" customWidth="1"/>
    <col min="9201" max="9201" width="21.42578125" style="165" customWidth="1"/>
    <col min="9202" max="9202" width="20.85546875" style="165" customWidth="1"/>
    <col min="9203" max="9203" width="0" style="165" hidden="1" customWidth="1"/>
    <col min="9204" max="9451" width="9.140625" style="165"/>
    <col min="9452" max="9452" width="21.42578125" style="165" customWidth="1"/>
    <col min="9453" max="9453" width="16.42578125" style="165" customWidth="1"/>
    <col min="9454" max="9454" width="18" style="165" customWidth="1"/>
    <col min="9455" max="9455" width="23.7109375" style="165" customWidth="1"/>
    <col min="9456" max="9456" width="26" style="165" customWidth="1"/>
    <col min="9457" max="9457" width="21.42578125" style="165" customWidth="1"/>
    <col min="9458" max="9458" width="20.85546875" style="165" customWidth="1"/>
    <col min="9459" max="9459" width="0" style="165" hidden="1" customWidth="1"/>
    <col min="9460" max="9707" width="9.140625" style="165"/>
    <col min="9708" max="9708" width="21.42578125" style="165" customWidth="1"/>
    <col min="9709" max="9709" width="16.42578125" style="165" customWidth="1"/>
    <col min="9710" max="9710" width="18" style="165" customWidth="1"/>
    <col min="9711" max="9711" width="23.7109375" style="165" customWidth="1"/>
    <col min="9712" max="9712" width="26" style="165" customWidth="1"/>
    <col min="9713" max="9713" width="21.42578125" style="165" customWidth="1"/>
    <col min="9714" max="9714" width="20.85546875" style="165" customWidth="1"/>
    <col min="9715" max="9715" width="0" style="165" hidden="1" customWidth="1"/>
    <col min="9716" max="9963" width="9.140625" style="165"/>
    <col min="9964" max="9964" width="21.42578125" style="165" customWidth="1"/>
    <col min="9965" max="9965" width="16.42578125" style="165" customWidth="1"/>
    <col min="9966" max="9966" width="18" style="165" customWidth="1"/>
    <col min="9967" max="9967" width="23.7109375" style="165" customWidth="1"/>
    <col min="9968" max="9968" width="26" style="165" customWidth="1"/>
    <col min="9969" max="9969" width="21.42578125" style="165" customWidth="1"/>
    <col min="9970" max="9970" width="20.85546875" style="165" customWidth="1"/>
    <col min="9971" max="9971" width="0" style="165" hidden="1" customWidth="1"/>
    <col min="9972" max="10219" width="9.140625" style="165"/>
    <col min="10220" max="10220" width="21.42578125" style="165" customWidth="1"/>
    <col min="10221" max="10221" width="16.42578125" style="165" customWidth="1"/>
    <col min="10222" max="10222" width="18" style="165" customWidth="1"/>
    <col min="10223" max="10223" width="23.7109375" style="165" customWidth="1"/>
    <col min="10224" max="10224" width="26" style="165" customWidth="1"/>
    <col min="10225" max="10225" width="21.42578125" style="165" customWidth="1"/>
    <col min="10226" max="10226" width="20.85546875" style="165" customWidth="1"/>
    <col min="10227" max="10227" width="0" style="165" hidden="1" customWidth="1"/>
    <col min="10228" max="10475" width="9.140625" style="165"/>
    <col min="10476" max="10476" width="21.42578125" style="165" customWidth="1"/>
    <col min="10477" max="10477" width="16.42578125" style="165" customWidth="1"/>
    <col min="10478" max="10478" width="18" style="165" customWidth="1"/>
    <col min="10479" max="10479" width="23.7109375" style="165" customWidth="1"/>
    <col min="10480" max="10480" width="26" style="165" customWidth="1"/>
    <col min="10481" max="10481" width="21.42578125" style="165" customWidth="1"/>
    <col min="10482" max="10482" width="20.85546875" style="165" customWidth="1"/>
    <col min="10483" max="10483" width="0" style="165" hidden="1" customWidth="1"/>
    <col min="10484" max="10731" width="9.140625" style="165"/>
    <col min="10732" max="10732" width="21.42578125" style="165" customWidth="1"/>
    <col min="10733" max="10733" width="16.42578125" style="165" customWidth="1"/>
    <col min="10734" max="10734" width="18" style="165" customWidth="1"/>
    <col min="10735" max="10735" width="23.7109375" style="165" customWidth="1"/>
    <col min="10736" max="10736" width="26" style="165" customWidth="1"/>
    <col min="10737" max="10737" width="21.42578125" style="165" customWidth="1"/>
    <col min="10738" max="10738" width="20.85546875" style="165" customWidth="1"/>
    <col min="10739" max="10739" width="0" style="165" hidden="1" customWidth="1"/>
    <col min="10740" max="10987" width="9.140625" style="165"/>
    <col min="10988" max="10988" width="21.42578125" style="165" customWidth="1"/>
    <col min="10989" max="10989" width="16.42578125" style="165" customWidth="1"/>
    <col min="10990" max="10990" width="18" style="165" customWidth="1"/>
    <col min="10991" max="10991" width="23.7109375" style="165" customWidth="1"/>
    <col min="10992" max="10992" width="26" style="165" customWidth="1"/>
    <col min="10993" max="10993" width="21.42578125" style="165" customWidth="1"/>
    <col min="10994" max="10994" width="20.85546875" style="165" customWidth="1"/>
    <col min="10995" max="10995" width="0" style="165" hidden="1" customWidth="1"/>
    <col min="10996" max="11243" width="9.140625" style="165"/>
    <col min="11244" max="11244" width="21.42578125" style="165" customWidth="1"/>
    <col min="11245" max="11245" width="16.42578125" style="165" customWidth="1"/>
    <col min="11246" max="11246" width="18" style="165" customWidth="1"/>
    <col min="11247" max="11247" width="23.7109375" style="165" customWidth="1"/>
    <col min="11248" max="11248" width="26" style="165" customWidth="1"/>
    <col min="11249" max="11249" width="21.42578125" style="165" customWidth="1"/>
    <col min="11250" max="11250" width="20.85546875" style="165" customWidth="1"/>
    <col min="11251" max="11251" width="0" style="165" hidden="1" customWidth="1"/>
    <col min="11252" max="11499" width="9.140625" style="165"/>
    <col min="11500" max="11500" width="21.42578125" style="165" customWidth="1"/>
    <col min="11501" max="11501" width="16.42578125" style="165" customWidth="1"/>
    <col min="11502" max="11502" width="18" style="165" customWidth="1"/>
    <col min="11503" max="11503" width="23.7109375" style="165" customWidth="1"/>
    <col min="11504" max="11504" width="26" style="165" customWidth="1"/>
    <col min="11505" max="11505" width="21.42578125" style="165" customWidth="1"/>
    <col min="11506" max="11506" width="20.85546875" style="165" customWidth="1"/>
    <col min="11507" max="11507" width="0" style="165" hidden="1" customWidth="1"/>
    <col min="11508" max="11755" width="9.140625" style="165"/>
    <col min="11756" max="11756" width="21.42578125" style="165" customWidth="1"/>
    <col min="11757" max="11757" width="16.42578125" style="165" customWidth="1"/>
    <col min="11758" max="11758" width="18" style="165" customWidth="1"/>
    <col min="11759" max="11759" width="23.7109375" style="165" customWidth="1"/>
    <col min="11760" max="11760" width="26" style="165" customWidth="1"/>
    <col min="11761" max="11761" width="21.42578125" style="165" customWidth="1"/>
    <col min="11762" max="11762" width="20.85546875" style="165" customWidth="1"/>
    <col min="11763" max="11763" width="0" style="165" hidden="1" customWidth="1"/>
    <col min="11764" max="12011" width="9.140625" style="165"/>
    <col min="12012" max="12012" width="21.42578125" style="165" customWidth="1"/>
    <col min="12013" max="12013" width="16.42578125" style="165" customWidth="1"/>
    <col min="12014" max="12014" width="18" style="165" customWidth="1"/>
    <col min="12015" max="12015" width="23.7109375" style="165" customWidth="1"/>
    <col min="12016" max="12016" width="26" style="165" customWidth="1"/>
    <col min="12017" max="12017" width="21.42578125" style="165" customWidth="1"/>
    <col min="12018" max="12018" width="20.85546875" style="165" customWidth="1"/>
    <col min="12019" max="12019" width="0" style="165" hidden="1" customWidth="1"/>
    <col min="12020" max="12267" width="9.140625" style="165"/>
    <col min="12268" max="12268" width="21.42578125" style="165" customWidth="1"/>
    <col min="12269" max="12269" width="16.42578125" style="165" customWidth="1"/>
    <col min="12270" max="12270" width="18" style="165" customWidth="1"/>
    <col min="12271" max="12271" width="23.7109375" style="165" customWidth="1"/>
    <col min="12272" max="12272" width="26" style="165" customWidth="1"/>
    <col min="12273" max="12273" width="21.42578125" style="165" customWidth="1"/>
    <col min="12274" max="12274" width="20.85546875" style="165" customWidth="1"/>
    <col min="12275" max="12275" width="0" style="165" hidden="1" customWidth="1"/>
    <col min="12276" max="12523" width="9.140625" style="165"/>
    <col min="12524" max="12524" width="21.42578125" style="165" customWidth="1"/>
    <col min="12525" max="12525" width="16.42578125" style="165" customWidth="1"/>
    <col min="12526" max="12526" width="18" style="165" customWidth="1"/>
    <col min="12527" max="12527" width="23.7109375" style="165" customWidth="1"/>
    <col min="12528" max="12528" width="26" style="165" customWidth="1"/>
    <col min="12529" max="12529" width="21.42578125" style="165" customWidth="1"/>
    <col min="12530" max="12530" width="20.85546875" style="165" customWidth="1"/>
    <col min="12531" max="12531" width="0" style="165" hidden="1" customWidth="1"/>
    <col min="12532" max="12779" width="9.140625" style="165"/>
    <col min="12780" max="12780" width="21.42578125" style="165" customWidth="1"/>
    <col min="12781" max="12781" width="16.42578125" style="165" customWidth="1"/>
    <col min="12782" max="12782" width="18" style="165" customWidth="1"/>
    <col min="12783" max="12783" width="23.7109375" style="165" customWidth="1"/>
    <col min="12784" max="12784" width="26" style="165" customWidth="1"/>
    <col min="12785" max="12785" width="21.42578125" style="165" customWidth="1"/>
    <col min="12786" max="12786" width="20.85546875" style="165" customWidth="1"/>
    <col min="12787" max="12787" width="0" style="165" hidden="1" customWidth="1"/>
    <col min="12788" max="13035" width="9.140625" style="165"/>
    <col min="13036" max="13036" width="21.42578125" style="165" customWidth="1"/>
    <col min="13037" max="13037" width="16.42578125" style="165" customWidth="1"/>
    <col min="13038" max="13038" width="18" style="165" customWidth="1"/>
    <col min="13039" max="13039" width="23.7109375" style="165" customWidth="1"/>
    <col min="13040" max="13040" width="26" style="165" customWidth="1"/>
    <col min="13041" max="13041" width="21.42578125" style="165" customWidth="1"/>
    <col min="13042" max="13042" width="20.85546875" style="165" customWidth="1"/>
    <col min="13043" max="13043" width="0" style="165" hidden="1" customWidth="1"/>
    <col min="13044" max="13291" width="9.140625" style="165"/>
    <col min="13292" max="13292" width="21.42578125" style="165" customWidth="1"/>
    <col min="13293" max="13293" width="16.42578125" style="165" customWidth="1"/>
    <col min="13294" max="13294" width="18" style="165" customWidth="1"/>
    <col min="13295" max="13295" width="23.7109375" style="165" customWidth="1"/>
    <col min="13296" max="13296" width="26" style="165" customWidth="1"/>
    <col min="13297" max="13297" width="21.42578125" style="165" customWidth="1"/>
    <col min="13298" max="13298" width="20.85546875" style="165" customWidth="1"/>
    <col min="13299" max="13299" width="0" style="165" hidden="1" customWidth="1"/>
    <col min="13300" max="13547" width="9.140625" style="165"/>
    <col min="13548" max="13548" width="21.42578125" style="165" customWidth="1"/>
    <col min="13549" max="13549" width="16.42578125" style="165" customWidth="1"/>
    <col min="13550" max="13550" width="18" style="165" customWidth="1"/>
    <col min="13551" max="13551" width="23.7109375" style="165" customWidth="1"/>
    <col min="13552" max="13552" width="26" style="165" customWidth="1"/>
    <col min="13553" max="13553" width="21.42578125" style="165" customWidth="1"/>
    <col min="13554" max="13554" width="20.85546875" style="165" customWidth="1"/>
    <col min="13555" max="13555" width="0" style="165" hidden="1" customWidth="1"/>
    <col min="13556" max="13803" width="9.140625" style="165"/>
    <col min="13804" max="13804" width="21.42578125" style="165" customWidth="1"/>
    <col min="13805" max="13805" width="16.42578125" style="165" customWidth="1"/>
    <col min="13806" max="13806" width="18" style="165" customWidth="1"/>
    <col min="13807" max="13807" width="23.7109375" style="165" customWidth="1"/>
    <col min="13808" max="13808" width="26" style="165" customWidth="1"/>
    <col min="13809" max="13809" width="21.42578125" style="165" customWidth="1"/>
    <col min="13810" max="13810" width="20.85546875" style="165" customWidth="1"/>
    <col min="13811" max="13811" width="0" style="165" hidden="1" customWidth="1"/>
    <col min="13812" max="14059" width="9.140625" style="165"/>
    <col min="14060" max="14060" width="21.42578125" style="165" customWidth="1"/>
    <col min="14061" max="14061" width="16.42578125" style="165" customWidth="1"/>
    <col min="14062" max="14062" width="18" style="165" customWidth="1"/>
    <col min="14063" max="14063" width="23.7109375" style="165" customWidth="1"/>
    <col min="14064" max="14064" width="26" style="165" customWidth="1"/>
    <col min="14065" max="14065" width="21.42578125" style="165" customWidth="1"/>
    <col min="14066" max="14066" width="20.85546875" style="165" customWidth="1"/>
    <col min="14067" max="14067" width="0" style="165" hidden="1" customWidth="1"/>
    <col min="14068" max="14315" width="9.140625" style="165"/>
    <col min="14316" max="14316" width="21.42578125" style="165" customWidth="1"/>
    <col min="14317" max="14317" width="16.42578125" style="165" customWidth="1"/>
    <col min="14318" max="14318" width="18" style="165" customWidth="1"/>
    <col min="14319" max="14319" width="23.7109375" style="165" customWidth="1"/>
    <col min="14320" max="14320" width="26" style="165" customWidth="1"/>
    <col min="14321" max="14321" width="21.42578125" style="165" customWidth="1"/>
    <col min="14322" max="14322" width="20.85546875" style="165" customWidth="1"/>
    <col min="14323" max="14323" width="0" style="165" hidden="1" customWidth="1"/>
    <col min="14324" max="14571" width="9.140625" style="165"/>
    <col min="14572" max="14572" width="21.42578125" style="165" customWidth="1"/>
    <col min="14573" max="14573" width="16.42578125" style="165" customWidth="1"/>
    <col min="14574" max="14574" width="18" style="165" customWidth="1"/>
    <col min="14575" max="14575" width="23.7109375" style="165" customWidth="1"/>
    <col min="14576" max="14576" width="26" style="165" customWidth="1"/>
    <col min="14577" max="14577" width="21.42578125" style="165" customWidth="1"/>
    <col min="14578" max="14578" width="20.85546875" style="165" customWidth="1"/>
    <col min="14579" max="14579" width="0" style="165" hidden="1" customWidth="1"/>
    <col min="14580" max="14827" width="9.140625" style="165"/>
    <col min="14828" max="14828" width="21.42578125" style="165" customWidth="1"/>
    <col min="14829" max="14829" width="16.42578125" style="165" customWidth="1"/>
    <col min="14830" max="14830" width="18" style="165" customWidth="1"/>
    <col min="14831" max="14831" width="23.7109375" style="165" customWidth="1"/>
    <col min="14832" max="14832" width="26" style="165" customWidth="1"/>
    <col min="14833" max="14833" width="21.42578125" style="165" customWidth="1"/>
    <col min="14834" max="14834" width="20.85546875" style="165" customWidth="1"/>
    <col min="14835" max="14835" width="0" style="165" hidden="1" customWidth="1"/>
    <col min="14836" max="15083" width="9.140625" style="165"/>
    <col min="15084" max="15084" width="21.42578125" style="165" customWidth="1"/>
    <col min="15085" max="15085" width="16.42578125" style="165" customWidth="1"/>
    <col min="15086" max="15086" width="18" style="165" customWidth="1"/>
    <col min="15087" max="15087" width="23.7109375" style="165" customWidth="1"/>
    <col min="15088" max="15088" width="26" style="165" customWidth="1"/>
    <col min="15089" max="15089" width="21.42578125" style="165" customWidth="1"/>
    <col min="15090" max="15090" width="20.85546875" style="165" customWidth="1"/>
    <col min="15091" max="15091" width="0" style="165" hidden="1" customWidth="1"/>
    <col min="15092" max="15339" width="9.140625" style="165"/>
    <col min="15340" max="15340" width="21.42578125" style="165" customWidth="1"/>
    <col min="15341" max="15341" width="16.42578125" style="165" customWidth="1"/>
    <col min="15342" max="15342" width="18" style="165" customWidth="1"/>
    <col min="15343" max="15343" width="23.7109375" style="165" customWidth="1"/>
    <col min="15344" max="15344" width="26" style="165" customWidth="1"/>
    <col min="15345" max="15345" width="21.42578125" style="165" customWidth="1"/>
    <col min="15346" max="15346" width="20.85546875" style="165" customWidth="1"/>
    <col min="15347" max="15347" width="0" style="165" hidden="1" customWidth="1"/>
    <col min="15348" max="15595" width="9.140625" style="165"/>
    <col min="15596" max="15596" width="21.42578125" style="165" customWidth="1"/>
    <col min="15597" max="15597" width="16.42578125" style="165" customWidth="1"/>
    <col min="15598" max="15598" width="18" style="165" customWidth="1"/>
    <col min="15599" max="15599" width="23.7109375" style="165" customWidth="1"/>
    <col min="15600" max="15600" width="26" style="165" customWidth="1"/>
    <col min="15601" max="15601" width="21.42578125" style="165" customWidth="1"/>
    <col min="15602" max="15602" width="20.85546875" style="165" customWidth="1"/>
    <col min="15603" max="15603" width="0" style="165" hidden="1" customWidth="1"/>
    <col min="15604" max="15851" width="9.140625" style="165"/>
    <col min="15852" max="15852" width="21.42578125" style="165" customWidth="1"/>
    <col min="15853" max="15853" width="16.42578125" style="165" customWidth="1"/>
    <col min="15854" max="15854" width="18" style="165" customWidth="1"/>
    <col min="15855" max="15855" width="23.7109375" style="165" customWidth="1"/>
    <col min="15856" max="15856" width="26" style="165" customWidth="1"/>
    <col min="15857" max="15857" width="21.42578125" style="165" customWidth="1"/>
    <col min="15858" max="15858" width="20.85546875" style="165" customWidth="1"/>
    <col min="15859" max="15859" width="0" style="165" hidden="1" customWidth="1"/>
    <col min="15860" max="16107" width="9.140625" style="165"/>
    <col min="16108" max="16108" width="21.42578125" style="165" customWidth="1"/>
    <col min="16109" max="16109" width="16.42578125" style="165" customWidth="1"/>
    <col min="16110" max="16110" width="18" style="165" customWidth="1"/>
    <col min="16111" max="16111" width="23.7109375" style="165" customWidth="1"/>
    <col min="16112" max="16112" width="26" style="165" customWidth="1"/>
    <col min="16113" max="16113" width="21.42578125" style="165" customWidth="1"/>
    <col min="16114" max="16114" width="20.85546875" style="165" customWidth="1"/>
    <col min="16115" max="16115" width="0" style="165" hidden="1" customWidth="1"/>
    <col min="16116" max="16384" width="9.140625" style="165"/>
  </cols>
  <sheetData>
    <row r="1" spans="2:19" ht="9" customHeight="1" thickBot="1"/>
    <row r="2" spans="2:19" s="167" customFormat="1" ht="30" customHeight="1" thickBot="1">
      <c r="B2" s="189" t="s">
        <v>54</v>
      </c>
      <c r="C2" s="190"/>
      <c r="D2" s="190"/>
      <c r="E2" s="190"/>
      <c r="F2" s="190"/>
      <c r="G2" s="191"/>
      <c r="H2" s="190"/>
      <c r="I2" s="190"/>
      <c r="J2" s="190"/>
      <c r="K2" s="190"/>
      <c r="L2" s="190"/>
      <c r="M2" s="192"/>
      <c r="N2" s="191"/>
      <c r="O2" s="191"/>
      <c r="P2" s="193"/>
    </row>
    <row r="3" spans="2:19" ht="15">
      <c r="G3" s="194"/>
      <c r="M3" s="195"/>
      <c r="N3" s="196"/>
      <c r="O3" s="196"/>
      <c r="P3" s="196"/>
      <c r="R3" s="780" t="s">
        <v>277</v>
      </c>
      <c r="S3" s="781"/>
    </row>
    <row r="4" spans="2:19" ht="45" customHeight="1">
      <c r="B4" s="168" t="s">
        <v>238</v>
      </c>
      <c r="C4" s="169" t="s">
        <v>237</v>
      </c>
      <c r="D4" s="169" t="s">
        <v>55</v>
      </c>
      <c r="E4" s="169" t="s">
        <v>12</v>
      </c>
      <c r="F4" s="169" t="s">
        <v>59</v>
      </c>
      <c r="G4" s="169" t="s">
        <v>161</v>
      </c>
      <c r="H4" s="169" t="s">
        <v>275</v>
      </c>
      <c r="I4" s="169" t="s">
        <v>382</v>
      </c>
      <c r="J4" s="169" t="s">
        <v>383</v>
      </c>
      <c r="K4" s="169" t="s">
        <v>384</v>
      </c>
      <c r="L4" s="169" t="s">
        <v>385</v>
      </c>
      <c r="M4" s="169" t="s">
        <v>160</v>
      </c>
      <c r="N4" s="169" t="s">
        <v>57</v>
      </c>
      <c r="O4" s="169" t="s">
        <v>58</v>
      </c>
      <c r="P4" s="170" t="s">
        <v>59</v>
      </c>
      <c r="R4" s="776" t="s">
        <v>386</v>
      </c>
      <c r="S4" s="778" t="s">
        <v>276</v>
      </c>
    </row>
    <row r="5" spans="2:19" ht="15.75" customHeight="1">
      <c r="B5" s="171" t="s">
        <v>56</v>
      </c>
      <c r="C5" s="172" t="s">
        <v>53</v>
      </c>
      <c r="D5" s="172" t="s">
        <v>0</v>
      </c>
      <c r="E5" s="172" t="s">
        <v>0</v>
      </c>
      <c r="F5" s="172" t="s">
        <v>0</v>
      </c>
      <c r="G5" s="173" t="s">
        <v>0</v>
      </c>
      <c r="H5" s="173" t="s">
        <v>0</v>
      </c>
      <c r="I5" s="173" t="s">
        <v>0</v>
      </c>
      <c r="J5" s="173" t="s">
        <v>0</v>
      </c>
      <c r="K5" s="172" t="s">
        <v>0</v>
      </c>
      <c r="L5" s="172" t="s">
        <v>0</v>
      </c>
      <c r="M5" s="173" t="s">
        <v>0</v>
      </c>
      <c r="N5" s="173" t="s">
        <v>0</v>
      </c>
      <c r="O5" s="172" t="s">
        <v>1</v>
      </c>
      <c r="P5" s="174" t="s">
        <v>60</v>
      </c>
      <c r="R5" s="777"/>
      <c r="S5" s="779"/>
    </row>
    <row r="6" spans="2:19" ht="15.75" customHeight="1">
      <c r="B6" s="175">
        <v>0</v>
      </c>
      <c r="C6" s="176"/>
      <c r="D6" s="177"/>
      <c r="E6" s="177"/>
      <c r="F6" s="177"/>
      <c r="G6" s="178"/>
      <c r="H6" s="177"/>
      <c r="I6" s="177"/>
      <c r="J6" s="177"/>
      <c r="K6" s="177"/>
      <c r="L6" s="225"/>
      <c r="M6" s="178">
        <f>'Cash Flow'!F67</f>
        <v>-12500000</v>
      </c>
      <c r="N6" s="178">
        <f>M6</f>
        <v>-12500000</v>
      </c>
      <c r="O6" s="197"/>
      <c r="P6" s="198"/>
      <c r="R6" s="390"/>
      <c r="S6" s="391"/>
    </row>
    <row r="7" spans="2:19" s="185" customFormat="1">
      <c r="B7" s="180">
        <v>1</v>
      </c>
      <c r="C7" s="181">
        <f>IF($B7&gt;Inputs!$G$11,"",IF($B7&lt;=Inputs!$Q$7,LOOKUP($B7,'Cash Flow'!$F$2:$AJ$2,'Cash Flow'!$F$14:$AJ$14),LOOKUP($B7,'Cash Flow'!$F$2:$AJ$2,'Cash Flow'!$F$16:$AJ$16)))</f>
        <v>10.050000000000001</v>
      </c>
      <c r="D7" s="178">
        <f>IF($B7&gt;Inputs!$G$11,"",LOOKUP($B7,'Cash Flow'!$F$2:$AJ$2,'Cash Flow'!$F$23:$AJ$23))</f>
        <v>2836347.099319343</v>
      </c>
      <c r="E7" s="178">
        <f>IF($B7&gt;Inputs!$G$11,"",LOOKUP($B7,'Cash Flow'!$F$2:$AJ$2,'Cash Flow'!$F$35:$AJ$35))</f>
        <v>-1015316.48</v>
      </c>
      <c r="F7" s="178">
        <f>IF($B7&gt;Inputs!$G$11,"",LOOKUP($B7,'Cash Flow'!$F$2:$AJ$2,'Cash Flow'!$F$85:$AJ$85))</f>
        <v>-1372432.8087625816</v>
      </c>
      <c r="G7" s="178">
        <f>IF($B7&gt;Inputs!$G$11,"",LOOKUP($B7,'Cash Flow'!$F$2:$AJ$2,'Cash Flow'!$F$47:$AJ$47)+LOOKUP($B7,'Cash Flow'!$F$2:$AJ$2,'Cash Flow'!$F$48:$AJ$48))</f>
        <v>-25000</v>
      </c>
      <c r="H7" s="178">
        <f>IF($B7&gt;Inputs!$G$11,"",SUM(D7:G7))</f>
        <v>423597.81055676145</v>
      </c>
      <c r="I7" s="178">
        <f>IF($B7&gt;Inputs!$G$11,"",LOOKUP($B7,'Cash Flow'!$F$2:$AJ$2,'Cash Flow'!$F$60:$AJ$60))</f>
        <v>-11824883.443180658</v>
      </c>
      <c r="J7" s="178">
        <f>IF($B7&gt;Inputs!$G$11,"",LOOKUP($B7,'Cash Flow'!$F$2:$AJ$2,'Cash Flow'!$F$61:$AJ$61))</f>
        <v>-11824883.443180658</v>
      </c>
      <c r="K7" s="178">
        <f>IF($B7&gt;Inputs!$G$11,"",LOOKUP($B7,'Cash Flow'!$F$2:$AJ$2,'Cash Flow'!$F$63:$AJ$63)+LOOKUP($B7,'Cash Flow'!$F$2:$AJ$2,'Cash Flow'!$F$65:$AJ$65))</f>
        <v>10836918.922678605</v>
      </c>
      <c r="L7" s="178">
        <f>IF($B7&gt;Inputs!$G$11,"",LOOKUP($B7,'Cash Flow'!$F$2:$AJ$2,'Cash Flow'!$F$64:$AJ$64)+LOOKUP($B7,'Cash Flow'!$F$2:$AJ$2,'Cash Flow'!$F$66:$AJ$66))</f>
        <v>1005115.092670356</v>
      </c>
      <c r="M7" s="178">
        <f>IF($B7&gt;Inputs!$G$11,"",H7+K7+L7)</f>
        <v>12265631.825905723</v>
      </c>
      <c r="N7" s="178">
        <f>IF($B7&gt;Inputs!$G$11,N6,N6+M7)</f>
        <v>-234368.1740942765</v>
      </c>
      <c r="O7" s="182">
        <f>IF($B7&gt;Inputs!$G$11,"",LOOKUP($B7,'Cash Flow'!$F$2:$AJ$2,'Cash Flow'!$F$68:$AJ$68))</f>
        <v>-1.874945392754214E-2</v>
      </c>
      <c r="P7" s="183">
        <f>IF($B7&gt;Inputs!$G$11,"",LOOKUP($B7,'Cash Flow'!$F$2:$AJ$2,'Cash Flow'!$F$41:$AJ$41))</f>
        <v>1.3086473945042798</v>
      </c>
      <c r="R7" s="392">
        <f>IF($B7&gt;Inputs!$G$11,"",D7+K7+L7)</f>
        <v>14678381.114668304</v>
      </c>
      <c r="S7" s="393">
        <f>IF($B7&gt;Inputs!$G$11,"",-(E7+F7+G7))</f>
        <v>2412749.2887625815</v>
      </c>
    </row>
    <row r="8" spans="2:19" s="185" customFormat="1" ht="15.75" customHeight="1">
      <c r="B8" s="186">
        <v>2</v>
      </c>
      <c r="C8" s="181">
        <f>IF($B8&gt;Inputs!$G$11,"",IF($B8&lt;=Inputs!$Q$7,LOOKUP($B8,'Cash Flow'!$F$2:$AJ$2,'Cash Flow'!$F$14:$AJ$14),LOOKUP($B8,'Cash Flow'!$F$2:$AJ$2,'Cash Flow'!$F$16:$AJ$16)))</f>
        <v>10.050000000000001</v>
      </c>
      <c r="D8" s="178">
        <f>IF($B8&gt;Inputs!$G$11,"",LOOKUP($B8,'Cash Flow'!$F$2:$AJ$2,'Cash Flow'!$F$23:$AJ$23))</f>
        <v>2822636.0193193429</v>
      </c>
      <c r="E8" s="178">
        <f>IF($B8&gt;Inputs!$G$11,"",LOOKUP($B8,'Cash Flow'!$F$2:$AJ$2,'Cash Flow'!$F$35:$AJ$35))</f>
        <v>-1028435.8176000001</v>
      </c>
      <c r="F8" s="178">
        <f>IF($B8&gt;Inputs!$G$11,"",LOOKUP($B8,'Cash Flow'!$F$2:$AJ$2,'Cash Flow'!$F$85:$AJ$85))</f>
        <v>-1372432.8087625816</v>
      </c>
      <c r="G8" s="178">
        <f>IF($B8&gt;Inputs!$G$11,"",LOOKUP($B8,'Cash Flow'!$F$2:$AJ$2,'Cash Flow'!$F$47:$AJ$47)+LOOKUP($B8,'Cash Flow'!$F$2:$AJ$2,'Cash Flow'!$F$48:$AJ$48))</f>
        <v>-25000</v>
      </c>
      <c r="H8" s="178">
        <f>IF($B8&gt;Inputs!$G$11,"",SUM(D8:G8))</f>
        <v>396767.39295676118</v>
      </c>
      <c r="I8" s="178">
        <f>IF($B8&gt;Inputs!$G$11,"",LOOKUP($B8,'Cash Flow'!$F$2:$AJ$2,'Cash Flow'!$F$60:$AJ$60))</f>
        <v>-2304240.5904172766</v>
      </c>
      <c r="J8" s="178">
        <f>IF($B8&gt;Inputs!$G$11,"",LOOKUP($B8,'Cash Flow'!$F$2:$AJ$2,'Cash Flow'!$F$61:$AJ$61))</f>
        <v>-2304240.5904172766</v>
      </c>
      <c r="K8" s="178">
        <f>IF($B8&gt;Inputs!$G$11,"",LOOKUP($B8,'Cash Flow'!$F$2:$AJ$2,'Cash Flow'!$F$63:$AJ$63)+LOOKUP($B8,'Cash Flow'!$F$2:$AJ$2,'Cash Flow'!$F$65:$AJ$65))</f>
        <v>737933.04908113286</v>
      </c>
      <c r="L8" s="178">
        <f>IF($B8&gt;Inputs!$G$11,"",LOOKUP($B8,'Cash Flow'!$F$2:$AJ$2,'Cash Flow'!$F$64:$AJ$64)+LOOKUP($B8,'Cash Flow'!$F$2:$AJ$2,'Cash Flow'!$F$66:$AJ$66))</f>
        <v>195860.45018546854</v>
      </c>
      <c r="M8" s="178">
        <f>IF($B8&gt;Inputs!$G$11,"",H8+K8+L8)</f>
        <v>1330560.8922233623</v>
      </c>
      <c r="N8" s="178">
        <f>IF($B8&gt;Inputs!$G$11,N7,N7+M8)</f>
        <v>1096192.7181290858</v>
      </c>
      <c r="O8" s="182">
        <f>IF($B8&gt;Inputs!$G$11,"",LOOKUP($B8,'Cash Flow'!$F$2:$AJ$2,'Cash Flow'!$F$68:$AJ$68))</f>
        <v>7.9826452532454309E-2</v>
      </c>
      <c r="P8" s="183">
        <f>IF($B8&gt;Inputs!$G$11,"",LOOKUP($B8,'Cash Flow'!$F$2:$AJ$2,'Cash Flow'!$F$41:$AJ$41))</f>
        <v>1.2890978636065225</v>
      </c>
      <c r="R8" s="392">
        <f>IF($B8&gt;Inputs!$G$11,"",D8+K8+L8)</f>
        <v>3756429.5185859441</v>
      </c>
      <c r="S8" s="393">
        <f>IF($B8&gt;Inputs!$G$11,"",-(E8+F8+G8))</f>
        <v>2425868.6263625817</v>
      </c>
    </row>
    <row r="9" spans="2:19">
      <c r="B9" s="180">
        <v>3</v>
      </c>
      <c r="C9" s="181">
        <f>IF($B9&gt;Inputs!$G$11,"",IF($B9&lt;=Inputs!$Q$7,LOOKUP($B9,'Cash Flow'!$F$2:$AJ$2,'Cash Flow'!$F$14:$AJ$14),LOOKUP($B9,'Cash Flow'!$F$2:$AJ$2,'Cash Flow'!$F$16:$AJ$16)))</f>
        <v>10.050000000000001</v>
      </c>
      <c r="D9" s="178">
        <f>IF($B9&gt;Inputs!$G$11,"",LOOKUP($B9,'Cash Flow'!$F$2:$AJ$2,'Cash Flow'!$F$23:$AJ$23))</f>
        <v>2808995.3697193433</v>
      </c>
      <c r="E9" s="178">
        <f>IF($B9&gt;Inputs!$G$11,"",LOOKUP($B9,'Cash Flow'!$F$2:$AJ$2,'Cash Flow'!$F$35:$AJ$35))</f>
        <v>-1041774.85272</v>
      </c>
      <c r="F9" s="178">
        <f>IF($B9&gt;Inputs!$G$11,"",LOOKUP($B9,'Cash Flow'!$F$2:$AJ$2,'Cash Flow'!$F$85:$AJ$85))</f>
        <v>-1372432.8087625816</v>
      </c>
      <c r="G9" s="178">
        <f>IF($B9&gt;Inputs!$G$11,"",LOOKUP($B9,'Cash Flow'!$F$2:$AJ$2,'Cash Flow'!$F$47:$AJ$47)+LOOKUP($B9,'Cash Flow'!$F$2:$AJ$2,'Cash Flow'!$F$48:$AJ$48))</f>
        <v>-25000</v>
      </c>
      <c r="H9" s="178">
        <f>IF($B9&gt;Inputs!$G$11,"",SUM(D9:G9))</f>
        <v>369787.70823676186</v>
      </c>
      <c r="I9" s="178">
        <f>IF($B9&gt;Inputs!$G$11,"",LOOKUP($B9,'Cash Flow'!$F$2:$AJ$2,'Cash Flow'!$F$60:$AJ$60))</f>
        <v>-999914.49151095853</v>
      </c>
      <c r="J9" s="178">
        <f>IF($B9&gt;Inputs!$G$11,"",LOOKUP($B9,'Cash Flow'!$F$2:$AJ$2,'Cash Flow'!$F$61:$AJ$61))</f>
        <v>-999914.49151095853</v>
      </c>
      <c r="K9" s="178">
        <f>IF($B9&gt;Inputs!$G$11,"",LOOKUP($B9,'Cash Flow'!$F$2:$AJ$2,'Cash Flow'!$F$63:$AJ$63)+LOOKUP($B9,'Cash Flow'!$F$2:$AJ$2,'Cash Flow'!$F$65:$AJ$65))</f>
        <v>320222.61590638448</v>
      </c>
      <c r="L9" s="178">
        <f>IF($B9&gt;Inputs!$G$11,"",LOOKUP($B9,'Cash Flow'!$F$2:$AJ$2,'Cash Flow'!$F$64:$AJ$64)+LOOKUP($B9,'Cash Flow'!$F$2:$AJ$2,'Cash Flow'!$F$66:$AJ$66))</f>
        <v>84992.73177843148</v>
      </c>
      <c r="M9" s="178">
        <f>IF($B9&gt;Inputs!$G$11,"",H9+K9+L9)</f>
        <v>775003.05592157785</v>
      </c>
      <c r="N9" s="178">
        <f>IF($B9&gt;Inputs!$G$11,N8,N8+M9)</f>
        <v>1871195.7740506637</v>
      </c>
      <c r="O9" s="182">
        <f>IF($B9&gt;Inputs!$G$11,"",LOOKUP($B9,'Cash Flow'!$F$2:$AJ$2,'Cash Flow'!$F$68:$AJ$68))</f>
        <v>0.12487709969502711</v>
      </c>
      <c r="P9" s="183">
        <f>IF($B9&gt;Inputs!$G$11,"",LOOKUP($B9,'Cash Flow'!$F$2:$AJ$2,'Cash Flow'!$F$41:$AJ$41))</f>
        <v>1.2694395717413454</v>
      </c>
      <c r="R9" s="392">
        <f>IF($B9&gt;Inputs!$G$11,"",D9+K9+L9)</f>
        <v>3214210.7174041593</v>
      </c>
      <c r="S9" s="393">
        <f>IF($B9&gt;Inputs!$G$11,"",-(E9+F9+G9))</f>
        <v>2439207.6614825814</v>
      </c>
    </row>
    <row r="10" spans="2:19">
      <c r="B10" s="180">
        <v>4</v>
      </c>
      <c r="C10" s="181">
        <f>IF($B10&gt;Inputs!$G$11,"",IF($B10&lt;=Inputs!$Q$7,LOOKUP($B10,'Cash Flow'!$F$2:$AJ$2,'Cash Flow'!$F$14:$AJ$14),LOOKUP($B10,'Cash Flow'!$F$2:$AJ$2,'Cash Flow'!$F$16:$AJ$16)))</f>
        <v>10.050000000000001</v>
      </c>
      <c r="D10" s="178">
        <f>IF($B10&gt;Inputs!$G$11,"",LOOKUP($B10,'Cash Flow'!$F$2:$AJ$2,'Cash Flow'!$F$23:$AJ$23))</f>
        <v>2795424.7983673434</v>
      </c>
      <c r="E10" s="178">
        <f>IF($B10&gt;Inputs!$G$11,"",LOOKUP($B10,'Cash Flow'!$F$2:$AJ$2,'Cash Flow'!$F$35:$AJ$35))</f>
        <v>-1055337.1330060991</v>
      </c>
      <c r="F10" s="178">
        <f>IF($B10&gt;Inputs!$G$11,"",LOOKUP($B10,'Cash Flow'!$F$2:$AJ$2,'Cash Flow'!$F$85:$AJ$85))</f>
        <v>-1372432.8087625816</v>
      </c>
      <c r="G10" s="178">
        <f>IF($B10&gt;Inputs!$G$11,"",LOOKUP($B10,'Cash Flow'!$F$2:$AJ$2,'Cash Flow'!$F$47:$AJ$47)+LOOKUP($B10,'Cash Flow'!$F$2:$AJ$2,'Cash Flow'!$F$48:$AJ$48))</f>
        <v>-25000</v>
      </c>
      <c r="H10" s="178">
        <f>IF($B10&gt;Inputs!$G$11,"",SUM(D10:G10))</f>
        <v>342654.85659866268</v>
      </c>
      <c r="I10" s="178">
        <f>IF($B10&gt;Inputs!$G$11,"",LOOKUP($B10,'Cash Flow'!$F$2:$AJ$2,'Cash Flow'!$F$60:$AJ$60))</f>
        <v>-210114.07930639817</v>
      </c>
      <c r="J10" s="178">
        <f>IF($B10&gt;Inputs!$G$11,"",LOOKUP($B10,'Cash Flow'!$F$2:$AJ$2,'Cash Flow'!$F$61:$AJ$61))</f>
        <v>-210114.07930639817</v>
      </c>
      <c r="K10" s="178">
        <f>IF($B10&gt;Inputs!$G$11,"",LOOKUP($B10,'Cash Flow'!$F$2:$AJ$2,'Cash Flow'!$F$63:$AJ$63)+LOOKUP($B10,'Cash Flow'!$F$2:$AJ$2,'Cash Flow'!$F$65:$AJ$65))</f>
        <v>67289.033897874004</v>
      </c>
      <c r="L10" s="178">
        <f>IF($B10&gt;Inputs!$G$11,"",LOOKUP($B10,'Cash Flow'!$F$2:$AJ$2,'Cash Flow'!$F$64:$AJ$64)+LOOKUP($B10,'Cash Flow'!$F$2:$AJ$2,'Cash Flow'!$F$66:$AJ$66))</f>
        <v>17859.696741043845</v>
      </c>
      <c r="M10" s="178">
        <f>IF($B10&gt;Inputs!$G$11,"",H10+K10+L10)</f>
        <v>427803.5872375805</v>
      </c>
      <c r="N10" s="178">
        <f>IF($B10&gt;Inputs!$G$11,N9,N9+M10)</f>
        <v>2298999.3612882444</v>
      </c>
      <c r="O10" s="182">
        <f>IF($B10&gt;Inputs!$G$11,"",LOOKUP($B10,'Cash Flow'!$F$2:$AJ$2,'Cash Flow'!$F$68:$AJ$68))</f>
        <v>0.1444328974738025</v>
      </c>
      <c r="P10" s="183">
        <f>IF($B10&gt;Inputs!$G$11,"",LOOKUP($B10,'Cash Flow'!$F$2:$AJ$2,'Cash Flow'!$F$41:$AJ$41))</f>
        <v>1.24966967738669</v>
      </c>
      <c r="R10" s="392">
        <f>IF($B10&gt;Inputs!$G$11,"",D10+K10+L10)</f>
        <v>2880573.5290062614</v>
      </c>
      <c r="S10" s="393">
        <f>IF($B10&gt;Inputs!$G$11,"",-(E10+F10+G10))</f>
        <v>2452769.9417686807</v>
      </c>
    </row>
    <row r="11" spans="2:19">
      <c r="B11" s="186">
        <v>5</v>
      </c>
      <c r="C11" s="181">
        <f>IF($B11&gt;Inputs!$G$11,"",IF($B11&lt;=Inputs!$Q$7,LOOKUP($B11,'Cash Flow'!$F$2:$AJ$2,'Cash Flow'!$F$14:$AJ$14),LOOKUP($B11,'Cash Flow'!$F$2:$AJ$2,'Cash Flow'!$F$16:$AJ$16)))</f>
        <v>10.050000000000001</v>
      </c>
      <c r="D11" s="178">
        <f>IF($B11&gt;Inputs!$G$11,"",LOOKUP($B11,'Cash Flow'!$F$2:$AJ$2,'Cash Flow'!$F$23:$AJ$23))</f>
        <v>2781923.9548721034</v>
      </c>
      <c r="E11" s="178">
        <f>IF($B11&gt;Inputs!$G$11,"",LOOKUP($B11,'Cash Flow'!$F$2:$AJ$2,'Cash Flow'!$F$35:$AJ$35))</f>
        <v>-1069126.2654985585</v>
      </c>
      <c r="F11" s="178">
        <f>IF($B11&gt;Inputs!$G$11,"",LOOKUP($B11,'Cash Flow'!$F$2:$AJ$2,'Cash Flow'!$F$85:$AJ$85))</f>
        <v>-1372432.8087625816</v>
      </c>
      <c r="G11" s="178">
        <f>IF($B11&gt;Inputs!$G$11,"",LOOKUP($B11,'Cash Flow'!$F$2:$AJ$2,'Cash Flow'!$F$47:$AJ$47)+LOOKUP($B11,'Cash Flow'!$F$2:$AJ$2,'Cash Flow'!$F$48:$AJ$48))</f>
        <v>-25000</v>
      </c>
      <c r="H11" s="178">
        <f>IF($B11&gt;Inputs!$G$11,"",SUM(D11:G11))</f>
        <v>315364.88061096333</v>
      </c>
      <c r="I11" s="178">
        <f>IF($B11&gt;Inputs!$G$11,"",LOOKUP($B11,'Cash Flow'!$F$2:$AJ$2,'Cash Flow'!$F$60:$AJ$60))</f>
        <v>-193009.29341995181</v>
      </c>
      <c r="J11" s="178">
        <f>IF($B11&gt;Inputs!$G$11,"",LOOKUP($B11,'Cash Flow'!$F$2:$AJ$2,'Cash Flow'!$F$61:$AJ$61))</f>
        <v>-193009.29341995181</v>
      </c>
      <c r="K11" s="178">
        <f>IF($B11&gt;Inputs!$G$11,"",LOOKUP($B11,'Cash Flow'!$F$2:$AJ$2,'Cash Flow'!$F$63:$AJ$63)+LOOKUP($B11,'Cash Flow'!$F$2:$AJ$2,'Cash Flow'!$F$65:$AJ$65))</f>
        <v>61811.226217739553</v>
      </c>
      <c r="L11" s="178">
        <f>IF($B11&gt;Inputs!$G$11,"",LOOKUP($B11,'Cash Flow'!$F$2:$AJ$2,'Cash Flow'!$F$64:$AJ$64)+LOOKUP($B11,'Cash Flow'!$F$2:$AJ$2,'Cash Flow'!$F$66:$AJ$66))</f>
        <v>16405.789940695904</v>
      </c>
      <c r="M11" s="178">
        <f>IF($B11&gt;Inputs!$G$11,"",H11+K11+L11)</f>
        <v>393581.89676939882</v>
      </c>
      <c r="N11" s="178">
        <f>IF($B11&gt;Inputs!$G$11,N10,N10+M11)</f>
        <v>2692581.2580576432</v>
      </c>
      <c r="O11" s="182">
        <f>IF($B11&gt;Inputs!$G$11,"",LOOKUP($B11,'Cash Flow'!$F$2:$AJ$2,'Cash Flow'!$F$68:$AJ$68))</f>
        <v>0.15875006817526949</v>
      </c>
      <c r="P11" s="183">
        <f>IF($B11&gt;Inputs!$G$11,"",LOOKUP($B11,'Cash Flow'!$F$2:$AJ$2,'Cash Flow'!$F$41:$AJ$41))</f>
        <v>1.2297852970268934</v>
      </c>
      <c r="R11" s="392">
        <f>IF($B11&gt;Inputs!$G$11,"",D11+K11+L11)</f>
        <v>2860140.9710305389</v>
      </c>
      <c r="S11" s="393">
        <f>IF($B11&gt;Inputs!$G$11,"",-(E11+F11+G11))</f>
        <v>2466559.0742611401</v>
      </c>
    </row>
    <row r="12" spans="2:19">
      <c r="B12" s="180">
        <v>6</v>
      </c>
      <c r="C12" s="181">
        <f>IF($B12&gt;Inputs!$G$11,"",IF($B12&lt;=Inputs!$Q$7,LOOKUP($B12,'Cash Flow'!$F$2:$AJ$2,'Cash Flow'!$F$14:$AJ$14),LOOKUP($B12,'Cash Flow'!$F$2:$AJ$2,'Cash Flow'!$F$16:$AJ$16)))</f>
        <v>10.050000000000001</v>
      </c>
      <c r="D12" s="178">
        <f>IF($B12&gt;Inputs!$G$11,"",LOOKUP($B12,'Cash Flow'!$F$2:$AJ$2,'Cash Flow'!$F$23:$AJ$23))</f>
        <v>2768492.4905943396</v>
      </c>
      <c r="E12" s="178">
        <f>IF($B12&gt;Inputs!$G$11,"",LOOKUP($B12,'Cash Flow'!$F$2:$AJ$2,'Cash Flow'!$F$35:$AJ$35))</f>
        <v>-1083145.917642202</v>
      </c>
      <c r="F12" s="178">
        <f>IF($B12&gt;Inputs!$G$11,"",LOOKUP($B12,'Cash Flow'!$F$2:$AJ$2,'Cash Flow'!$F$85:$AJ$85))</f>
        <v>-1372432.8087625816</v>
      </c>
      <c r="G12" s="178">
        <f>IF($B12&gt;Inputs!$G$11,"",LOOKUP($B12,'Cash Flow'!$F$2:$AJ$2,'Cash Flow'!$F$47:$AJ$47)+LOOKUP($B12,'Cash Flow'!$F$2:$AJ$2,'Cash Flow'!$F$48:$AJ$48))</f>
        <v>-25000</v>
      </c>
      <c r="H12" s="178">
        <f>IF($B12&gt;Inputs!$G$11,"",SUM(D12:G12))</f>
        <v>287913.76418955601</v>
      </c>
      <c r="I12" s="178">
        <f>IF($B12&gt;Inputs!$G$11,"",LOOKUP($B12,'Cash Flow'!$F$2:$AJ$2,'Cash Flow'!$F$60:$AJ$60))</f>
        <v>408140.09852647688</v>
      </c>
      <c r="J12" s="178">
        <f>IF($B12&gt;Inputs!$G$11,"",LOOKUP($B12,'Cash Flow'!$F$2:$AJ$2,'Cash Flow'!$F$61:$AJ$61))</f>
        <v>408140.09852647688</v>
      </c>
      <c r="K12" s="178">
        <f>IF($B12&gt;Inputs!$G$11,"",LOOKUP($B12,'Cash Flow'!$F$2:$AJ$2,'Cash Flow'!$F$63:$AJ$63)+LOOKUP($B12,'Cash Flow'!$F$2:$AJ$2,'Cash Flow'!$F$65:$AJ$65))</f>
        <v>-130706.86655310422</v>
      </c>
      <c r="L12" s="178">
        <f>IF($B12&gt;Inputs!$G$11,"",LOOKUP($B12,'Cash Flow'!$F$2:$AJ$2,'Cash Flow'!$F$64:$AJ$64)+LOOKUP($B12,'Cash Flow'!$F$2:$AJ$2,'Cash Flow'!$F$66:$AJ$66))</f>
        <v>-34691.908374750536</v>
      </c>
      <c r="M12" s="178">
        <f>IF($B12&gt;Inputs!$G$11,"",H12+K12+L12)</f>
        <v>122514.98926170125</v>
      </c>
      <c r="N12" s="178">
        <f>IF($B12&gt;Inputs!$G$11,N11,N11+M12)</f>
        <v>2815096.2473193444</v>
      </c>
      <c r="O12" s="182">
        <f>IF($B12&gt;Inputs!$G$11,"",LOOKUP($B12,'Cash Flow'!$F$2:$AJ$2,'Cash Flow'!$F$68:$AJ$68))</f>
        <v>0.16237348196518683</v>
      </c>
      <c r="P12" s="183">
        <f>IF($B12&gt;Inputs!$G$11,"",LOOKUP($B12,'Cash Flow'!$F$2:$AJ$2,'Cash Flow'!$F$41:$AJ$41))</f>
        <v>1.20978350441006</v>
      </c>
      <c r="R12" s="392">
        <f>IF($B12&gt;Inputs!$G$11,"",D12+K12+L12)</f>
        <v>2603093.715666485</v>
      </c>
      <c r="S12" s="393">
        <f>IF($B12&gt;Inputs!$G$11,"",-(E12+F12+G12))</f>
        <v>2480578.7264047833</v>
      </c>
    </row>
    <row r="13" spans="2:19">
      <c r="B13" s="180">
        <v>7</v>
      </c>
      <c r="C13" s="181">
        <f>IF($B13&gt;Inputs!$G$11,"",IF($B13&lt;=Inputs!$Q$7,LOOKUP($B13,'Cash Flow'!$F$2:$AJ$2,'Cash Flow'!$F$14:$AJ$14),LOOKUP($B13,'Cash Flow'!$F$2:$AJ$2,'Cash Flow'!$F$16:$AJ$16)))</f>
        <v>10.050000000000001</v>
      </c>
      <c r="D13" s="178">
        <f>IF($B13&gt;Inputs!$G$11,"",LOOKUP($B13,'Cash Flow'!$F$2:$AJ$2,'Cash Flow'!$F$23:$AJ$23))</f>
        <v>2755130.0586379645</v>
      </c>
      <c r="E13" s="178">
        <f>IF($B13&gt;Inputs!$G$11,"",LOOKUP($B13,'Cash Flow'!$F$2:$AJ$2,'Cash Flow'!$F$35:$AJ$35))</f>
        <v>-1097399.8183144093</v>
      </c>
      <c r="F13" s="178">
        <f>IF($B13&gt;Inputs!$G$11,"",LOOKUP($B13,'Cash Flow'!$F$2:$AJ$2,'Cash Flow'!$F$85:$AJ$85))</f>
        <v>-1372432.8087625816</v>
      </c>
      <c r="G13" s="178">
        <f>IF($B13&gt;Inputs!$G$11,"",LOOKUP($B13,'Cash Flow'!$F$2:$AJ$2,'Cash Flow'!$F$47:$AJ$47)+LOOKUP($B13,'Cash Flow'!$F$2:$AJ$2,'Cash Flow'!$F$48:$AJ$48))</f>
        <v>-25000</v>
      </c>
      <c r="H13" s="178">
        <f>IF($B13&gt;Inputs!$G$11,"",SUM(D13:G13))</f>
        <v>260297.43156097364</v>
      </c>
      <c r="I13" s="178">
        <f>IF($B13&gt;Inputs!$G$11,"",LOOKUP($B13,'Cash Flow'!$F$2:$AJ$2,'Cash Flow'!$F$60:$AJ$60))</f>
        <v>1011690.0181764788</v>
      </c>
      <c r="J13" s="178">
        <f>IF($B13&gt;Inputs!$G$11,"",LOOKUP($B13,'Cash Flow'!$F$2:$AJ$2,'Cash Flow'!$F$61:$AJ$61))</f>
        <v>1011690.0181764788</v>
      </c>
      <c r="K13" s="178">
        <f>IF($B13&gt;Inputs!$G$11,"",LOOKUP($B13,'Cash Flow'!$F$2:$AJ$2,'Cash Flow'!$F$63:$AJ$63)+LOOKUP($B13,'Cash Flow'!$F$2:$AJ$2,'Cash Flow'!$F$65:$AJ$65))</f>
        <v>-323993.72832101729</v>
      </c>
      <c r="L13" s="178">
        <f>IF($B13&gt;Inputs!$G$11,"",LOOKUP($B13,'Cash Flow'!$F$2:$AJ$2,'Cash Flow'!$F$64:$AJ$64)+LOOKUP($B13,'Cash Flow'!$F$2:$AJ$2,'Cash Flow'!$F$66:$AJ$66))</f>
        <v>-85993.651545000699</v>
      </c>
      <c r="M13" s="178">
        <f>IF($B13&gt;Inputs!$G$11,"",H13+K13+L13)</f>
        <v>-149689.94830504435</v>
      </c>
      <c r="N13" s="178">
        <f>IF($B13&gt;Inputs!$G$11,N12,N12+M13)</f>
        <v>2665406.2990143001</v>
      </c>
      <c r="O13" s="182">
        <f>IF($B13&gt;Inputs!$G$11,"",LOOKUP($B13,'Cash Flow'!$F$2:$AJ$2,'Cash Flow'!$F$68:$AJ$68))</f>
        <v>0.15854917231508087</v>
      </c>
      <c r="P13" s="183">
        <f>IF($B13&gt;Inputs!$G$11,"",LOOKUP($B13,'Cash Flow'!$F$2:$AJ$2,'Cash Flow'!$F$41:$AJ$41))</f>
        <v>1.1896613297926506</v>
      </c>
      <c r="R13" s="392">
        <f>IF($B13&gt;Inputs!$G$11,"",D13+K13+L13)</f>
        <v>2345142.6787719466</v>
      </c>
      <c r="S13" s="393">
        <f>IF($B13&gt;Inputs!$G$11,"",-(E13+F13+G13))</f>
        <v>2494832.6270769909</v>
      </c>
    </row>
    <row r="14" spans="2:19">
      <c r="B14" s="186">
        <v>8</v>
      </c>
      <c r="C14" s="181">
        <f>IF($B14&gt;Inputs!$G$11,"",IF($B14&lt;=Inputs!$Q$7,LOOKUP($B14,'Cash Flow'!$F$2:$AJ$2,'Cash Flow'!$F$14:$AJ$14),LOOKUP($B14,'Cash Flow'!$F$2:$AJ$2,'Cash Flow'!$F$16:$AJ$16)))</f>
        <v>10.050000000000001</v>
      </c>
      <c r="D14" s="178">
        <f>IF($B14&gt;Inputs!$G$11,"",LOOKUP($B14,'Cash Flow'!$F$2:$AJ$2,'Cash Flow'!$F$23:$AJ$23))</f>
        <v>2741836.3138413713</v>
      </c>
      <c r="E14" s="178">
        <f>IF($B14&gt;Inputs!$G$11,"",LOOKUP($B14,'Cash Flow'!$F$2:$AJ$2,'Cash Flow'!$F$35:$AJ$35))</f>
        <v>-1111891.7588710091</v>
      </c>
      <c r="F14" s="178">
        <f>IF($B14&gt;Inputs!$G$11,"",LOOKUP($B14,'Cash Flow'!$F$2:$AJ$2,'Cash Flow'!$F$85:$AJ$85))</f>
        <v>-1372432.8087625816</v>
      </c>
      <c r="G14" s="178">
        <f>IF($B14&gt;Inputs!$G$11,"",LOOKUP($B14,'Cash Flow'!$F$2:$AJ$2,'Cash Flow'!$F$47:$AJ$47)+LOOKUP($B14,'Cash Flow'!$F$2:$AJ$2,'Cash Flow'!$F$48:$AJ$48))</f>
        <v>-25000</v>
      </c>
      <c r="H14" s="178">
        <f>IF($B14&gt;Inputs!$G$11,"",SUM(D14:G14))</f>
        <v>232511.74620778067</v>
      </c>
      <c r="I14" s="178">
        <f>IF($B14&gt;Inputs!$G$11,"",LOOKUP($B14,'Cash Flow'!$F$2:$AJ$2,'Cash Flow'!$F$60:$AJ$60))</f>
        <v>1036553.2013113713</v>
      </c>
      <c r="J14" s="178">
        <f>IF($B14&gt;Inputs!$G$11,"",LOOKUP($B14,'Cash Flow'!$F$2:$AJ$2,'Cash Flow'!$F$61:$AJ$61))</f>
        <v>1036553.2013113713</v>
      </c>
      <c r="K14" s="178">
        <f>IF($B14&gt;Inputs!$G$11,"",LOOKUP($B14,'Cash Flow'!$F$2:$AJ$2,'Cash Flow'!$F$63:$AJ$63)+LOOKUP($B14,'Cash Flow'!$F$2:$AJ$2,'Cash Flow'!$F$65:$AJ$65))</f>
        <v>-331956.16271996661</v>
      </c>
      <c r="L14" s="178">
        <f>IF($B14&gt;Inputs!$G$11,"",LOOKUP($B14,'Cash Flow'!$F$2:$AJ$2,'Cash Flow'!$F$64:$AJ$64)+LOOKUP($B14,'Cash Flow'!$F$2:$AJ$2,'Cash Flow'!$F$66:$AJ$66))</f>
        <v>-88107.022111466562</v>
      </c>
      <c r="M14" s="178">
        <f>IF($B14&gt;Inputs!$G$11,"",H14+K14+L14)</f>
        <v>-187551.4386236525</v>
      </c>
      <c r="N14" s="178">
        <f>IF($B14&gt;Inputs!$G$11,N13,N13+M14)</f>
        <v>2477854.8603906478</v>
      </c>
      <c r="O14" s="182">
        <f>IF($B14&gt;Inputs!$G$11,"",LOOKUP($B14,'Cash Flow'!$F$2:$AJ$2,'Cash Flow'!$F$68:$AJ$68))</f>
        <v>0.15422935650551153</v>
      </c>
      <c r="P14" s="183">
        <f>IF($B14&gt;Inputs!$G$11,"",LOOKUP($B14,'Cash Flow'!$F$2:$AJ$2,'Cash Flow'!$F$41:$AJ$41))</f>
        <v>1.1694157591710583</v>
      </c>
      <c r="R14" s="392">
        <f>IF($B14&gt;Inputs!$G$11,"",D14+K14+L14)</f>
        <v>2321773.1290099383</v>
      </c>
      <c r="S14" s="393">
        <f>IF($B14&gt;Inputs!$G$11,"",-(E14+F14+G14))</f>
        <v>2509324.5676335907</v>
      </c>
    </row>
    <row r="15" spans="2:19">
      <c r="B15" s="180">
        <v>9</v>
      </c>
      <c r="C15" s="181">
        <f>IF($B15&gt;Inputs!$G$11,"",IF($B15&lt;=Inputs!$Q$7,LOOKUP($B15,'Cash Flow'!$F$2:$AJ$2,'Cash Flow'!$F$14:$AJ$14),LOOKUP($B15,'Cash Flow'!$F$2:$AJ$2,'Cash Flow'!$F$16:$AJ$16)))</f>
        <v>10.050000000000001</v>
      </c>
      <c r="D15" s="178">
        <f>IF($B15&gt;Inputs!$G$11,"",LOOKUP($B15,'Cash Flow'!$F$2:$AJ$2,'Cash Flow'!$F$23:$AJ$23))</f>
        <v>2728610.9127687612</v>
      </c>
      <c r="E15" s="178">
        <f>IF($B15&gt;Inputs!$G$11,"",LOOKUP($B15,'Cash Flow'!$F$2:$AJ$2,'Cash Flow'!$F$35:$AJ$35))</f>
        <v>-1126625.5942103942</v>
      </c>
      <c r="F15" s="178">
        <f>IF($B15&gt;Inputs!$G$11,"",LOOKUP($B15,'Cash Flow'!$F$2:$AJ$2,'Cash Flow'!$F$85:$AJ$85))</f>
        <v>-1372432.8087625816</v>
      </c>
      <c r="G15" s="178">
        <f>IF($B15&gt;Inputs!$G$11,"",LOOKUP($B15,'Cash Flow'!$F$2:$AJ$2,'Cash Flow'!$F$47:$AJ$47)+LOOKUP($B15,'Cash Flow'!$F$2:$AJ$2,'Cash Flow'!$F$48:$AJ$48))</f>
        <v>-25000</v>
      </c>
      <c r="H15" s="178">
        <f>IF($B15&gt;Inputs!$G$11,"",SUM(D15:G15))</f>
        <v>204552.50979578542</v>
      </c>
      <c r="I15" s="178">
        <f>IF($B15&gt;Inputs!$G$11,"",LOOKUP($B15,'Cash Flow'!$F$2:$AJ$2,'Cash Flow'!$F$60:$AJ$60))</f>
        <v>1064556.0709566274</v>
      </c>
      <c r="J15" s="178">
        <f>IF($B15&gt;Inputs!$G$11,"",LOOKUP($B15,'Cash Flow'!$F$2:$AJ$2,'Cash Flow'!$F$61:$AJ$61))</f>
        <v>1064556.0709566274</v>
      </c>
      <c r="K15" s="178">
        <f>IF($B15&gt;Inputs!$G$11,"",LOOKUP($B15,'Cash Flow'!$F$2:$AJ$2,'Cash Flow'!$F$63:$AJ$63)+LOOKUP($B15,'Cash Flow'!$F$2:$AJ$2,'Cash Flow'!$F$65:$AJ$65))</f>
        <v>-340924.08172385988</v>
      </c>
      <c r="L15" s="178">
        <f>IF($B15&gt;Inputs!$G$11,"",LOOKUP($B15,'Cash Flow'!$F$2:$AJ$2,'Cash Flow'!$F$64:$AJ$64)+LOOKUP($B15,'Cash Flow'!$F$2:$AJ$2,'Cash Flow'!$F$66:$AJ$66))</f>
        <v>-90487.266031313338</v>
      </c>
      <c r="M15" s="178">
        <f>IF($B15&gt;Inputs!$G$11,"",H15+K15+L15)</f>
        <v>-226858.83795938781</v>
      </c>
      <c r="N15" s="178">
        <f>IF($B15&gt;Inputs!$G$11,N14,N14+M15)</f>
        <v>2250996.02243126</v>
      </c>
      <c r="O15" s="182">
        <f>IF($B15&gt;Inputs!$G$11,"",LOOKUP($B15,'Cash Flow'!$F$2:$AJ$2,'Cash Flow'!$F$68:$AJ$68))</f>
        <v>0.14943445510544609</v>
      </c>
      <c r="P15" s="183">
        <f>IF($B15&gt;Inputs!$G$11,"",LOOKUP($B15,'Cash Flow'!$F$2:$AJ$2,'Cash Flow'!$F$41:$AJ$41))</f>
        <v>1.1490437334999408</v>
      </c>
      <c r="R15" s="392">
        <f>IF($B15&gt;Inputs!$G$11,"",D15+K15+L15)</f>
        <v>2297199.5650135879</v>
      </c>
      <c r="S15" s="393">
        <f>IF($B15&gt;Inputs!$G$11,"",-(E15+F15+G15))</f>
        <v>2524058.4029729757</v>
      </c>
    </row>
    <row r="16" spans="2:19">
      <c r="B16" s="180">
        <v>10</v>
      </c>
      <c r="C16" s="181">
        <f>IF($B16&gt;Inputs!$G$11,"",IF($B16&lt;=Inputs!$Q$7,LOOKUP($B16,'Cash Flow'!$F$2:$AJ$2,'Cash Flow'!$F$14:$AJ$14),LOOKUP($B16,'Cash Flow'!$F$2:$AJ$2,'Cash Flow'!$F$16:$AJ$16)))</f>
        <v>10.050000000000001</v>
      </c>
      <c r="D16" s="178">
        <f>IF($B16&gt;Inputs!$G$11,"",LOOKUP($B16,'Cash Flow'!$F$2:$AJ$2,'Cash Flow'!$F$23:$AJ$23))</f>
        <v>2715453.5137015139</v>
      </c>
      <c r="E16" s="178">
        <f>IF($B16&gt;Inputs!$G$11,"",LOOKUP($B16,'Cash Flow'!$F$2:$AJ$2,'Cash Flow'!$F$35:$AJ$35))</f>
        <v>-1141605.2438561823</v>
      </c>
      <c r="F16" s="178">
        <f>IF($B16&gt;Inputs!$G$11,"",LOOKUP($B16,'Cash Flow'!$F$2:$AJ$2,'Cash Flow'!$F$85:$AJ$85))</f>
        <v>-1372432.8087625816</v>
      </c>
      <c r="G16" s="178">
        <f>IF($B16&gt;Inputs!$G$11,"",LOOKUP($B16,'Cash Flow'!$F$2:$AJ$2,'Cash Flow'!$F$47:$AJ$47)+LOOKUP($B16,'Cash Flow'!$F$2:$AJ$2,'Cash Flow'!$F$48:$AJ$48))</f>
        <v>-25000</v>
      </c>
      <c r="H16" s="178">
        <f>IF($B16&gt;Inputs!$G$11,"",SUM(D16:G16))</f>
        <v>176415.46108275</v>
      </c>
      <c r="I16" s="178">
        <f>IF($B16&gt;Inputs!$G$11,"",LOOKUP($B16,'Cash Flow'!$F$2:$AJ$2,'Cash Flow'!$F$60:$AJ$60))</f>
        <v>1096263.9546623512</v>
      </c>
      <c r="J16" s="178">
        <f>IF($B16&gt;Inputs!$G$11,"",LOOKUP($B16,'Cash Flow'!$F$2:$AJ$2,'Cash Flow'!$F$61:$AJ$61))</f>
        <v>1096263.9546623512</v>
      </c>
      <c r="K16" s="178">
        <f>IF($B16&gt;Inputs!$G$11,"",LOOKUP($B16,'Cash Flow'!$F$2:$AJ$2,'Cash Flow'!$F$63:$AJ$63)+LOOKUP($B16,'Cash Flow'!$F$2:$AJ$2,'Cash Flow'!$F$65:$AJ$65))</f>
        <v>-351078.53148061794</v>
      </c>
      <c r="L16" s="178">
        <f>IF($B16&gt;Inputs!$G$11,"",LOOKUP($B16,'Cash Flow'!$F$2:$AJ$2,'Cash Flow'!$F$64:$AJ$64)+LOOKUP($B16,'Cash Flow'!$F$2:$AJ$2,'Cash Flow'!$F$66:$AJ$66))</f>
        <v>-93182.436146299849</v>
      </c>
      <c r="M16" s="178">
        <f>IF($B16&gt;Inputs!$G$11,"",H16+K16+L16)</f>
        <v>-267845.50654416776</v>
      </c>
      <c r="N16" s="178">
        <f>IF($B16&gt;Inputs!$G$11,N15,N15+M16)</f>
        <v>1983150.5158870923</v>
      </c>
      <c r="O16" s="182">
        <f>IF($B16&gt;Inputs!$G$11,"",LOOKUP($B16,'Cash Flow'!$F$2:$AJ$2,'Cash Flow'!$F$68:$AJ$68))</f>
        <v>0.14413077340896241</v>
      </c>
      <c r="P16" s="183">
        <f>IF($B16&gt;Inputs!$G$11,"",LOOKUP($B16,'Cash Flow'!$F$2:$AJ$2,'Cash Flow'!$F$41:$AJ$41))</f>
        <v>1.1285421478970694</v>
      </c>
      <c r="R16" s="392">
        <f>IF($B16&gt;Inputs!$G$11,"",D16+K16+L16)</f>
        <v>2271192.5460745962</v>
      </c>
      <c r="S16" s="393">
        <f>IF($B16&gt;Inputs!$G$11,"",-(E16+F16+G16))</f>
        <v>2539038.0526187639</v>
      </c>
    </row>
    <row r="17" spans="2:19">
      <c r="B17" s="186">
        <v>11</v>
      </c>
      <c r="C17" s="181">
        <f>IF($B17&gt;Inputs!$G$11,"",IF($B17&lt;=Inputs!$Q$7,LOOKUP($B17,'Cash Flow'!$F$2:$AJ$2,'Cash Flow'!$F$14:$AJ$14),LOOKUP($B17,'Cash Flow'!$F$2:$AJ$2,'Cash Flow'!$F$16:$AJ$16)))</f>
        <v>10.050000000000001</v>
      </c>
      <c r="D17" s="178">
        <f>IF($B17&gt;Inputs!$G$11,"",LOOKUP($B17,'Cash Flow'!$F$2:$AJ$2,'Cash Flow'!$F$23:$AJ$23))</f>
        <v>2702363.776629603</v>
      </c>
      <c r="E17" s="178">
        <f>IF($B17&gt;Inputs!$G$11,"",LOOKUP($B17,'Cash Flow'!$F$2:$AJ$2,'Cash Flow'!$F$35:$AJ$35))</f>
        <v>-1156834.693058749</v>
      </c>
      <c r="F17" s="178">
        <f>IF($B17&gt;Inputs!$G$11,"",LOOKUP($B17,'Cash Flow'!$F$2:$AJ$2,'Cash Flow'!$F$85:$AJ$85))</f>
        <v>-1372432.8087625816</v>
      </c>
      <c r="G17" s="178">
        <f>IF($B17&gt;Inputs!$G$11,"",LOOKUP($B17,'Cash Flow'!$F$2:$AJ$2,'Cash Flow'!$F$47:$AJ$47)+LOOKUP($B17,'Cash Flow'!$F$2:$AJ$2,'Cash Flow'!$F$48:$AJ$48))</f>
        <v>-25000</v>
      </c>
      <c r="H17" s="178">
        <f>IF($B17&gt;Inputs!$G$11,"",SUM(D17:G17))</f>
        <v>148096.27480827249</v>
      </c>
      <c r="I17" s="178">
        <f>IF($B17&gt;Inputs!$G$11,"",LOOKUP($B17,'Cash Flow'!$F$2:$AJ$2,'Cash Flow'!$F$60:$AJ$60))</f>
        <v>1131943.2834759457</v>
      </c>
      <c r="J17" s="178">
        <f>IF($B17&gt;Inputs!$G$11,"",LOOKUP($B17,'Cash Flow'!$F$2:$AJ$2,'Cash Flow'!$F$61:$AJ$61))</f>
        <v>1131943.2834759457</v>
      </c>
      <c r="K17" s="178">
        <f>IF($B17&gt;Inputs!$G$11,"",LOOKUP($B17,'Cash Flow'!$F$2:$AJ$2,'Cash Flow'!$F$63:$AJ$63)+LOOKUP($B17,'Cash Flow'!$F$2:$AJ$2,'Cash Flow'!$F$65:$AJ$65))</f>
        <v>-362504.83653317159</v>
      </c>
      <c r="L17" s="178">
        <f>IF($B17&gt;Inputs!$G$11,"",LOOKUP($B17,'Cash Flow'!$F$2:$AJ$2,'Cash Flow'!$F$64:$AJ$64)+LOOKUP($B17,'Cash Flow'!$F$2:$AJ$2,'Cash Flow'!$F$66:$AJ$66))</f>
        <v>-96215.179095455387</v>
      </c>
      <c r="M17" s="178">
        <f>IF($B17&gt;Inputs!$G$11,"",H17+K17+L17)</f>
        <v>-310623.74082035449</v>
      </c>
      <c r="N17" s="178">
        <f>IF($B17&gt;Inputs!$G$11,N16,N16+M17)</f>
        <v>1672526.7750667378</v>
      </c>
      <c r="O17" s="182">
        <f>IF($B17&gt;Inputs!$G$11,"",LOOKUP($B17,'Cash Flow'!$F$2:$AJ$2,'Cash Flow'!$F$68:$AJ$68))</f>
        <v>0.13822171791392118</v>
      </c>
      <c r="P17" s="183">
        <f>IF($B17&gt;Inputs!$G$11,"",LOOKUP($B17,'Cash Flow'!$F$2:$AJ$2,'Cash Flow'!$F$41:$AJ$41))</f>
        <v>1.1079078508344606</v>
      </c>
      <c r="R17" s="392">
        <f>IF($B17&gt;Inputs!$G$11,"",D17+K17+L17)</f>
        <v>2243643.761000976</v>
      </c>
      <c r="S17" s="393">
        <f>IF($B17&gt;Inputs!$G$11,"",-(E17+F17+G17))</f>
        <v>2554267.5018213307</v>
      </c>
    </row>
    <row r="18" spans="2:19">
      <c r="B18" s="180">
        <v>12</v>
      </c>
      <c r="C18" s="181">
        <f>IF($B18&gt;Inputs!$G$11,"",IF($B18&lt;=Inputs!$Q$7,LOOKUP($B18,'Cash Flow'!$F$2:$AJ$2,'Cash Flow'!$F$14:$AJ$14),LOOKUP($B18,'Cash Flow'!$F$2:$AJ$2,'Cash Flow'!$F$16:$AJ$16)))</f>
        <v>10.050000000000001</v>
      </c>
      <c r="D18" s="178">
        <f>IF($B18&gt;Inputs!$G$11,"",LOOKUP($B18,'Cash Flow'!$F$2:$AJ$2,'Cash Flow'!$F$23:$AJ$23))</f>
        <v>2689341.3632430518</v>
      </c>
      <c r="E18" s="178">
        <f>IF($B18&gt;Inputs!$G$11,"",LOOKUP($B18,'Cash Flow'!$F$2:$AJ$2,'Cash Flow'!$F$35:$AJ$35))</f>
        <v>-1172317.9939159758</v>
      </c>
      <c r="F18" s="178">
        <f>IF($B18&gt;Inputs!$G$11,"",LOOKUP($B18,'Cash Flow'!$F$2:$AJ$2,'Cash Flow'!$F$85:$AJ$85))</f>
        <v>-1372432.8087625816</v>
      </c>
      <c r="G18" s="178">
        <f>IF($B18&gt;Inputs!$G$11,"",LOOKUP($B18,'Cash Flow'!$F$2:$AJ$2,'Cash Flow'!$F$47:$AJ$47)+LOOKUP($B18,'Cash Flow'!$F$2:$AJ$2,'Cash Flow'!$F$48:$AJ$48))</f>
        <v>-25000</v>
      </c>
      <c r="H18" s="178">
        <f>IF($B18&gt;Inputs!$G$11,"",SUM(D18:G18))</f>
        <v>119590.56056449446</v>
      </c>
      <c r="I18" s="178">
        <f>IF($B18&gt;Inputs!$G$11,"",LOOKUP($B18,'Cash Flow'!$F$2:$AJ$2,'Cash Flow'!$F$60:$AJ$60))</f>
        <v>1171951.5429764048</v>
      </c>
      <c r="J18" s="178">
        <f>IF($B18&gt;Inputs!$G$11,"",LOOKUP($B18,'Cash Flow'!$F$2:$AJ$2,'Cash Flow'!$F$61:$AJ$61))</f>
        <v>1171951.5429764048</v>
      </c>
      <c r="K18" s="178">
        <f>IF($B18&gt;Inputs!$G$11,"",LOOKUP($B18,'Cash Flow'!$F$2:$AJ$2,'Cash Flow'!$F$63:$AJ$63)+LOOKUP($B18,'Cash Flow'!$F$2:$AJ$2,'Cash Flow'!$F$65:$AJ$65))</f>
        <v>-375317.4816381936</v>
      </c>
      <c r="L18" s="178">
        <f>IF($B18&gt;Inputs!$G$11,"",LOOKUP($B18,'Cash Flow'!$F$2:$AJ$2,'Cash Flow'!$F$64:$AJ$64)+LOOKUP($B18,'Cash Flow'!$F$2:$AJ$2,'Cash Flow'!$F$66:$AJ$66))</f>
        <v>-99615.881152994407</v>
      </c>
      <c r="M18" s="178">
        <f>IF($B18&gt;Inputs!$G$11,"",H18+K18+L18)</f>
        <v>-355342.80222669354</v>
      </c>
      <c r="N18" s="178">
        <f>IF($B18&gt;Inputs!$G$11,N17,N17+M18)</f>
        <v>1317183.9728400442</v>
      </c>
      <c r="O18" s="182">
        <f>IF($B18&gt;Inputs!$G$11,"",LOOKUP($B18,'Cash Flow'!$F$2:$AJ$2,'Cash Flow'!$F$68:$AJ$68))</f>
        <v>0.13151398482214524</v>
      </c>
      <c r="P18" s="183">
        <f>IF($B18&gt;Inputs!$G$11,"",LOOKUP($B18,'Cash Flow'!$F$2:$AJ$2,'Cash Flow'!$F$41:$AJ$41))</f>
        <v>1.0871376433155371</v>
      </c>
      <c r="R18" s="392">
        <f>IF($B18&gt;Inputs!$G$11,"",D18+K18+L18)</f>
        <v>2214408.0004518637</v>
      </c>
      <c r="S18" s="393">
        <f>IF($B18&gt;Inputs!$G$11,"",-(E18+F18+G18))</f>
        <v>2569750.8026785571</v>
      </c>
    </row>
    <row r="19" spans="2:19">
      <c r="B19" s="180">
        <v>13</v>
      </c>
      <c r="C19" s="181">
        <f>IF($B19&gt;Inputs!$G$11,"",IF($B19&lt;=Inputs!$Q$7,LOOKUP($B19,'Cash Flow'!$F$2:$AJ$2,'Cash Flow'!$F$14:$AJ$14),LOOKUP($B19,'Cash Flow'!$F$2:$AJ$2,'Cash Flow'!$F$16:$AJ$16)))</f>
        <v>10.050000000000001</v>
      </c>
      <c r="D19" s="178">
        <f>IF($B19&gt;Inputs!$G$11,"",LOOKUP($B19,'Cash Flow'!$F$2:$AJ$2,'Cash Flow'!$F$23:$AJ$23))</f>
        <v>2676385.9369234331</v>
      </c>
      <c r="E19" s="178">
        <f>IF($B19&gt;Inputs!$G$11,"",LOOKUP($B19,'Cash Flow'!$F$2:$AJ$2,'Cash Flow'!$F$35:$AJ$35))</f>
        <v>-1188059.2665135474</v>
      </c>
      <c r="F19" s="178">
        <f>IF($B19&gt;Inputs!$G$11,"",LOOKUP($B19,'Cash Flow'!$F$2:$AJ$2,'Cash Flow'!$F$85:$AJ$85))</f>
        <v>-1372432.8087625816</v>
      </c>
      <c r="G19" s="178">
        <f>IF($B19&gt;Inputs!$G$11,"",LOOKUP($B19,'Cash Flow'!$F$2:$AJ$2,'Cash Flow'!$F$47:$AJ$47)+LOOKUP($B19,'Cash Flow'!$F$2:$AJ$2,'Cash Flow'!$F$48:$AJ$48))</f>
        <v>-25000</v>
      </c>
      <c r="H19" s="178">
        <f>IF($B19&gt;Inputs!$G$11,"",SUM(D19:G19))</f>
        <v>90893.861647304147</v>
      </c>
      <c r="I19" s="178">
        <f>IF($B19&gt;Inputs!$G$11,"",LOOKUP($B19,'Cash Flow'!$F$2:$AJ$2,'Cash Flow'!$F$60:$AJ$60))</f>
        <v>1216529.2333655481</v>
      </c>
      <c r="J19" s="178">
        <f>IF($B19&gt;Inputs!$G$11,"",LOOKUP($B19,'Cash Flow'!$F$2:$AJ$2,'Cash Flow'!$F$61:$AJ$61))</f>
        <v>1216529.2333655481</v>
      </c>
      <c r="K19" s="178">
        <f>IF($B19&gt;Inputs!$G$11,"",LOOKUP($B19,'Cash Flow'!$F$2:$AJ$2,'Cash Flow'!$F$63:$AJ$63)+LOOKUP($B19,'Cash Flow'!$F$2:$AJ$2,'Cash Flow'!$F$65:$AJ$65))</f>
        <v>-389593.48698531679</v>
      </c>
      <c r="L19" s="178">
        <f>IF($B19&gt;Inputs!$G$11,"",LOOKUP($B19,'Cash Flow'!$F$2:$AJ$2,'Cash Flow'!$F$64:$AJ$64)+LOOKUP($B19,'Cash Flow'!$F$2:$AJ$2,'Cash Flow'!$F$66:$AJ$66))</f>
        <v>-103404.9848360716</v>
      </c>
      <c r="M19" s="178">
        <f>IF($B19&gt;Inputs!$G$11,"",H19+K19+L19)</f>
        <v>-402104.61017408426</v>
      </c>
      <c r="N19" s="178">
        <f>IF($B19&gt;Inputs!$G$11,N18,N18+M19)</f>
        <v>915079.36266595987</v>
      </c>
      <c r="O19" s="182">
        <f>IF($B19&gt;Inputs!$G$11,"",LOOKUP($B19,'Cash Flow'!$F$2:$AJ$2,'Cash Flow'!$F$68:$AJ$68))</f>
        <v>0.12363281116472125</v>
      </c>
      <c r="P19" s="183">
        <f>IF($B19&gt;Inputs!$G$11,"",LOOKUP($B19,'Cash Flow'!$F$2:$AJ$2,'Cash Flow'!$F$41:$AJ$41))</f>
        <v>1.0662282780380747</v>
      </c>
      <c r="R19" s="392">
        <f>IF($B19&gt;Inputs!$G$11,"",D19+K19+L19)</f>
        <v>2183387.4651020444</v>
      </c>
      <c r="S19" s="393">
        <f>IF($B19&gt;Inputs!$G$11,"",-(E19+F19+G19))</f>
        <v>2585492.0752761289</v>
      </c>
    </row>
    <row r="20" spans="2:19">
      <c r="B20" s="186">
        <v>14</v>
      </c>
      <c r="C20" s="181">
        <f>IF($B20&gt;Inputs!$G$11,"",IF($B20&lt;=Inputs!$Q$7,LOOKUP($B20,'Cash Flow'!$F$2:$AJ$2,'Cash Flow'!$F$14:$AJ$14),LOOKUP($B20,'Cash Flow'!$F$2:$AJ$2,'Cash Flow'!$F$16:$AJ$16)))</f>
        <v>10.050000000000001</v>
      </c>
      <c r="D20" s="178">
        <f>IF($B20&gt;Inputs!$G$11,"",LOOKUP($B20,'Cash Flow'!$F$2:$AJ$2,'Cash Flow'!$F$23:$AJ$23))</f>
        <v>2663497.1627354128</v>
      </c>
      <c r="E20" s="178">
        <f>IF($B20&gt;Inputs!$G$11,"",LOOKUP($B20,'Cash Flow'!$F$2:$AJ$2,'Cash Flow'!$F$35:$AJ$35))</f>
        <v>-1204062.7000851512</v>
      </c>
      <c r="F20" s="178">
        <f>IF($B20&gt;Inputs!$G$11,"",LOOKUP($B20,'Cash Flow'!$F$2:$AJ$2,'Cash Flow'!$F$85:$AJ$85))</f>
        <v>-1372432.8087625816</v>
      </c>
      <c r="G20" s="178">
        <f>IF($B20&gt;Inputs!$G$11,"",LOOKUP($B20,'Cash Flow'!$F$2:$AJ$2,'Cash Flow'!$F$47:$AJ$47)+LOOKUP($B20,'Cash Flow'!$F$2:$AJ$2,'Cash Flow'!$F$48:$AJ$48))</f>
        <v>-25000</v>
      </c>
      <c r="H20" s="178">
        <f>IF($B20&gt;Inputs!$G$11,"",SUM(D20:G20))</f>
        <v>62001.653887680033</v>
      </c>
      <c r="I20" s="178">
        <f>IF($B20&gt;Inputs!$G$11,"",LOOKUP($B20,'Cash Flow'!$F$2:$AJ$2,'Cash Flow'!$F$60:$AJ$60))</f>
        <v>1266076.1847637012</v>
      </c>
      <c r="J20" s="178">
        <f>IF($B20&gt;Inputs!$G$11,"",LOOKUP($B20,'Cash Flow'!$F$2:$AJ$2,'Cash Flow'!$F$61:$AJ$61))</f>
        <v>1266076.1847637012</v>
      </c>
      <c r="K20" s="178">
        <f>IF($B20&gt;Inputs!$G$11,"",LOOKUP($B20,'Cash Flow'!$F$2:$AJ$2,'Cash Flow'!$F$63:$AJ$63)+LOOKUP($B20,'Cash Flow'!$F$2:$AJ$2,'Cash Flow'!$F$65:$AJ$65))</f>
        <v>-405460.89817057527</v>
      </c>
      <c r="L20" s="178">
        <f>IF($B20&gt;Inputs!$G$11,"",LOOKUP($B20,'Cash Flow'!$F$2:$AJ$2,'Cash Flow'!$F$64:$AJ$64)+LOOKUP($B20,'Cash Flow'!$F$2:$AJ$2,'Cash Flow'!$F$66:$AJ$66))</f>
        <v>-107616.47570491461</v>
      </c>
      <c r="M20" s="178">
        <f>IF($B20&gt;Inputs!$G$11,"",H20+K20+L20)</f>
        <v>-451075.71998780983</v>
      </c>
      <c r="N20" s="178">
        <f>IF($B20&gt;Inputs!$G$11,N19,N19+M20)</f>
        <v>464003.64267815003</v>
      </c>
      <c r="O20" s="182">
        <f>IF($B20&gt;Inputs!$G$11,"",LOOKUP($B20,'Cash Flow'!$F$2:$AJ$2,'Cash Flow'!$F$68:$AJ$68))</f>
        <v>0.11376340959850803</v>
      </c>
      <c r="P20" s="183">
        <f>IF($B20&gt;Inputs!$G$11,"",LOOKUP($B20,'Cash Flow'!$F$2:$AJ$2,'Cash Flow'!$F$41:$AJ$41))</f>
        <v>1.0451764585426824</v>
      </c>
      <c r="R20" s="392">
        <f>IF($B20&gt;Inputs!$G$11,"",D20+K20+L20)</f>
        <v>2150419.7888599229</v>
      </c>
      <c r="S20" s="393">
        <f>IF($B20&gt;Inputs!$G$11,"",-(E20+F20+G20))</f>
        <v>2601495.508847733</v>
      </c>
    </row>
    <row r="21" spans="2:19">
      <c r="B21" s="180">
        <v>15</v>
      </c>
      <c r="C21" s="181">
        <f>IF($B21&gt;Inputs!$G$11,"",IF($B21&lt;=Inputs!$Q$7,LOOKUP($B21,'Cash Flow'!$F$2:$AJ$2,'Cash Flow'!$F$14:$AJ$14),LOOKUP($B21,'Cash Flow'!$F$2:$AJ$2,'Cash Flow'!$F$16:$AJ$16)))</f>
        <v>10.050000000000001</v>
      </c>
      <c r="D21" s="178">
        <f>IF($B21&gt;Inputs!$G$11,"",LOOKUP($B21,'Cash Flow'!$F$2:$AJ$2,'Cash Flow'!$F$23:$AJ$23))</f>
        <v>2650674.7074183323</v>
      </c>
      <c r="E21" s="178">
        <f>IF($B21&gt;Inputs!$G$11,"",LOOKUP($B21,'Cash Flow'!$F$2:$AJ$2,'Cash Flow'!$F$35:$AJ$35))</f>
        <v>-1220332.5541929344</v>
      </c>
      <c r="F21" s="178">
        <f>IF($B21&gt;Inputs!$G$11,"",LOOKUP($B21,'Cash Flow'!$F$2:$AJ$2,'Cash Flow'!$F$85:$AJ$85))</f>
        <v>-1372432.8087625816</v>
      </c>
      <c r="G21" s="178">
        <f>IF($B21&gt;Inputs!$G$11,"",LOOKUP($B21,'Cash Flow'!$F$2:$AJ$2,'Cash Flow'!$F$47:$AJ$47)+LOOKUP($B21,'Cash Flow'!$F$2:$AJ$2,'Cash Flow'!$F$48:$AJ$48))</f>
        <v>-25000</v>
      </c>
      <c r="H21" s="178">
        <f>IF($B21&gt;Inputs!$G$11,"",SUM(D21:G21))</f>
        <v>32909.344462816371</v>
      </c>
      <c r="I21" s="178">
        <f>IF($B21&gt;Inputs!$G$11,"",LOOKUP($B21,'Cash Flow'!$F$2:$AJ$2,'Cash Flow'!$F$60:$AJ$60))</f>
        <v>1320878.2130376589</v>
      </c>
      <c r="J21" s="178">
        <f>IF($B21&gt;Inputs!$G$11,"",LOOKUP($B21,'Cash Flow'!$F$2:$AJ$2,'Cash Flow'!$F$61:$AJ$61))</f>
        <v>1320878.2130376589</v>
      </c>
      <c r="K21" s="178">
        <f>IF($B21&gt;Inputs!$G$11,"",LOOKUP($B21,'Cash Flow'!$F$2:$AJ$2,'Cash Flow'!$F$63:$AJ$63)+LOOKUP($B21,'Cash Flow'!$F$2:$AJ$2,'Cash Flow'!$F$65:$AJ$65))</f>
        <v>-423011.24772531021</v>
      </c>
      <c r="L21" s="178">
        <f>IF($B21&gt;Inputs!$G$11,"",LOOKUP($B21,'Cash Flow'!$F$2:$AJ$2,'Cash Flow'!$F$64:$AJ$64)+LOOKUP($B21,'Cash Flow'!$F$2:$AJ$2,'Cash Flow'!$F$66:$AJ$66))</f>
        <v>-112274.64810820101</v>
      </c>
      <c r="M21" s="178">
        <f>IF($B21&gt;Inputs!$G$11,"",H21+K21+L21)</f>
        <v>-502376.55137069488</v>
      </c>
      <c r="N21" s="178">
        <f>IF($B21&gt;Inputs!$G$11,N20,N20+M21)</f>
        <v>-38372.90869254485</v>
      </c>
      <c r="O21" s="182">
        <f>IF($B21&gt;Inputs!$G$11,"",LOOKUP($B21,'Cash Flow'!$F$2:$AJ$2,'Cash Flow'!$F$68:$AJ$68))</f>
        <v>9.9514156730814388E-2</v>
      </c>
      <c r="P21" s="183">
        <f>IF($B21&gt;Inputs!$G$11,"",LOOKUP($B21,'Cash Flow'!$F$2:$AJ$2,'Cash Flow'!$F$41:$AJ$41))</f>
        <v>1.0239788383465478</v>
      </c>
      <c r="R21" s="392">
        <f>IF($B21&gt;Inputs!$G$11,"",D21+K21+L21)</f>
        <v>2115388.811584821</v>
      </c>
      <c r="S21" s="393">
        <f>IF($B21&gt;Inputs!$G$11,"",-(E21+F21+G21))</f>
        <v>2617765.3629555162</v>
      </c>
    </row>
    <row r="22" spans="2:19">
      <c r="B22" s="180">
        <v>16</v>
      </c>
      <c r="C22" s="181">
        <f>IF($B22&gt;Inputs!$G$11,"",IF($B22&lt;=Inputs!$Q$7,LOOKUP($B22,'Cash Flow'!$F$2:$AJ$2,'Cash Flow'!$F$14:$AJ$14),LOOKUP($B22,'Cash Flow'!$F$2:$AJ$2,'Cash Flow'!$F$16:$AJ$16)))</f>
        <v>10.050000000000001</v>
      </c>
      <c r="D22" s="178">
        <f>IF($B22&gt;Inputs!$G$11,"",LOOKUP($B22,'Cash Flow'!$F$2:$AJ$2,'Cash Flow'!$F$23:$AJ$23))</f>
        <v>2632771.6163449776</v>
      </c>
      <c r="E22" s="178">
        <f>IF($B22&gt;Inputs!$G$11,"",LOOKUP($B22,'Cash Flow'!$F$2:$AJ$2,'Cash Flow'!$F$35:$AJ$35))</f>
        <v>-1236873.1599285754</v>
      </c>
      <c r="F22" s="178">
        <f>IF($B22&gt;Inputs!$G$11,"",LOOKUP($B22,'Cash Flow'!$F$2:$AJ$2,'Cash Flow'!$F$85:$AJ$85))</f>
        <v>0</v>
      </c>
      <c r="G22" s="178">
        <f>IF($B22&gt;Inputs!$G$11,"",LOOKUP($B22,'Cash Flow'!$F$2:$AJ$2,'Cash Flow'!$F$47:$AJ$47)+LOOKUP($B22,'Cash Flow'!$F$2:$AJ$2,'Cash Flow'!$F$48:$AJ$48))</f>
        <v>661216.40438129078</v>
      </c>
      <c r="H22" s="178">
        <f>IF($B22&gt;Inputs!$G$11,"",SUM(D22:G22))</f>
        <v>2057114.860797693</v>
      </c>
      <c r="I22" s="178">
        <f>IF($B22&gt;Inputs!$G$11,"",LOOKUP($B22,'Cash Flow'!$F$2:$AJ$2,'Cash Flow'!$F$60:$AJ$60))</f>
        <v>1380988.3639164022</v>
      </c>
      <c r="J22" s="178">
        <f>IF($B22&gt;Inputs!$G$11,"",LOOKUP($B22,'Cash Flow'!$F$2:$AJ$2,'Cash Flow'!$F$61:$AJ$61))</f>
        <v>1380988.3639164022</v>
      </c>
      <c r="K22" s="178">
        <f>IF($B22&gt;Inputs!$G$11,"",LOOKUP($B22,'Cash Flow'!$F$2:$AJ$2,'Cash Flow'!$F$63:$AJ$63)+LOOKUP($B22,'Cash Flow'!$F$2:$AJ$2,'Cash Flow'!$F$65:$AJ$65))</f>
        <v>-442261.52354422776</v>
      </c>
      <c r="L22" s="178">
        <f>IF($B22&gt;Inputs!$G$11,"",LOOKUP($B22,'Cash Flow'!$F$2:$AJ$2,'Cash Flow'!$F$64:$AJ$64)+LOOKUP($B22,'Cash Flow'!$F$2:$AJ$2,'Cash Flow'!$F$66:$AJ$66))</f>
        <v>-117384.01093289419</v>
      </c>
      <c r="M22" s="178">
        <f>IF($B22&gt;Inputs!$G$11,"",H22+K22+L22)</f>
        <v>1497469.3263205711</v>
      </c>
      <c r="N22" s="178">
        <f>IF($B22&gt;Inputs!$G$11,N21,N21+M22)</f>
        <v>1459096.4176280263</v>
      </c>
      <c r="O22" s="182">
        <f>IF($B22&gt;Inputs!$G$11,"",LOOKUP($B22,'Cash Flow'!$F$2:$AJ$2,'Cash Flow'!$F$68:$AJ$68))</f>
        <v>0.12865441768322278</v>
      </c>
      <c r="P22" s="183" t="str">
        <f>IF($B22&gt;Inputs!$G$11,"",LOOKUP($B22,'Cash Flow'!$F$2:$AJ$2,'Cash Flow'!$F$41:$AJ$41))</f>
        <v>N/A</v>
      </c>
      <c r="R22" s="392">
        <f>IF($B22&gt;Inputs!$G$11,"",D22+K22+L22)</f>
        <v>2073126.0818678557</v>
      </c>
      <c r="S22" s="393">
        <f>IF($B22&gt;Inputs!$G$11,"",-(E22+F22+G22))</f>
        <v>575656.75554728461</v>
      </c>
    </row>
    <row r="23" spans="2:19">
      <c r="B23" s="186">
        <v>17</v>
      </c>
      <c r="C23" s="181">
        <f>IF($B23&gt;Inputs!$G$11,"",IF($B23&lt;=Inputs!$Q$7,LOOKUP($B23,'Cash Flow'!$F$2:$AJ$2,'Cash Flow'!$F$14:$AJ$14),LOOKUP($B23,'Cash Flow'!$F$2:$AJ$2,'Cash Flow'!$F$16:$AJ$16)))</f>
        <v>10.050000000000001</v>
      </c>
      <c r="D23" s="178">
        <f>IF($B23&gt;Inputs!$G$11,"",LOOKUP($B23,'Cash Flow'!$F$2:$AJ$2,'Cash Flow'!$F$23:$AJ$23))</f>
        <v>2614934.1826118254</v>
      </c>
      <c r="E23" s="178">
        <f>IF($B23&gt;Inputs!$G$11,"",LOOKUP($B23,'Cash Flow'!$F$2:$AJ$2,'Cash Flow'!$F$35:$AJ$35))</f>
        <v>-1253688.9211353413</v>
      </c>
      <c r="F23" s="178">
        <f>IF($B23&gt;Inputs!$G$11,"",LOOKUP($B23,'Cash Flow'!$F$2:$AJ$2,'Cash Flow'!$F$85:$AJ$85))</f>
        <v>0</v>
      </c>
      <c r="G23" s="178">
        <f>IF($B23&gt;Inputs!$G$11,"",LOOKUP($B23,'Cash Flow'!$F$2:$AJ$2,'Cash Flow'!$F$47:$AJ$47)+LOOKUP($B23,'Cash Flow'!$F$2:$AJ$2,'Cash Flow'!$F$48:$AJ$48))</f>
        <v>-25000</v>
      </c>
      <c r="H23" s="178">
        <f>IF($B23&gt;Inputs!$G$11,"",SUM(D23:G23))</f>
        <v>1336245.2614764841</v>
      </c>
      <c r="I23" s="178">
        <f>IF($B23&gt;Inputs!$G$11,"",LOOKUP($B23,'Cash Flow'!$F$2:$AJ$2,'Cash Flow'!$F$60:$AJ$60))</f>
        <v>1351085.4389764841</v>
      </c>
      <c r="J23" s="178">
        <f>IF($B23&gt;Inputs!$G$11,"",LOOKUP($B23,'Cash Flow'!$F$2:$AJ$2,'Cash Flow'!$F$61:$AJ$61))</f>
        <v>1351085.4389764841</v>
      </c>
      <c r="K23" s="178">
        <f>IF($B23&gt;Inputs!$G$11,"",LOOKUP($B23,'Cash Flow'!$F$2:$AJ$2,'Cash Flow'!$F$63:$AJ$63)+LOOKUP($B23,'Cash Flow'!$F$2:$AJ$2,'Cash Flow'!$F$65:$AJ$65))</f>
        <v>-432685.11183221906</v>
      </c>
      <c r="L23" s="178">
        <f>IF($B23&gt;Inputs!$G$11,"",LOOKUP($B23,'Cash Flow'!$F$2:$AJ$2,'Cash Flow'!$F$64:$AJ$64)+LOOKUP($B23,'Cash Flow'!$F$2:$AJ$2,'Cash Flow'!$F$66:$AJ$66))</f>
        <v>-114842.26231300116</v>
      </c>
      <c r="M23" s="178">
        <f>IF($B23&gt;Inputs!$G$11,"",H23+K23+L23)</f>
        <v>788717.88733126386</v>
      </c>
      <c r="N23" s="178">
        <f>IF($B23&gt;Inputs!$G$11,N22,N22+M23)</f>
        <v>2247814.3049592902</v>
      </c>
      <c r="O23" s="182">
        <f>IF($B23&gt;Inputs!$G$11,"",LOOKUP($B23,'Cash Flow'!$F$2:$AJ$2,'Cash Flow'!$F$68:$AJ$68))</f>
        <v>0.13665321408003195</v>
      </c>
      <c r="P23" s="183" t="str">
        <f>IF($B23&gt;Inputs!$G$11,"",LOOKUP($B23,'Cash Flow'!$F$2:$AJ$2,'Cash Flow'!$F$41:$AJ$41))</f>
        <v>N/A</v>
      </c>
      <c r="R23" s="392">
        <f>IF($B23&gt;Inputs!$G$11,"",D23+K23+L23)</f>
        <v>2067406.8084666051</v>
      </c>
      <c r="S23" s="393">
        <f>IF($B23&gt;Inputs!$G$11,"",-(E23+F23+G23))</f>
        <v>1278688.9211353413</v>
      </c>
    </row>
    <row r="24" spans="2:19">
      <c r="B24" s="180">
        <v>18</v>
      </c>
      <c r="C24" s="181">
        <f>IF($B24&gt;Inputs!$G$11,"",IF($B24&lt;=Inputs!$Q$7,LOOKUP($B24,'Cash Flow'!$F$2:$AJ$2,'Cash Flow'!$F$14:$AJ$14),LOOKUP($B24,'Cash Flow'!$F$2:$AJ$2,'Cash Flow'!$F$16:$AJ$16)))</f>
        <v>10.050000000000001</v>
      </c>
      <c r="D24" s="178">
        <f>IF($B24&gt;Inputs!$G$11,"",LOOKUP($B24,'Cash Flow'!$F$2:$AJ$2,'Cash Flow'!$F$23:$AJ$23))</f>
        <v>2602308.7009650343</v>
      </c>
      <c r="E24" s="178">
        <f>IF($B24&gt;Inputs!$G$11,"",LOOKUP($B24,'Cash Flow'!$F$2:$AJ$2,'Cash Flow'!$F$35:$AJ$35))</f>
        <v>-1270784.3156515053</v>
      </c>
      <c r="F24" s="178">
        <f>IF($B24&gt;Inputs!$G$11,"",LOOKUP($B24,'Cash Flow'!$F$2:$AJ$2,'Cash Flow'!$F$85:$AJ$85))</f>
        <v>0</v>
      </c>
      <c r="G24" s="178">
        <f>IF($B24&gt;Inputs!$G$11,"",LOOKUP($B24,'Cash Flow'!$F$2:$AJ$2,'Cash Flow'!$F$47:$AJ$47)+LOOKUP($B24,'Cash Flow'!$F$2:$AJ$2,'Cash Flow'!$F$48:$AJ$48))</f>
        <v>-25000</v>
      </c>
      <c r="H24" s="178">
        <f>IF($B24&gt;Inputs!$G$11,"",SUM(D24:G24))</f>
        <v>1306524.3853135291</v>
      </c>
      <c r="I24" s="178">
        <f>IF($B24&gt;Inputs!$G$11,"",LOOKUP($B24,'Cash Flow'!$F$2:$AJ$2,'Cash Flow'!$F$60:$AJ$60))</f>
        <v>1321365.636563529</v>
      </c>
      <c r="J24" s="178">
        <f>IF($B24&gt;Inputs!$G$11,"",LOOKUP($B24,'Cash Flow'!$F$2:$AJ$2,'Cash Flow'!$F$61:$AJ$61))</f>
        <v>1321365.636563529</v>
      </c>
      <c r="K24" s="178">
        <f>IF($B24&gt;Inputs!$G$11,"",LOOKUP($B24,'Cash Flow'!$F$2:$AJ$2,'Cash Flow'!$F$63:$AJ$63)+LOOKUP($B24,'Cash Flow'!$F$2:$AJ$2,'Cash Flow'!$F$65:$AJ$65))</f>
        <v>-423167.34510947019</v>
      </c>
      <c r="L24" s="178">
        <f>IF($B24&gt;Inputs!$G$11,"",LOOKUP($B24,'Cash Flow'!$F$2:$AJ$2,'Cash Flow'!$F$64:$AJ$64)+LOOKUP($B24,'Cash Flow'!$F$2:$AJ$2,'Cash Flow'!$F$66:$AJ$66))</f>
        <v>-112316.07910789998</v>
      </c>
      <c r="M24" s="178">
        <f>IF($B24&gt;Inputs!$G$11,"",H24+K24+L24)</f>
        <v>771040.96109615895</v>
      </c>
      <c r="N24" s="178">
        <f>IF($B24&gt;Inputs!$G$11,N23,N23+M24)</f>
        <v>3018855.2660554489</v>
      </c>
      <c r="O24" s="182">
        <f>IF($B24&gt;Inputs!$G$11,"",LOOKUP($B24,'Cash Flow'!$F$2:$AJ$2,'Cash Flow'!$F$68:$AJ$68))</f>
        <v>0.14231737642480249</v>
      </c>
      <c r="P24" s="183" t="str">
        <f>IF($B24&gt;Inputs!$G$11,"",LOOKUP($B24,'Cash Flow'!$F$2:$AJ$2,'Cash Flow'!$F$41:$AJ$41))</f>
        <v>N/A</v>
      </c>
      <c r="R24" s="392">
        <f>IF($B24&gt;Inputs!$G$11,"",D24+K24+L24)</f>
        <v>2066825.2767476642</v>
      </c>
      <c r="S24" s="393">
        <f>IF($B24&gt;Inputs!$G$11,"",-(E24+F24+G24))</f>
        <v>1295784.3156515053</v>
      </c>
    </row>
    <row r="25" spans="2:19">
      <c r="B25" s="180">
        <v>19</v>
      </c>
      <c r="C25" s="181">
        <f>IF($B25&gt;Inputs!$G$11,"",IF($B25&lt;=Inputs!$Q$7,LOOKUP($B25,'Cash Flow'!$F$2:$AJ$2,'Cash Flow'!$F$14:$AJ$14),LOOKUP($B25,'Cash Flow'!$F$2:$AJ$2,'Cash Flow'!$F$16:$AJ$16)))</f>
        <v>10.050000000000001</v>
      </c>
      <c r="D25" s="178">
        <f>IF($B25&gt;Inputs!$G$11,"",LOOKUP($B25,'Cash Flow'!$F$2:$AJ$2,'Cash Flow'!$F$23:$AJ$23))</f>
        <v>2589748.2217264771</v>
      </c>
      <c r="E25" s="178">
        <f>IF($B25&gt;Inputs!$G$11,"",LOOKUP($B25,'Cash Flow'!$F$2:$AJ$2,'Cash Flow'!$F$35:$AJ$35))</f>
        <v>-1288163.8965755005</v>
      </c>
      <c r="F25" s="178">
        <f>IF($B25&gt;Inputs!$G$11,"",LOOKUP($B25,'Cash Flow'!$F$2:$AJ$2,'Cash Flow'!$F$85:$AJ$85))</f>
        <v>0</v>
      </c>
      <c r="G25" s="178">
        <f>IF($B25&gt;Inputs!$G$11,"",LOOKUP($B25,'Cash Flow'!$F$2:$AJ$2,'Cash Flow'!$F$47:$AJ$47)+LOOKUP($B25,'Cash Flow'!$F$2:$AJ$2,'Cash Flow'!$F$48:$AJ$48))</f>
        <v>-25000</v>
      </c>
      <c r="H25" s="178">
        <f>IF($B25&gt;Inputs!$G$11,"",SUM(D25:G25))</f>
        <v>1276584.3251509767</v>
      </c>
      <c r="I25" s="178">
        <f>IF($B25&gt;Inputs!$G$11,"",LOOKUP($B25,'Cash Flow'!$F$2:$AJ$2,'Cash Flow'!$F$60:$AJ$60))</f>
        <v>1291424.5026509766</v>
      </c>
      <c r="J25" s="178">
        <f>IF($B25&gt;Inputs!$G$11,"",LOOKUP($B25,'Cash Flow'!$F$2:$AJ$2,'Cash Flow'!$F$61:$AJ$61))</f>
        <v>1291424.5026509766</v>
      </c>
      <c r="K25" s="178">
        <f>IF($B25&gt;Inputs!$G$11,"",LOOKUP($B25,'Cash Flow'!$F$2:$AJ$2,'Cash Flow'!$F$63:$AJ$63)+LOOKUP($B25,'Cash Flow'!$F$2:$AJ$2,'Cash Flow'!$F$65:$AJ$65))</f>
        <v>-413578.69697397522</v>
      </c>
      <c r="L25" s="178">
        <f>IF($B25&gt;Inputs!$G$11,"",LOOKUP($B25,'Cash Flow'!$F$2:$AJ$2,'Cash Flow'!$F$64:$AJ$64)+LOOKUP($B25,'Cash Flow'!$F$2:$AJ$2,'Cash Flow'!$F$66:$AJ$66))</f>
        <v>-109771.08272533302</v>
      </c>
      <c r="M25" s="178">
        <f>IF($B25&gt;Inputs!$G$11,"",H25+K25+L25)</f>
        <v>753234.54545166832</v>
      </c>
      <c r="N25" s="178">
        <f>IF($B25&gt;Inputs!$G$11,N24,N24+M25)</f>
        <v>3772089.811507117</v>
      </c>
      <c r="O25" s="182">
        <f>IF($B25&gt;Inputs!$G$11,"",LOOKUP($B25,'Cash Flow'!$F$2:$AJ$2,'Cash Flow'!$F$68:$AJ$68))</f>
        <v>0.14651693508654215</v>
      </c>
      <c r="P25" s="183" t="str">
        <f>IF($B25&gt;Inputs!$G$11,"",LOOKUP($B25,'Cash Flow'!$F$2:$AJ$2,'Cash Flow'!$F$41:$AJ$41))</f>
        <v>N/A</v>
      </c>
      <c r="R25" s="392">
        <f>IF($B25&gt;Inputs!$G$11,"",D25+K25+L25)</f>
        <v>2066398.4420271688</v>
      </c>
      <c r="S25" s="393">
        <f>IF($B25&gt;Inputs!$G$11,"",-(E25+F25+G25))</f>
        <v>1313163.8965755005</v>
      </c>
    </row>
    <row r="26" spans="2:19">
      <c r="B26" s="186">
        <v>20</v>
      </c>
      <c r="C26" s="181">
        <f>IF($B26&gt;Inputs!$G$11,"",IF($B26&lt;=Inputs!$Q$7,LOOKUP($B26,'Cash Flow'!$F$2:$AJ$2,'Cash Flow'!$F$14:$AJ$14),LOOKUP($B26,'Cash Flow'!$F$2:$AJ$2,'Cash Flow'!$F$16:$AJ$16)))</f>
        <v>10.050000000000001</v>
      </c>
      <c r="D26" s="178">
        <f>IF($B26&gt;Inputs!$G$11,"",LOOKUP($B26,'Cash Flow'!$F$2:$AJ$2,'Cash Flow'!$F$23:$AJ$23))</f>
        <v>2572927.2432573014</v>
      </c>
      <c r="E26" s="178">
        <f>IF($B26&gt;Inputs!$G$11,"",LOOKUP($B26,'Cash Flow'!$F$2:$AJ$2,'Cash Flow'!$F$35:$AJ$35))</f>
        <v>-1305832.2935532064</v>
      </c>
      <c r="F26" s="178">
        <f>IF($B26&gt;Inputs!$G$11,"",LOOKUP($B26,'Cash Flow'!$F$2:$AJ$2,'Cash Flow'!$F$85:$AJ$85))</f>
        <v>0</v>
      </c>
      <c r="G26" s="178">
        <f>IF($B26&gt;Inputs!$G$11,"",LOOKUP($B26,'Cash Flow'!$F$2:$AJ$2,'Cash Flow'!$F$47:$AJ$47)+LOOKUP($B26,'Cash Flow'!$F$2:$AJ$2,'Cash Flow'!$F$48:$AJ$48))</f>
        <v>551690.21690823347</v>
      </c>
      <c r="H26" s="178">
        <f>IF($B26&gt;Inputs!$G$11,"",SUM(D26:G26))</f>
        <v>1818785.1666123285</v>
      </c>
      <c r="I26" s="178">
        <f>IF($B26&gt;Inputs!$G$11,"",LOOKUP($B26,'Cash Flow'!$F$2:$AJ$2,'Cash Flow'!$F$60:$AJ$60))</f>
        <v>1256936.200954095</v>
      </c>
      <c r="J26" s="178">
        <f>IF($B26&gt;Inputs!$G$11,"",LOOKUP($B26,'Cash Flow'!$F$2:$AJ$2,'Cash Flow'!$F$61:$AJ$61))</f>
        <v>1256936.200954095</v>
      </c>
      <c r="K26" s="178">
        <f>IF($B26&gt;Inputs!$G$11,"",LOOKUP($B26,'Cash Flow'!$F$2:$AJ$2,'Cash Flow'!$F$63:$AJ$63)+LOOKUP($B26,'Cash Flow'!$F$2:$AJ$2,'Cash Flow'!$F$65:$AJ$65))</f>
        <v>-402533.81835554895</v>
      </c>
      <c r="L26" s="178">
        <f>IF($B26&gt;Inputs!$G$11,"",LOOKUP($B26,'Cash Flow'!$F$2:$AJ$2,'Cash Flow'!$F$64:$AJ$64)+LOOKUP($B26,'Cash Flow'!$F$2:$AJ$2,'Cash Flow'!$F$66:$AJ$66))</f>
        <v>-106839.57708109808</v>
      </c>
      <c r="M26" s="178">
        <f>IF($B26&gt;Inputs!$G$11,"",H26+K26+L26)</f>
        <v>1309411.7711756816</v>
      </c>
      <c r="N26" s="178">
        <f>IF($B26&gt;Inputs!$G$11,N25,N25+M26)</f>
        <v>5081501.5826827986</v>
      </c>
      <c r="O26" s="182">
        <f>IF($B26&gt;Inputs!$G$11,"",LOOKUP($B26,'Cash Flow'!$F$2:$AJ$2,'Cash Flow'!$F$68:$AJ$68))</f>
        <v>0.1520218252936682</v>
      </c>
      <c r="P26" s="183" t="str">
        <f>IF($B26&gt;Inputs!$G$11,"",LOOKUP($B26,'Cash Flow'!$F$2:$AJ$2,'Cash Flow'!$F$41:$AJ$41))</f>
        <v>N/A</v>
      </c>
      <c r="R26" s="392">
        <f>IF($B26&gt;Inputs!$G$11,"",D26+K26+L26)</f>
        <v>2063553.8478206543</v>
      </c>
      <c r="S26" s="393">
        <f>IF($B26&gt;Inputs!$G$11,"",-(E26+F26+G26))</f>
        <v>754142.0766449729</v>
      </c>
    </row>
    <row r="27" spans="2:19">
      <c r="B27" s="180">
        <v>21</v>
      </c>
      <c r="C27" s="181" t="str">
        <f>IF($B27&gt;Inputs!$G$11,"",IF($B27&lt;=Inputs!$Q$7,LOOKUP($B27,'Cash Flow'!$F$2:$AJ$2,'Cash Flow'!$F$14:$AJ$14),LOOKUP($B27,'Cash Flow'!$F$2:$AJ$2,'Cash Flow'!$F$16:$AJ$16)))</f>
        <v/>
      </c>
      <c r="D27" s="178" t="str">
        <f>IF($B27&gt;Inputs!$G$11,"",LOOKUP($B27,'Cash Flow'!$F$2:$AJ$2,'Cash Flow'!$F$23:$AJ$23))</f>
        <v/>
      </c>
      <c r="E27" s="178" t="str">
        <f>IF($B27&gt;Inputs!$G$11,"",LOOKUP($B27,'Cash Flow'!$F$2:$AJ$2,'Cash Flow'!$F$35:$AJ$35))</f>
        <v/>
      </c>
      <c r="F27" s="178" t="str">
        <f>IF($B27&gt;Inputs!$G$11,"",LOOKUP($B27,'Cash Flow'!$F$2:$AJ$2,'Cash Flow'!$F$85:$AJ$85))</f>
        <v/>
      </c>
      <c r="G27" s="178" t="str">
        <f>IF($B27&gt;Inputs!$G$11,"",LOOKUP($B27,'Cash Flow'!$F$2:$AJ$2,'Cash Flow'!$F$47:$AJ$47)+LOOKUP($B27,'Cash Flow'!$F$2:$AJ$2,'Cash Flow'!$F$48:$AJ$48))</f>
        <v/>
      </c>
      <c r="H27" s="178" t="str">
        <f>IF($B27&gt;Inputs!$G$11,"",SUM(D27:G27))</f>
        <v/>
      </c>
      <c r="I27" s="178" t="str">
        <f>IF($B27&gt;Inputs!$G$11,"",LOOKUP($B27,'Cash Flow'!$F$2:$AJ$2,'Cash Flow'!$F$60:$AJ$60))</f>
        <v/>
      </c>
      <c r="J27" s="178" t="str">
        <f>IF($B27&gt;Inputs!$G$11,"",LOOKUP($B27,'Cash Flow'!$F$2:$AJ$2,'Cash Flow'!$F$61:$AJ$61))</f>
        <v/>
      </c>
      <c r="K27" s="178" t="str">
        <f>IF($B27&gt;Inputs!$G$11,"",LOOKUP($B27,'Cash Flow'!$F$2:$AJ$2,'Cash Flow'!$F$63:$AJ$63)+LOOKUP($B27,'Cash Flow'!$F$2:$AJ$2,'Cash Flow'!$F$65:$AJ$65))</f>
        <v/>
      </c>
      <c r="L27" s="178" t="str">
        <f>IF($B27&gt;Inputs!$G$11,"",LOOKUP($B27,'Cash Flow'!$F$2:$AJ$2,'Cash Flow'!$F$64:$AJ$64)+LOOKUP($B27,'Cash Flow'!$F$2:$AJ$2,'Cash Flow'!$F$66:$AJ$66))</f>
        <v/>
      </c>
      <c r="M27" s="178" t="str">
        <f>IF($B27&gt;Inputs!$G$11,"",H27+K27+L27)</f>
        <v/>
      </c>
      <c r="N27" s="178">
        <f>IF($B27&gt;Inputs!$G$11,N26,N26+M27)</f>
        <v>5081501.5826827986</v>
      </c>
      <c r="O27" s="182" t="str">
        <f>IF($B27&gt;Inputs!$G$11,"",LOOKUP($B27,'Cash Flow'!$F$2:$AJ$2,'Cash Flow'!$F$68:$AJ$68))</f>
        <v/>
      </c>
      <c r="P27" s="183" t="str">
        <f>IF($B27&gt;Inputs!$G$11,"",LOOKUP($B27,'Cash Flow'!$F$2:$AJ$2,'Cash Flow'!$F$41:$AJ$41))</f>
        <v/>
      </c>
      <c r="R27" s="392" t="str">
        <f>IF($B27&gt;Inputs!$G$11,"",D27+K27+L27)</f>
        <v/>
      </c>
      <c r="S27" s="393" t="str">
        <f>IF($B27&gt;Inputs!$G$11,"",-(E27+F27+G27))</f>
        <v/>
      </c>
    </row>
    <row r="28" spans="2:19">
      <c r="B28" s="180">
        <v>22</v>
      </c>
      <c r="C28" s="181" t="str">
        <f>IF($B28&gt;Inputs!$G$11,"",IF($B28&lt;=Inputs!$Q$7,LOOKUP($B28,'Cash Flow'!$F$2:$AJ$2,'Cash Flow'!$F$14:$AJ$14),LOOKUP($B28,'Cash Flow'!$F$2:$AJ$2,'Cash Flow'!$F$16:$AJ$16)))</f>
        <v/>
      </c>
      <c r="D28" s="178" t="str">
        <f>IF($B28&gt;Inputs!$G$11,"",LOOKUP($B28,'Cash Flow'!$F$2:$AJ$2,'Cash Flow'!$F$23:$AJ$23))</f>
        <v/>
      </c>
      <c r="E28" s="178" t="str">
        <f>IF($B28&gt;Inputs!$G$11,"",LOOKUP($B28,'Cash Flow'!$F$2:$AJ$2,'Cash Flow'!$F$35:$AJ$35))</f>
        <v/>
      </c>
      <c r="F28" s="178" t="str">
        <f>IF($B28&gt;Inputs!$G$11,"",LOOKUP($B28,'Cash Flow'!$F$2:$AJ$2,'Cash Flow'!$F$85:$AJ$85))</f>
        <v/>
      </c>
      <c r="G28" s="178" t="str">
        <f>IF($B28&gt;Inputs!$G$11,"",LOOKUP($B28,'Cash Flow'!$F$2:$AJ$2,'Cash Flow'!$F$47:$AJ$47)+LOOKUP($B28,'Cash Flow'!$F$2:$AJ$2,'Cash Flow'!$F$48:$AJ$48))</f>
        <v/>
      </c>
      <c r="H28" s="178" t="str">
        <f>IF($B28&gt;Inputs!$G$11,"",SUM(D28:G28))</f>
        <v/>
      </c>
      <c r="I28" s="178" t="str">
        <f>IF($B28&gt;Inputs!$G$11,"",LOOKUP($B28,'Cash Flow'!$F$2:$AJ$2,'Cash Flow'!$F$60:$AJ$60))</f>
        <v/>
      </c>
      <c r="J28" s="178" t="str">
        <f>IF($B28&gt;Inputs!$G$11,"",LOOKUP($B28,'Cash Flow'!$F$2:$AJ$2,'Cash Flow'!$F$61:$AJ$61))</f>
        <v/>
      </c>
      <c r="K28" s="178" t="str">
        <f>IF($B28&gt;Inputs!$G$11,"",LOOKUP($B28,'Cash Flow'!$F$2:$AJ$2,'Cash Flow'!$F$63:$AJ$63)+LOOKUP($B28,'Cash Flow'!$F$2:$AJ$2,'Cash Flow'!$F$65:$AJ$65))</f>
        <v/>
      </c>
      <c r="L28" s="178" t="str">
        <f>IF($B28&gt;Inputs!$G$11,"",LOOKUP($B28,'Cash Flow'!$F$2:$AJ$2,'Cash Flow'!$F$64:$AJ$64)+LOOKUP($B28,'Cash Flow'!$F$2:$AJ$2,'Cash Flow'!$F$66:$AJ$66))</f>
        <v/>
      </c>
      <c r="M28" s="178" t="str">
        <f>IF($B28&gt;Inputs!$G$11,"",H28+K28+L28)</f>
        <v/>
      </c>
      <c r="N28" s="178">
        <f>IF($B28&gt;Inputs!$G$11,N27,N27+M28)</f>
        <v>5081501.5826827986</v>
      </c>
      <c r="O28" s="182" t="str">
        <f>IF($B28&gt;Inputs!$G$11,"",LOOKUP($B28,'Cash Flow'!$F$2:$AJ$2,'Cash Flow'!$F$68:$AJ$68))</f>
        <v/>
      </c>
      <c r="P28" s="183" t="str">
        <f>IF($B28&gt;Inputs!$G$11,"",LOOKUP($B28,'Cash Flow'!$F$2:$AJ$2,'Cash Flow'!$F$41:$AJ$41))</f>
        <v/>
      </c>
      <c r="R28" s="392" t="str">
        <f>IF($B28&gt;Inputs!$G$11,"",D28+K28+L28)</f>
        <v/>
      </c>
      <c r="S28" s="393" t="str">
        <f>IF($B28&gt;Inputs!$G$11,"",-(E28+F28+G28))</f>
        <v/>
      </c>
    </row>
    <row r="29" spans="2:19">
      <c r="B29" s="186">
        <v>23</v>
      </c>
      <c r="C29" s="181" t="str">
        <f>IF($B29&gt;Inputs!$G$11,"",IF($B29&lt;=Inputs!$Q$7,LOOKUP($B29,'Cash Flow'!$F$2:$AJ$2,'Cash Flow'!$F$14:$AJ$14),LOOKUP($B29,'Cash Flow'!$F$2:$AJ$2,'Cash Flow'!$F$16:$AJ$16)))</f>
        <v/>
      </c>
      <c r="D29" s="178" t="str">
        <f>IF($B29&gt;Inputs!$G$11,"",LOOKUP($B29,'Cash Flow'!$F$2:$AJ$2,'Cash Flow'!$F$23:$AJ$23))</f>
        <v/>
      </c>
      <c r="E29" s="178" t="str">
        <f>IF($B29&gt;Inputs!$G$11,"",LOOKUP($B29,'Cash Flow'!$F$2:$AJ$2,'Cash Flow'!$F$35:$AJ$35))</f>
        <v/>
      </c>
      <c r="F29" s="178" t="str">
        <f>IF($B29&gt;Inputs!$G$11,"",LOOKUP($B29,'Cash Flow'!$F$2:$AJ$2,'Cash Flow'!$F$85:$AJ$85))</f>
        <v/>
      </c>
      <c r="G29" s="178" t="str">
        <f>IF($B29&gt;Inputs!$G$11,"",LOOKUP($B29,'Cash Flow'!$F$2:$AJ$2,'Cash Flow'!$F$47:$AJ$47)+LOOKUP($B29,'Cash Flow'!$F$2:$AJ$2,'Cash Flow'!$F$48:$AJ$48))</f>
        <v/>
      </c>
      <c r="H29" s="178" t="str">
        <f>IF($B29&gt;Inputs!$G$11,"",SUM(D29:G29))</f>
        <v/>
      </c>
      <c r="I29" s="178" t="str">
        <f>IF($B29&gt;Inputs!$G$11,"",LOOKUP($B29,'Cash Flow'!$F$2:$AJ$2,'Cash Flow'!$F$60:$AJ$60))</f>
        <v/>
      </c>
      <c r="J29" s="178" t="str">
        <f>IF($B29&gt;Inputs!$G$11,"",LOOKUP($B29,'Cash Flow'!$F$2:$AJ$2,'Cash Flow'!$F$61:$AJ$61))</f>
        <v/>
      </c>
      <c r="K29" s="178" t="str">
        <f>IF($B29&gt;Inputs!$G$11,"",LOOKUP($B29,'Cash Flow'!$F$2:$AJ$2,'Cash Flow'!$F$63:$AJ$63)+LOOKUP($B29,'Cash Flow'!$F$2:$AJ$2,'Cash Flow'!$F$65:$AJ$65))</f>
        <v/>
      </c>
      <c r="L29" s="178" t="str">
        <f>IF($B29&gt;Inputs!$G$11,"",LOOKUP($B29,'Cash Flow'!$F$2:$AJ$2,'Cash Flow'!$F$64:$AJ$64)+LOOKUP($B29,'Cash Flow'!$F$2:$AJ$2,'Cash Flow'!$F$66:$AJ$66))</f>
        <v/>
      </c>
      <c r="M29" s="178" t="str">
        <f>IF($B29&gt;Inputs!$G$11,"",H29+K29+L29)</f>
        <v/>
      </c>
      <c r="N29" s="178">
        <f>IF($B29&gt;Inputs!$G$11,N28,N28+M29)</f>
        <v>5081501.5826827986</v>
      </c>
      <c r="O29" s="182" t="str">
        <f>IF($B29&gt;Inputs!$G$11,"",LOOKUP($B29,'Cash Flow'!$F$2:$AJ$2,'Cash Flow'!$F$68:$AJ$68))</f>
        <v/>
      </c>
      <c r="P29" s="183" t="str">
        <f>IF($B29&gt;Inputs!$G$11,"",LOOKUP($B29,'Cash Flow'!$F$2:$AJ$2,'Cash Flow'!$F$41:$AJ$41))</f>
        <v/>
      </c>
      <c r="R29" s="392" t="str">
        <f>IF($B29&gt;Inputs!$G$11,"",D29+K29+L29)</f>
        <v/>
      </c>
      <c r="S29" s="393" t="str">
        <f>IF($B29&gt;Inputs!$G$11,"",-(E29+F29+G29))</f>
        <v/>
      </c>
    </row>
    <row r="30" spans="2:19">
      <c r="B30" s="180">
        <v>24</v>
      </c>
      <c r="C30" s="181" t="str">
        <f>IF($B30&gt;Inputs!$G$11,"",IF($B30&lt;=Inputs!$Q$7,LOOKUP($B30,'Cash Flow'!$F$2:$AJ$2,'Cash Flow'!$F$14:$AJ$14),LOOKUP($B30,'Cash Flow'!$F$2:$AJ$2,'Cash Flow'!$F$16:$AJ$16)))</f>
        <v/>
      </c>
      <c r="D30" s="178" t="str">
        <f>IF($B30&gt;Inputs!$G$11,"",LOOKUP($B30,'Cash Flow'!$F$2:$AJ$2,'Cash Flow'!$F$23:$AJ$23))</f>
        <v/>
      </c>
      <c r="E30" s="178" t="str">
        <f>IF($B30&gt;Inputs!$G$11,"",LOOKUP($B30,'Cash Flow'!$F$2:$AJ$2,'Cash Flow'!$F$35:$AJ$35))</f>
        <v/>
      </c>
      <c r="F30" s="178" t="str">
        <f>IF($B30&gt;Inputs!$G$11,"",LOOKUP($B30,'Cash Flow'!$F$2:$AJ$2,'Cash Flow'!$F$85:$AJ$85))</f>
        <v/>
      </c>
      <c r="G30" s="178" t="str">
        <f>IF($B30&gt;Inputs!$G$11,"",LOOKUP($B30,'Cash Flow'!$F$2:$AJ$2,'Cash Flow'!$F$47:$AJ$47)+LOOKUP($B30,'Cash Flow'!$F$2:$AJ$2,'Cash Flow'!$F$48:$AJ$48))</f>
        <v/>
      </c>
      <c r="H30" s="178" t="str">
        <f>IF($B30&gt;Inputs!$G$11,"",SUM(D30:G30))</f>
        <v/>
      </c>
      <c r="I30" s="178" t="str">
        <f>IF($B30&gt;Inputs!$G$11,"",LOOKUP($B30,'Cash Flow'!$F$2:$AJ$2,'Cash Flow'!$F$60:$AJ$60))</f>
        <v/>
      </c>
      <c r="J30" s="178" t="str">
        <f>IF($B30&gt;Inputs!$G$11,"",LOOKUP($B30,'Cash Flow'!$F$2:$AJ$2,'Cash Flow'!$F$61:$AJ$61))</f>
        <v/>
      </c>
      <c r="K30" s="178" t="str">
        <f>IF($B30&gt;Inputs!$G$11,"",LOOKUP($B30,'Cash Flow'!$F$2:$AJ$2,'Cash Flow'!$F$63:$AJ$63)+LOOKUP($B30,'Cash Flow'!$F$2:$AJ$2,'Cash Flow'!$F$65:$AJ$65))</f>
        <v/>
      </c>
      <c r="L30" s="178" t="str">
        <f>IF($B30&gt;Inputs!$G$11,"",LOOKUP($B30,'Cash Flow'!$F$2:$AJ$2,'Cash Flow'!$F$64:$AJ$64)+LOOKUP($B30,'Cash Flow'!$F$2:$AJ$2,'Cash Flow'!$F$66:$AJ$66))</f>
        <v/>
      </c>
      <c r="M30" s="178" t="str">
        <f>IF($B30&gt;Inputs!$G$11,"",H30+K30+L30)</f>
        <v/>
      </c>
      <c r="N30" s="178">
        <f>IF($B30&gt;Inputs!$G$11,N29,N29+M30)</f>
        <v>5081501.5826827986</v>
      </c>
      <c r="O30" s="182" t="str">
        <f>IF($B30&gt;Inputs!$G$11,"",LOOKUP($B30,'Cash Flow'!$F$2:$AJ$2,'Cash Flow'!$F$68:$AJ$68))</f>
        <v/>
      </c>
      <c r="P30" s="183" t="str">
        <f>IF($B30&gt;Inputs!$G$11,"",LOOKUP($B30,'Cash Flow'!$F$2:$AJ$2,'Cash Flow'!$F$41:$AJ$41))</f>
        <v/>
      </c>
      <c r="R30" s="392" t="str">
        <f>IF($B30&gt;Inputs!$G$11,"",D30+K30+L30)</f>
        <v/>
      </c>
      <c r="S30" s="393" t="str">
        <f>IF($B30&gt;Inputs!$G$11,"",-(E30+F30+G30))</f>
        <v/>
      </c>
    </row>
    <row r="31" spans="2:19">
      <c r="B31" s="180">
        <v>25</v>
      </c>
      <c r="C31" s="181" t="str">
        <f>IF($B31&gt;Inputs!$G$11,"",IF($B31&lt;=Inputs!$Q$7,LOOKUP($B31,'Cash Flow'!$F$2:$AJ$2,'Cash Flow'!$F$14:$AJ$14),LOOKUP($B31,'Cash Flow'!$F$2:$AJ$2,'Cash Flow'!$F$16:$AJ$16)))</f>
        <v/>
      </c>
      <c r="D31" s="178" t="str">
        <f>IF($B31&gt;Inputs!$G$11,"",LOOKUP($B31,'Cash Flow'!$F$2:$AJ$2,'Cash Flow'!$F$23:$AJ$23))</f>
        <v/>
      </c>
      <c r="E31" s="178" t="str">
        <f>IF($B31&gt;Inputs!$G$11,"",LOOKUP($B31,'Cash Flow'!$F$2:$AJ$2,'Cash Flow'!$F$35:$AJ$35))</f>
        <v/>
      </c>
      <c r="F31" s="178" t="str">
        <f>IF($B31&gt;Inputs!$G$11,"",LOOKUP($B31,'Cash Flow'!$F$2:$AJ$2,'Cash Flow'!$F$85:$AJ$85))</f>
        <v/>
      </c>
      <c r="G31" s="178" t="str">
        <f>IF($B31&gt;Inputs!$G$11,"",LOOKUP($B31,'Cash Flow'!$F$2:$AJ$2,'Cash Flow'!$F$47:$AJ$47)+LOOKUP($B31,'Cash Flow'!$F$2:$AJ$2,'Cash Flow'!$F$48:$AJ$48))</f>
        <v/>
      </c>
      <c r="H31" s="178" t="str">
        <f>IF($B31&gt;Inputs!$G$11,"",SUM(D31:G31))</f>
        <v/>
      </c>
      <c r="I31" s="178" t="str">
        <f>IF($B31&gt;Inputs!$G$11,"",LOOKUP($B31,'Cash Flow'!$F$2:$AJ$2,'Cash Flow'!$F$60:$AJ$60))</f>
        <v/>
      </c>
      <c r="J31" s="178" t="str">
        <f>IF($B31&gt;Inputs!$G$11,"",LOOKUP($B31,'Cash Flow'!$F$2:$AJ$2,'Cash Flow'!$F$61:$AJ$61))</f>
        <v/>
      </c>
      <c r="K31" s="178" t="str">
        <f>IF($B31&gt;Inputs!$G$11,"",LOOKUP($B31,'Cash Flow'!$F$2:$AJ$2,'Cash Flow'!$F$63:$AJ$63)+LOOKUP($B31,'Cash Flow'!$F$2:$AJ$2,'Cash Flow'!$F$65:$AJ$65))</f>
        <v/>
      </c>
      <c r="L31" s="178" t="str">
        <f>IF($B31&gt;Inputs!$G$11,"",LOOKUP($B31,'Cash Flow'!$F$2:$AJ$2,'Cash Flow'!$F$64:$AJ$64)+LOOKUP($B31,'Cash Flow'!$F$2:$AJ$2,'Cash Flow'!$F$66:$AJ$66))</f>
        <v/>
      </c>
      <c r="M31" s="178" t="str">
        <f>IF($B31&gt;Inputs!$G$11,"",H31+K31+L31)</f>
        <v/>
      </c>
      <c r="N31" s="178">
        <f>IF($B31&gt;Inputs!$G$11,N30,N30+M31)</f>
        <v>5081501.5826827986</v>
      </c>
      <c r="O31" s="182" t="str">
        <f>IF($B31&gt;Inputs!$G$11,"",LOOKUP($B31,'Cash Flow'!$F$2:$AJ$2,'Cash Flow'!$F$68:$AJ$68))</f>
        <v/>
      </c>
      <c r="P31" s="183" t="str">
        <f>IF($B31&gt;Inputs!$G$11,"",LOOKUP($B31,'Cash Flow'!$F$2:$AJ$2,'Cash Flow'!$F$41:$AJ$41))</f>
        <v/>
      </c>
      <c r="R31" s="392" t="str">
        <f>IF($B31&gt;Inputs!$G$11,"",D31+K31+L31)</f>
        <v/>
      </c>
      <c r="S31" s="393" t="str">
        <f>IF($B31&gt;Inputs!$G$11,"",-(E31+F31+G31))</f>
        <v/>
      </c>
    </row>
    <row r="32" spans="2:19">
      <c r="B32" s="186">
        <v>26</v>
      </c>
      <c r="C32" s="181" t="str">
        <f>IF($B32&gt;Inputs!$G$11,"",IF($B32&lt;=Inputs!$Q$7,LOOKUP($B32,'Cash Flow'!$F$2:$AJ$2,'Cash Flow'!$F$14:$AJ$14),LOOKUP($B32,'Cash Flow'!$F$2:$AJ$2,'Cash Flow'!$F$16:$AJ$16)))</f>
        <v/>
      </c>
      <c r="D32" s="178" t="str">
        <f>IF($B32&gt;Inputs!$G$11,"",LOOKUP($B32,'Cash Flow'!$F$2:$AJ$2,'Cash Flow'!$F$23:$AJ$23))</f>
        <v/>
      </c>
      <c r="E32" s="178" t="str">
        <f>IF($B32&gt;Inputs!$G$11,"",LOOKUP($B32,'Cash Flow'!$F$2:$AJ$2,'Cash Flow'!$F$35:$AJ$35))</f>
        <v/>
      </c>
      <c r="F32" s="178" t="str">
        <f>IF($B32&gt;Inputs!$G$11,"",LOOKUP($B32,'Cash Flow'!$F$2:$AJ$2,'Cash Flow'!$F$85:$AJ$85))</f>
        <v/>
      </c>
      <c r="G32" s="178" t="str">
        <f>IF($B32&gt;Inputs!$G$11,"",LOOKUP($B32,'Cash Flow'!$F$2:$AJ$2,'Cash Flow'!$F$47:$AJ$47)+LOOKUP($B32,'Cash Flow'!$F$2:$AJ$2,'Cash Flow'!$F$48:$AJ$48))</f>
        <v/>
      </c>
      <c r="H32" s="178" t="str">
        <f>IF($B32&gt;Inputs!$G$11,"",SUM(D32:G32))</f>
        <v/>
      </c>
      <c r="I32" s="178" t="str">
        <f>IF($B32&gt;Inputs!$G$11,"",LOOKUP($B32,'Cash Flow'!$F$2:$AJ$2,'Cash Flow'!$F$60:$AJ$60))</f>
        <v/>
      </c>
      <c r="J32" s="178" t="str">
        <f>IF($B32&gt;Inputs!$G$11,"",LOOKUP($B32,'Cash Flow'!$F$2:$AJ$2,'Cash Flow'!$F$61:$AJ$61))</f>
        <v/>
      </c>
      <c r="K32" s="178" t="str">
        <f>IF($B32&gt;Inputs!$G$11,"",LOOKUP($B32,'Cash Flow'!$F$2:$AJ$2,'Cash Flow'!$F$63:$AJ$63)+LOOKUP($B32,'Cash Flow'!$F$2:$AJ$2,'Cash Flow'!$F$65:$AJ$65))</f>
        <v/>
      </c>
      <c r="L32" s="178" t="str">
        <f>IF($B32&gt;Inputs!$G$11,"",LOOKUP($B32,'Cash Flow'!$F$2:$AJ$2,'Cash Flow'!$F$64:$AJ$64)+LOOKUP($B32,'Cash Flow'!$F$2:$AJ$2,'Cash Flow'!$F$66:$AJ$66))</f>
        <v/>
      </c>
      <c r="M32" s="178" t="str">
        <f>IF($B32&gt;Inputs!$G$11,"",H32+K32+L32)</f>
        <v/>
      </c>
      <c r="N32" s="178">
        <f>IF($B32&gt;Inputs!$G$11,N31,N31+M32)</f>
        <v>5081501.5826827986</v>
      </c>
      <c r="O32" s="182" t="str">
        <f>IF($B32&gt;Inputs!$G$11,"",LOOKUP($B32,'Cash Flow'!$F$2:$AJ$2,'Cash Flow'!$F$68:$AJ$68))</f>
        <v/>
      </c>
      <c r="P32" s="183" t="str">
        <f>IF($B32&gt;Inputs!$G$11,"",LOOKUP($B32,'Cash Flow'!$F$2:$AJ$2,'Cash Flow'!$F$41:$AJ$41))</f>
        <v/>
      </c>
      <c r="R32" s="392" t="str">
        <f>IF($B32&gt;Inputs!$G$11,"",D32+K32+L32)</f>
        <v/>
      </c>
      <c r="S32" s="393" t="str">
        <f>IF($B32&gt;Inputs!$G$11,"",-(E32+F32+G32))</f>
        <v/>
      </c>
    </row>
    <row r="33" spans="2:19">
      <c r="B33" s="180">
        <v>27</v>
      </c>
      <c r="C33" s="181" t="str">
        <f>IF($B33&gt;Inputs!$G$11,"",IF($B33&lt;=Inputs!$Q$7,LOOKUP($B33,'Cash Flow'!$F$2:$AJ$2,'Cash Flow'!$F$14:$AJ$14),LOOKUP($B33,'Cash Flow'!$F$2:$AJ$2,'Cash Flow'!$F$16:$AJ$16)))</f>
        <v/>
      </c>
      <c r="D33" s="178" t="str">
        <f>IF($B33&gt;Inputs!$G$11,"",LOOKUP($B33,'Cash Flow'!$F$2:$AJ$2,'Cash Flow'!$F$23:$AJ$23))</f>
        <v/>
      </c>
      <c r="E33" s="178" t="str">
        <f>IF($B33&gt;Inputs!$G$11,"",LOOKUP($B33,'Cash Flow'!$F$2:$AJ$2,'Cash Flow'!$F$35:$AJ$35))</f>
        <v/>
      </c>
      <c r="F33" s="178" t="str">
        <f>IF($B33&gt;Inputs!$G$11,"",LOOKUP($B33,'Cash Flow'!$F$2:$AJ$2,'Cash Flow'!$F$85:$AJ$85))</f>
        <v/>
      </c>
      <c r="G33" s="178" t="str">
        <f>IF($B33&gt;Inputs!$G$11,"",LOOKUP($B33,'Cash Flow'!$F$2:$AJ$2,'Cash Flow'!$F$47:$AJ$47)+LOOKUP($B33,'Cash Flow'!$F$2:$AJ$2,'Cash Flow'!$F$48:$AJ$48))</f>
        <v/>
      </c>
      <c r="H33" s="178" t="str">
        <f>IF($B33&gt;Inputs!$G$11,"",SUM(D33:G33))</f>
        <v/>
      </c>
      <c r="I33" s="178" t="str">
        <f>IF($B33&gt;Inputs!$G$11,"",LOOKUP($B33,'Cash Flow'!$F$2:$AJ$2,'Cash Flow'!$F$60:$AJ$60))</f>
        <v/>
      </c>
      <c r="J33" s="178" t="str">
        <f>IF($B33&gt;Inputs!$G$11,"",LOOKUP($B33,'Cash Flow'!$F$2:$AJ$2,'Cash Flow'!$F$61:$AJ$61))</f>
        <v/>
      </c>
      <c r="K33" s="178" t="str">
        <f>IF($B33&gt;Inputs!$G$11,"",LOOKUP($B33,'Cash Flow'!$F$2:$AJ$2,'Cash Flow'!$F$63:$AJ$63)+LOOKUP($B33,'Cash Flow'!$F$2:$AJ$2,'Cash Flow'!$F$65:$AJ$65))</f>
        <v/>
      </c>
      <c r="L33" s="178" t="str">
        <f>IF($B33&gt;Inputs!$G$11,"",LOOKUP($B33,'Cash Flow'!$F$2:$AJ$2,'Cash Flow'!$F$64:$AJ$64)+LOOKUP($B33,'Cash Flow'!$F$2:$AJ$2,'Cash Flow'!$F$66:$AJ$66))</f>
        <v/>
      </c>
      <c r="M33" s="178" t="str">
        <f>IF($B33&gt;Inputs!$G$11,"",H33+K33+L33)</f>
        <v/>
      </c>
      <c r="N33" s="178">
        <f>IF($B33&gt;Inputs!$G$11,N32,N32+M33)</f>
        <v>5081501.5826827986</v>
      </c>
      <c r="O33" s="182" t="str">
        <f>IF($B33&gt;Inputs!$G$11,"",LOOKUP($B33,'Cash Flow'!$F$2:$AJ$2,'Cash Flow'!$F$68:$AJ$68))</f>
        <v/>
      </c>
      <c r="P33" s="183" t="str">
        <f>IF($B33&gt;Inputs!$G$11,"",LOOKUP($B33,'Cash Flow'!$F$2:$AJ$2,'Cash Flow'!$F$41:$AJ$41))</f>
        <v/>
      </c>
      <c r="R33" s="392" t="str">
        <f>IF($B33&gt;Inputs!$G$11,"",D33+K33+L33)</f>
        <v/>
      </c>
      <c r="S33" s="393" t="str">
        <f>IF($B33&gt;Inputs!$G$11,"",-(E33+F33+G33))</f>
        <v/>
      </c>
    </row>
    <row r="34" spans="2:19">
      <c r="B34" s="180">
        <v>28</v>
      </c>
      <c r="C34" s="181" t="str">
        <f>IF($B34&gt;Inputs!$G$11,"",IF($B34&lt;=Inputs!$Q$7,LOOKUP($B34,'Cash Flow'!$F$2:$AJ$2,'Cash Flow'!$F$14:$AJ$14),LOOKUP($B34,'Cash Flow'!$F$2:$AJ$2,'Cash Flow'!$F$16:$AJ$16)))</f>
        <v/>
      </c>
      <c r="D34" s="178" t="str">
        <f>IF($B34&gt;Inputs!$G$11,"",LOOKUP($B34,'Cash Flow'!$F$2:$AJ$2,'Cash Flow'!$F$23:$AJ$23))</f>
        <v/>
      </c>
      <c r="E34" s="178" t="str">
        <f>IF($B34&gt;Inputs!$G$11,"",LOOKUP($B34,'Cash Flow'!$F$2:$AJ$2,'Cash Flow'!$F$35:$AJ$35))</f>
        <v/>
      </c>
      <c r="F34" s="178" t="str">
        <f>IF($B34&gt;Inputs!$G$11,"",LOOKUP($B34,'Cash Flow'!$F$2:$AJ$2,'Cash Flow'!$F$85:$AJ$85))</f>
        <v/>
      </c>
      <c r="G34" s="178" t="str">
        <f>IF($B34&gt;Inputs!$G$11,"",LOOKUP($B34,'Cash Flow'!$F$2:$AJ$2,'Cash Flow'!$F$47:$AJ$47)+LOOKUP($B34,'Cash Flow'!$F$2:$AJ$2,'Cash Flow'!$F$48:$AJ$48))</f>
        <v/>
      </c>
      <c r="H34" s="178" t="str">
        <f>IF($B34&gt;Inputs!$G$11,"",SUM(D34:G34))</f>
        <v/>
      </c>
      <c r="I34" s="178" t="str">
        <f>IF($B34&gt;Inputs!$G$11,"",LOOKUP($B34,'Cash Flow'!$F$2:$AJ$2,'Cash Flow'!$F$60:$AJ$60))</f>
        <v/>
      </c>
      <c r="J34" s="178" t="str">
        <f>IF($B34&gt;Inputs!$G$11,"",LOOKUP($B34,'Cash Flow'!$F$2:$AJ$2,'Cash Flow'!$F$61:$AJ$61))</f>
        <v/>
      </c>
      <c r="K34" s="178" t="str">
        <f>IF($B34&gt;Inputs!$G$11,"",LOOKUP($B34,'Cash Flow'!$F$2:$AJ$2,'Cash Flow'!$F$63:$AJ$63)+LOOKUP($B34,'Cash Flow'!$F$2:$AJ$2,'Cash Flow'!$F$65:$AJ$65))</f>
        <v/>
      </c>
      <c r="L34" s="178" t="str">
        <f>IF($B34&gt;Inputs!$G$11,"",LOOKUP($B34,'Cash Flow'!$F$2:$AJ$2,'Cash Flow'!$F$64:$AJ$64)+LOOKUP($B34,'Cash Flow'!$F$2:$AJ$2,'Cash Flow'!$F$66:$AJ$66))</f>
        <v/>
      </c>
      <c r="M34" s="178" t="str">
        <f>IF($B34&gt;Inputs!$G$11,"",H34+K34+L34)</f>
        <v/>
      </c>
      <c r="N34" s="178">
        <f>IF($B34&gt;Inputs!$G$11,N33,N33+M34)</f>
        <v>5081501.5826827986</v>
      </c>
      <c r="O34" s="182" t="str">
        <f>IF($B34&gt;Inputs!$G$11,"",LOOKUP($B34,'Cash Flow'!$F$2:$AJ$2,'Cash Flow'!$F$68:$AJ$68))</f>
        <v/>
      </c>
      <c r="P34" s="183" t="str">
        <f>IF($B34&gt;Inputs!$G$11,"",LOOKUP($B34,'Cash Flow'!$F$2:$AJ$2,'Cash Flow'!$F$41:$AJ$41))</f>
        <v/>
      </c>
      <c r="R34" s="392" t="str">
        <f>IF($B34&gt;Inputs!$G$11,"",D34+K34+L34)</f>
        <v/>
      </c>
      <c r="S34" s="393" t="str">
        <f>IF($B34&gt;Inputs!$G$11,"",-(E34+F34+G34))</f>
        <v/>
      </c>
    </row>
    <row r="35" spans="2:19">
      <c r="B35" s="186">
        <v>29</v>
      </c>
      <c r="C35" s="181" t="str">
        <f>IF($B35&gt;Inputs!$G$11,"",IF($B35&lt;=Inputs!$Q$7,LOOKUP($B35,'Cash Flow'!$F$2:$AJ$2,'Cash Flow'!$F$14:$AJ$14),LOOKUP($B35,'Cash Flow'!$F$2:$AJ$2,'Cash Flow'!$F$16:$AJ$16)))</f>
        <v/>
      </c>
      <c r="D35" s="178" t="str">
        <f>IF($B35&gt;Inputs!$G$11,"",LOOKUP($B35,'Cash Flow'!$F$2:$AJ$2,'Cash Flow'!$F$23:$AJ$23))</f>
        <v/>
      </c>
      <c r="E35" s="178" t="str">
        <f>IF($B35&gt;Inputs!$G$11,"",LOOKUP($B35,'Cash Flow'!$F$2:$AJ$2,'Cash Flow'!$F$35:$AJ$35))</f>
        <v/>
      </c>
      <c r="F35" s="178" t="str">
        <f>IF($B35&gt;Inputs!$G$11,"",LOOKUP($B35,'Cash Flow'!$F$2:$AJ$2,'Cash Flow'!$F$85:$AJ$85))</f>
        <v/>
      </c>
      <c r="G35" s="178" t="str">
        <f>IF($B35&gt;Inputs!$G$11,"",LOOKUP($B35,'Cash Flow'!$F$2:$AJ$2,'Cash Flow'!$F$47:$AJ$47)+LOOKUP($B35,'Cash Flow'!$F$2:$AJ$2,'Cash Flow'!$F$48:$AJ$48))</f>
        <v/>
      </c>
      <c r="H35" s="178" t="str">
        <f>IF($B35&gt;Inputs!$G$11,"",SUM(D35:G35))</f>
        <v/>
      </c>
      <c r="I35" s="178" t="str">
        <f>IF($B35&gt;Inputs!$G$11,"",LOOKUP($B35,'Cash Flow'!$F$2:$AJ$2,'Cash Flow'!$F$60:$AJ$60))</f>
        <v/>
      </c>
      <c r="J35" s="178" t="str">
        <f>IF($B35&gt;Inputs!$G$11,"",LOOKUP($B35,'Cash Flow'!$F$2:$AJ$2,'Cash Flow'!$F$61:$AJ$61))</f>
        <v/>
      </c>
      <c r="K35" s="178" t="str">
        <f>IF($B35&gt;Inputs!$G$11,"",LOOKUP($B35,'Cash Flow'!$F$2:$AJ$2,'Cash Flow'!$F$63:$AJ$63)+LOOKUP($B35,'Cash Flow'!$F$2:$AJ$2,'Cash Flow'!$F$65:$AJ$65))</f>
        <v/>
      </c>
      <c r="L35" s="178" t="str">
        <f>IF($B35&gt;Inputs!$G$11,"",LOOKUP($B35,'Cash Flow'!$F$2:$AJ$2,'Cash Flow'!$F$64:$AJ$64)+LOOKUP($B35,'Cash Flow'!$F$2:$AJ$2,'Cash Flow'!$F$66:$AJ$66))</f>
        <v/>
      </c>
      <c r="M35" s="178" t="str">
        <f>IF($B35&gt;Inputs!$G$11,"",H35+K35+L35)</f>
        <v/>
      </c>
      <c r="N35" s="178">
        <f>IF($B35&gt;Inputs!$G$11,N34,N34+M35)</f>
        <v>5081501.5826827986</v>
      </c>
      <c r="O35" s="182" t="str">
        <f>IF($B35&gt;Inputs!$G$11,"",LOOKUP($B35,'Cash Flow'!$F$2:$AJ$2,'Cash Flow'!$F$68:$AJ$68))</f>
        <v/>
      </c>
      <c r="P35" s="183" t="str">
        <f>IF($B35&gt;Inputs!$G$11,"",LOOKUP($B35,'Cash Flow'!$F$2:$AJ$2,'Cash Flow'!$F$41:$AJ$41))</f>
        <v/>
      </c>
      <c r="R35" s="392" t="str">
        <f>IF($B35&gt;Inputs!$G$11,"",D35+K35+L35)</f>
        <v/>
      </c>
      <c r="S35" s="393" t="str">
        <f>IF($B35&gt;Inputs!$G$11,"",-(E35+F35+G35))</f>
        <v/>
      </c>
    </row>
    <row r="36" spans="2:19">
      <c r="B36" s="180">
        <v>30</v>
      </c>
      <c r="C36" s="181" t="str">
        <f>IF($B36&gt;Inputs!$G$11,"",IF($B36&lt;=Inputs!$Q$7,LOOKUP($B36,'Cash Flow'!$F$2:$AJ$2,'Cash Flow'!$F$14:$AJ$14),LOOKUP($B36,'Cash Flow'!$F$2:$AJ$2,'Cash Flow'!$F$16:$AJ$16)))</f>
        <v/>
      </c>
      <c r="D36" s="178" t="str">
        <f>IF($B36&gt;Inputs!$G$11,"",LOOKUP($B36,'Cash Flow'!$F$2:$AJ$2,'Cash Flow'!$F$23:$AJ$23))</f>
        <v/>
      </c>
      <c r="E36" s="178" t="str">
        <f>IF($B36&gt;Inputs!$G$11,"",LOOKUP($B36,'Cash Flow'!$F$2:$AJ$2,'Cash Flow'!$F$35:$AJ$35))</f>
        <v/>
      </c>
      <c r="F36" s="178" t="str">
        <f>IF($B36&gt;Inputs!$G$11,"",LOOKUP($B36,'Cash Flow'!$F$2:$AJ$2,'Cash Flow'!$F$85:$AJ$85))</f>
        <v/>
      </c>
      <c r="G36" s="178" t="str">
        <f>IF($B36&gt;Inputs!$G$11,"",LOOKUP($B36,'Cash Flow'!$F$2:$AJ$2,'Cash Flow'!$F$47:$AJ$47)+LOOKUP($B36,'Cash Flow'!$F$2:$AJ$2,'Cash Flow'!$F$48:$AJ$48))</f>
        <v/>
      </c>
      <c r="H36" s="178" t="str">
        <f>IF($B36&gt;Inputs!$G$11,"",SUM(D36:G36))</f>
        <v/>
      </c>
      <c r="I36" s="178" t="str">
        <f>IF($B36&gt;Inputs!$G$11,"",LOOKUP($B36,'Cash Flow'!$F$2:$AJ$2,'Cash Flow'!$F$60:$AJ$60))</f>
        <v/>
      </c>
      <c r="J36" s="178" t="str">
        <f>IF($B36&gt;Inputs!$G$11,"",LOOKUP($B36,'Cash Flow'!$F$2:$AJ$2,'Cash Flow'!$F$61:$AJ$61))</f>
        <v/>
      </c>
      <c r="K36" s="178" t="str">
        <f>IF($B36&gt;Inputs!$G$11,"",LOOKUP($B36,'Cash Flow'!$F$2:$AJ$2,'Cash Flow'!$F$63:$AJ$63)+LOOKUP($B36,'Cash Flow'!$F$2:$AJ$2,'Cash Flow'!$F$65:$AJ$65))</f>
        <v/>
      </c>
      <c r="L36" s="178" t="str">
        <f>IF($B36&gt;Inputs!$G$11,"",LOOKUP($B36,'Cash Flow'!$F$2:$AJ$2,'Cash Flow'!$F$64:$AJ$64)+LOOKUP($B36,'Cash Flow'!$F$2:$AJ$2,'Cash Flow'!$F$66:$AJ$66))</f>
        <v/>
      </c>
      <c r="M36" s="178" t="str">
        <f>IF($B36&gt;Inputs!$G$11,"",H36+K36+L36)</f>
        <v/>
      </c>
      <c r="N36" s="178">
        <f>IF($B36&gt;Inputs!$G$11,N35,N35+M36)</f>
        <v>5081501.5826827986</v>
      </c>
      <c r="O36" s="182" t="str">
        <f>IF($B36&gt;Inputs!$G$11,"",LOOKUP($B36,'Cash Flow'!$F$2:$AJ$2,'Cash Flow'!$F$68:$AJ$68))</f>
        <v/>
      </c>
      <c r="P36" s="183" t="str">
        <f>IF($B36&gt;Inputs!$G$11,"",LOOKUP($B36,'Cash Flow'!$F$2:$AJ$2,'Cash Flow'!$F$41:$AJ$41))</f>
        <v/>
      </c>
      <c r="R36" s="392" t="str">
        <f>IF($B36&gt;Inputs!$G$11,"",D36+K36+L36)</f>
        <v/>
      </c>
      <c r="S36" s="393" t="str">
        <f>IF($B36&gt;Inputs!$G$11,"",-(E36+F36+G36))</f>
        <v/>
      </c>
    </row>
    <row r="37" spans="2:19">
      <c r="B37" s="187"/>
      <c r="C37" s="188"/>
      <c r="D37" s="188"/>
      <c r="E37" s="188"/>
      <c r="F37" s="188"/>
      <c r="G37" s="199"/>
      <c r="H37" s="188"/>
      <c r="I37" s="188"/>
      <c r="J37" s="188"/>
      <c r="K37" s="188"/>
      <c r="L37" s="188"/>
      <c r="M37" s="199"/>
      <c r="N37" s="199"/>
      <c r="O37" s="199"/>
      <c r="P37" s="200"/>
      <c r="R37" s="394"/>
      <c r="S37" s="395"/>
    </row>
    <row r="38" spans="2:19">
      <c r="G38" s="201"/>
      <c r="M38" s="201"/>
      <c r="N38" s="201"/>
      <c r="O38" s="201"/>
      <c r="P38" s="201"/>
    </row>
  </sheetData>
  <sheetProtection password="CA95" sheet="1" objects="1" scenarios="1"/>
  <mergeCells count="3">
    <mergeCell ref="R4:R5"/>
    <mergeCell ref="S4:S5"/>
    <mergeCell ref="R3:S3"/>
  </mergeCells>
  <conditionalFormatting sqref="N7:N36">
    <cfRule type="expression" dxfId="7"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sheetPr codeName="Sheet5"/>
  <dimension ref="A1:AJ237"/>
  <sheetViews>
    <sheetView showGridLines="0" zoomScale="80" zoomScaleNormal="80" workbookViewId="0">
      <pane xSplit="5" ySplit="2" topLeftCell="F3" activePane="bottomRight" state="frozen"/>
      <selection pane="topRight" activeCell="D1" sqref="D1"/>
      <selection pane="bottomLeft" activeCell="A4" sqref="A4"/>
      <selection pane="bottomRight" activeCell="F8" sqref="F8"/>
    </sheetView>
  </sheetViews>
  <sheetFormatPr defaultRowHeight="15"/>
  <cols>
    <col min="1" max="1" width="5.42578125" style="66" customWidth="1"/>
    <col min="2" max="2" width="56.5703125" style="66" customWidth="1"/>
    <col min="3" max="5" width="15.28515625" style="66" customWidth="1"/>
    <col min="6" max="6" width="15.85546875" style="66" customWidth="1"/>
    <col min="7" max="7" width="15.7109375" style="66" bestFit="1" customWidth="1"/>
    <col min="8" max="13" width="14.85546875" style="66" bestFit="1" customWidth="1"/>
    <col min="14" max="36" width="13.7109375" style="66" customWidth="1"/>
    <col min="37" max="228" width="9.140625" style="66"/>
    <col min="229" max="229" width="5.42578125" style="66" customWidth="1"/>
    <col min="230" max="230" width="56.5703125" style="66" customWidth="1"/>
    <col min="231" max="231" width="15.28515625" style="66" customWidth="1"/>
    <col min="232" max="232" width="15.85546875" style="66" customWidth="1"/>
    <col min="233" max="233" width="15.140625" style="66" customWidth="1"/>
    <col min="234" max="292" width="13.7109375" style="66" customWidth="1"/>
    <col min="293" max="484" width="9.140625" style="66"/>
    <col min="485" max="485" width="5.42578125" style="66" customWidth="1"/>
    <col min="486" max="486" width="56.5703125" style="66" customWidth="1"/>
    <col min="487" max="487" width="15.28515625" style="66" customWidth="1"/>
    <col min="488" max="488" width="15.85546875" style="66" customWidth="1"/>
    <col min="489" max="489" width="15.140625" style="66" customWidth="1"/>
    <col min="490" max="548" width="13.7109375" style="66" customWidth="1"/>
    <col min="549" max="740" width="9.140625" style="66"/>
    <col min="741" max="741" width="5.42578125" style="66" customWidth="1"/>
    <col min="742" max="742" width="56.5703125" style="66" customWidth="1"/>
    <col min="743" max="743" width="15.28515625" style="66" customWidth="1"/>
    <col min="744" max="744" width="15.85546875" style="66" customWidth="1"/>
    <col min="745" max="745" width="15.140625" style="66" customWidth="1"/>
    <col min="746" max="804" width="13.7109375" style="66" customWidth="1"/>
    <col min="805" max="996" width="9.140625" style="66"/>
    <col min="997" max="997" width="5.42578125" style="66" customWidth="1"/>
    <col min="998" max="998" width="56.5703125" style="66" customWidth="1"/>
    <col min="999" max="999" width="15.28515625" style="66" customWidth="1"/>
    <col min="1000" max="1000" width="15.85546875" style="66" customWidth="1"/>
    <col min="1001" max="1001" width="15.140625" style="66" customWidth="1"/>
    <col min="1002" max="1060" width="13.7109375" style="66" customWidth="1"/>
    <col min="1061" max="1252" width="9.140625" style="66"/>
    <col min="1253" max="1253" width="5.42578125" style="66" customWidth="1"/>
    <col min="1254" max="1254" width="56.5703125" style="66" customWidth="1"/>
    <col min="1255" max="1255" width="15.28515625" style="66" customWidth="1"/>
    <col min="1256" max="1256" width="15.85546875" style="66" customWidth="1"/>
    <col min="1257" max="1257" width="15.140625" style="66" customWidth="1"/>
    <col min="1258" max="1316" width="13.7109375" style="66" customWidth="1"/>
    <col min="1317" max="1508" width="9.140625" style="66"/>
    <col min="1509" max="1509" width="5.42578125" style="66" customWidth="1"/>
    <col min="1510" max="1510" width="56.5703125" style="66" customWidth="1"/>
    <col min="1511" max="1511" width="15.28515625" style="66" customWidth="1"/>
    <col min="1512" max="1512" width="15.85546875" style="66" customWidth="1"/>
    <col min="1513" max="1513" width="15.140625" style="66" customWidth="1"/>
    <col min="1514" max="1572" width="13.7109375" style="66" customWidth="1"/>
    <col min="1573" max="1764" width="9.140625" style="66"/>
    <col min="1765" max="1765" width="5.42578125" style="66" customWidth="1"/>
    <col min="1766" max="1766" width="56.5703125" style="66" customWidth="1"/>
    <col min="1767" max="1767" width="15.28515625" style="66" customWidth="1"/>
    <col min="1768" max="1768" width="15.85546875" style="66" customWidth="1"/>
    <col min="1769" max="1769" width="15.140625" style="66" customWidth="1"/>
    <col min="1770" max="1828" width="13.7109375" style="66" customWidth="1"/>
    <col min="1829" max="2020" width="9.140625" style="66"/>
    <col min="2021" max="2021" width="5.42578125" style="66" customWidth="1"/>
    <col min="2022" max="2022" width="56.5703125" style="66" customWidth="1"/>
    <col min="2023" max="2023" width="15.28515625" style="66" customWidth="1"/>
    <col min="2024" max="2024" width="15.85546875" style="66" customWidth="1"/>
    <col min="2025" max="2025" width="15.140625" style="66" customWidth="1"/>
    <col min="2026" max="2084" width="13.7109375" style="66" customWidth="1"/>
    <col min="2085" max="2276" width="9.140625" style="66"/>
    <col min="2277" max="2277" width="5.42578125" style="66" customWidth="1"/>
    <col min="2278" max="2278" width="56.5703125" style="66" customWidth="1"/>
    <col min="2279" max="2279" width="15.28515625" style="66" customWidth="1"/>
    <col min="2280" max="2280" width="15.85546875" style="66" customWidth="1"/>
    <col min="2281" max="2281" width="15.140625" style="66" customWidth="1"/>
    <col min="2282" max="2340" width="13.7109375" style="66" customWidth="1"/>
    <col min="2341" max="2532" width="9.140625" style="66"/>
    <col min="2533" max="2533" width="5.42578125" style="66" customWidth="1"/>
    <col min="2534" max="2534" width="56.5703125" style="66" customWidth="1"/>
    <col min="2535" max="2535" width="15.28515625" style="66" customWidth="1"/>
    <col min="2536" max="2536" width="15.85546875" style="66" customWidth="1"/>
    <col min="2537" max="2537" width="15.140625" style="66" customWidth="1"/>
    <col min="2538" max="2596" width="13.7109375" style="66" customWidth="1"/>
    <col min="2597" max="2788" width="9.140625" style="66"/>
    <col min="2789" max="2789" width="5.42578125" style="66" customWidth="1"/>
    <col min="2790" max="2790" width="56.5703125" style="66" customWidth="1"/>
    <col min="2791" max="2791" width="15.28515625" style="66" customWidth="1"/>
    <col min="2792" max="2792" width="15.85546875" style="66" customWidth="1"/>
    <col min="2793" max="2793" width="15.140625" style="66" customWidth="1"/>
    <col min="2794" max="2852" width="13.7109375" style="66" customWidth="1"/>
    <col min="2853" max="3044" width="9.140625" style="66"/>
    <col min="3045" max="3045" width="5.42578125" style="66" customWidth="1"/>
    <col min="3046" max="3046" width="56.5703125" style="66" customWidth="1"/>
    <col min="3047" max="3047" width="15.28515625" style="66" customWidth="1"/>
    <col min="3048" max="3048" width="15.85546875" style="66" customWidth="1"/>
    <col min="3049" max="3049" width="15.140625" style="66" customWidth="1"/>
    <col min="3050" max="3108" width="13.7109375" style="66" customWidth="1"/>
    <col min="3109" max="3300" width="9.140625" style="66"/>
    <col min="3301" max="3301" width="5.42578125" style="66" customWidth="1"/>
    <col min="3302" max="3302" width="56.5703125" style="66" customWidth="1"/>
    <col min="3303" max="3303" width="15.28515625" style="66" customWidth="1"/>
    <col min="3304" max="3304" width="15.85546875" style="66" customWidth="1"/>
    <col min="3305" max="3305" width="15.140625" style="66" customWidth="1"/>
    <col min="3306" max="3364" width="13.7109375" style="66" customWidth="1"/>
    <col min="3365" max="3556" width="9.140625" style="66"/>
    <col min="3557" max="3557" width="5.42578125" style="66" customWidth="1"/>
    <col min="3558" max="3558" width="56.5703125" style="66" customWidth="1"/>
    <col min="3559" max="3559" width="15.28515625" style="66" customWidth="1"/>
    <col min="3560" max="3560" width="15.85546875" style="66" customWidth="1"/>
    <col min="3561" max="3561" width="15.140625" style="66" customWidth="1"/>
    <col min="3562" max="3620" width="13.7109375" style="66" customWidth="1"/>
    <col min="3621" max="3812" width="9.140625" style="66"/>
    <col min="3813" max="3813" width="5.42578125" style="66" customWidth="1"/>
    <col min="3814" max="3814" width="56.5703125" style="66" customWidth="1"/>
    <col min="3815" max="3815" width="15.28515625" style="66" customWidth="1"/>
    <col min="3816" max="3816" width="15.85546875" style="66" customWidth="1"/>
    <col min="3817" max="3817" width="15.140625" style="66" customWidth="1"/>
    <col min="3818" max="3876" width="13.7109375" style="66" customWidth="1"/>
    <col min="3877" max="4068" width="9.140625" style="66"/>
    <col min="4069" max="4069" width="5.42578125" style="66" customWidth="1"/>
    <col min="4070" max="4070" width="56.5703125" style="66" customWidth="1"/>
    <col min="4071" max="4071" width="15.28515625" style="66" customWidth="1"/>
    <col min="4072" max="4072" width="15.85546875" style="66" customWidth="1"/>
    <col min="4073" max="4073" width="15.140625" style="66" customWidth="1"/>
    <col min="4074" max="4132" width="13.7109375" style="66" customWidth="1"/>
    <col min="4133" max="4324" width="9.140625" style="66"/>
    <col min="4325" max="4325" width="5.42578125" style="66" customWidth="1"/>
    <col min="4326" max="4326" width="56.5703125" style="66" customWidth="1"/>
    <col min="4327" max="4327" width="15.28515625" style="66" customWidth="1"/>
    <col min="4328" max="4328" width="15.85546875" style="66" customWidth="1"/>
    <col min="4329" max="4329" width="15.140625" style="66" customWidth="1"/>
    <col min="4330" max="4388" width="13.7109375" style="66" customWidth="1"/>
    <col min="4389" max="4580" width="9.140625" style="66"/>
    <col min="4581" max="4581" width="5.42578125" style="66" customWidth="1"/>
    <col min="4582" max="4582" width="56.5703125" style="66" customWidth="1"/>
    <col min="4583" max="4583" width="15.28515625" style="66" customWidth="1"/>
    <col min="4584" max="4584" width="15.85546875" style="66" customWidth="1"/>
    <col min="4585" max="4585" width="15.140625" style="66" customWidth="1"/>
    <col min="4586" max="4644" width="13.7109375" style="66" customWidth="1"/>
    <col min="4645" max="4836" width="9.140625" style="66"/>
    <col min="4837" max="4837" width="5.42578125" style="66" customWidth="1"/>
    <col min="4838" max="4838" width="56.5703125" style="66" customWidth="1"/>
    <col min="4839" max="4839" width="15.28515625" style="66" customWidth="1"/>
    <col min="4840" max="4840" width="15.85546875" style="66" customWidth="1"/>
    <col min="4841" max="4841" width="15.140625" style="66" customWidth="1"/>
    <col min="4842" max="4900" width="13.7109375" style="66" customWidth="1"/>
    <col min="4901" max="5092" width="9.140625" style="66"/>
    <col min="5093" max="5093" width="5.42578125" style="66" customWidth="1"/>
    <col min="5094" max="5094" width="56.5703125" style="66" customWidth="1"/>
    <col min="5095" max="5095" width="15.28515625" style="66" customWidth="1"/>
    <col min="5096" max="5096" width="15.85546875" style="66" customWidth="1"/>
    <col min="5097" max="5097" width="15.140625" style="66" customWidth="1"/>
    <col min="5098" max="5156" width="13.7109375" style="66" customWidth="1"/>
    <col min="5157" max="5348" width="9.140625" style="66"/>
    <col min="5349" max="5349" width="5.42578125" style="66" customWidth="1"/>
    <col min="5350" max="5350" width="56.5703125" style="66" customWidth="1"/>
    <col min="5351" max="5351" width="15.28515625" style="66" customWidth="1"/>
    <col min="5352" max="5352" width="15.85546875" style="66" customWidth="1"/>
    <col min="5353" max="5353" width="15.140625" style="66" customWidth="1"/>
    <col min="5354" max="5412" width="13.7109375" style="66" customWidth="1"/>
    <col min="5413" max="5604" width="9.140625" style="66"/>
    <col min="5605" max="5605" width="5.42578125" style="66" customWidth="1"/>
    <col min="5606" max="5606" width="56.5703125" style="66" customWidth="1"/>
    <col min="5607" max="5607" width="15.28515625" style="66" customWidth="1"/>
    <col min="5608" max="5608" width="15.85546875" style="66" customWidth="1"/>
    <col min="5609" max="5609" width="15.140625" style="66" customWidth="1"/>
    <col min="5610" max="5668" width="13.7109375" style="66" customWidth="1"/>
    <col min="5669" max="5860" width="9.140625" style="66"/>
    <col min="5861" max="5861" width="5.42578125" style="66" customWidth="1"/>
    <col min="5862" max="5862" width="56.5703125" style="66" customWidth="1"/>
    <col min="5863" max="5863" width="15.28515625" style="66" customWidth="1"/>
    <col min="5864" max="5864" width="15.85546875" style="66" customWidth="1"/>
    <col min="5865" max="5865" width="15.140625" style="66" customWidth="1"/>
    <col min="5866" max="5924" width="13.7109375" style="66" customWidth="1"/>
    <col min="5925" max="6116" width="9.140625" style="66"/>
    <col min="6117" max="6117" width="5.42578125" style="66" customWidth="1"/>
    <col min="6118" max="6118" width="56.5703125" style="66" customWidth="1"/>
    <col min="6119" max="6119" width="15.28515625" style="66" customWidth="1"/>
    <col min="6120" max="6120" width="15.85546875" style="66" customWidth="1"/>
    <col min="6121" max="6121" width="15.140625" style="66" customWidth="1"/>
    <col min="6122" max="6180" width="13.7109375" style="66" customWidth="1"/>
    <col min="6181" max="6372" width="9.140625" style="66"/>
    <col min="6373" max="6373" width="5.42578125" style="66" customWidth="1"/>
    <col min="6374" max="6374" width="56.5703125" style="66" customWidth="1"/>
    <col min="6375" max="6375" width="15.28515625" style="66" customWidth="1"/>
    <col min="6376" max="6376" width="15.85546875" style="66" customWidth="1"/>
    <col min="6377" max="6377" width="15.140625" style="66" customWidth="1"/>
    <col min="6378" max="6436" width="13.7109375" style="66" customWidth="1"/>
    <col min="6437" max="6628" width="9.140625" style="66"/>
    <col min="6629" max="6629" width="5.42578125" style="66" customWidth="1"/>
    <col min="6630" max="6630" width="56.5703125" style="66" customWidth="1"/>
    <col min="6631" max="6631" width="15.28515625" style="66" customWidth="1"/>
    <col min="6632" max="6632" width="15.85546875" style="66" customWidth="1"/>
    <col min="6633" max="6633" width="15.140625" style="66" customWidth="1"/>
    <col min="6634" max="6692" width="13.7109375" style="66" customWidth="1"/>
    <col min="6693" max="6884" width="9.140625" style="66"/>
    <col min="6885" max="6885" width="5.42578125" style="66" customWidth="1"/>
    <col min="6886" max="6886" width="56.5703125" style="66" customWidth="1"/>
    <col min="6887" max="6887" width="15.28515625" style="66" customWidth="1"/>
    <col min="6888" max="6888" width="15.85546875" style="66" customWidth="1"/>
    <col min="6889" max="6889" width="15.140625" style="66" customWidth="1"/>
    <col min="6890" max="6948" width="13.7109375" style="66" customWidth="1"/>
    <col min="6949" max="7140" width="9.140625" style="66"/>
    <col min="7141" max="7141" width="5.42578125" style="66" customWidth="1"/>
    <col min="7142" max="7142" width="56.5703125" style="66" customWidth="1"/>
    <col min="7143" max="7143" width="15.28515625" style="66" customWidth="1"/>
    <col min="7144" max="7144" width="15.85546875" style="66" customWidth="1"/>
    <col min="7145" max="7145" width="15.140625" style="66" customWidth="1"/>
    <col min="7146" max="7204" width="13.7109375" style="66" customWidth="1"/>
    <col min="7205" max="7396" width="9.140625" style="66"/>
    <col min="7397" max="7397" width="5.42578125" style="66" customWidth="1"/>
    <col min="7398" max="7398" width="56.5703125" style="66" customWidth="1"/>
    <col min="7399" max="7399" width="15.28515625" style="66" customWidth="1"/>
    <col min="7400" max="7400" width="15.85546875" style="66" customWidth="1"/>
    <col min="7401" max="7401" width="15.140625" style="66" customWidth="1"/>
    <col min="7402" max="7460" width="13.7109375" style="66" customWidth="1"/>
    <col min="7461" max="7652" width="9.140625" style="66"/>
    <col min="7653" max="7653" width="5.42578125" style="66" customWidth="1"/>
    <col min="7654" max="7654" width="56.5703125" style="66" customWidth="1"/>
    <col min="7655" max="7655" width="15.28515625" style="66" customWidth="1"/>
    <col min="7656" max="7656" width="15.85546875" style="66" customWidth="1"/>
    <col min="7657" max="7657" width="15.140625" style="66" customWidth="1"/>
    <col min="7658" max="7716" width="13.7109375" style="66" customWidth="1"/>
    <col min="7717" max="7908" width="9.140625" style="66"/>
    <col min="7909" max="7909" width="5.42578125" style="66" customWidth="1"/>
    <col min="7910" max="7910" width="56.5703125" style="66" customWidth="1"/>
    <col min="7911" max="7911" width="15.28515625" style="66" customWidth="1"/>
    <col min="7912" max="7912" width="15.85546875" style="66" customWidth="1"/>
    <col min="7913" max="7913" width="15.140625" style="66" customWidth="1"/>
    <col min="7914" max="7972" width="13.7109375" style="66" customWidth="1"/>
    <col min="7973" max="8164" width="9.140625" style="66"/>
    <col min="8165" max="8165" width="5.42578125" style="66" customWidth="1"/>
    <col min="8166" max="8166" width="56.5703125" style="66" customWidth="1"/>
    <col min="8167" max="8167" width="15.28515625" style="66" customWidth="1"/>
    <col min="8168" max="8168" width="15.85546875" style="66" customWidth="1"/>
    <col min="8169" max="8169" width="15.140625" style="66" customWidth="1"/>
    <col min="8170" max="8228" width="13.7109375" style="66" customWidth="1"/>
    <col min="8229" max="8420" width="9.140625" style="66"/>
    <col min="8421" max="8421" width="5.42578125" style="66" customWidth="1"/>
    <col min="8422" max="8422" width="56.5703125" style="66" customWidth="1"/>
    <col min="8423" max="8423" width="15.28515625" style="66" customWidth="1"/>
    <col min="8424" max="8424" width="15.85546875" style="66" customWidth="1"/>
    <col min="8425" max="8425" width="15.140625" style="66" customWidth="1"/>
    <col min="8426" max="8484" width="13.7109375" style="66" customWidth="1"/>
    <col min="8485" max="8676" width="9.140625" style="66"/>
    <col min="8677" max="8677" width="5.42578125" style="66" customWidth="1"/>
    <col min="8678" max="8678" width="56.5703125" style="66" customWidth="1"/>
    <col min="8679" max="8679" width="15.28515625" style="66" customWidth="1"/>
    <col min="8680" max="8680" width="15.85546875" style="66" customWidth="1"/>
    <col min="8681" max="8681" width="15.140625" style="66" customWidth="1"/>
    <col min="8682" max="8740" width="13.7109375" style="66" customWidth="1"/>
    <col min="8741" max="8932" width="9.140625" style="66"/>
    <col min="8933" max="8933" width="5.42578125" style="66" customWidth="1"/>
    <col min="8934" max="8934" width="56.5703125" style="66" customWidth="1"/>
    <col min="8935" max="8935" width="15.28515625" style="66" customWidth="1"/>
    <col min="8936" max="8936" width="15.85546875" style="66" customWidth="1"/>
    <col min="8937" max="8937" width="15.140625" style="66" customWidth="1"/>
    <col min="8938" max="8996" width="13.7109375" style="66" customWidth="1"/>
    <col min="8997" max="9188" width="9.140625" style="66"/>
    <col min="9189" max="9189" width="5.42578125" style="66" customWidth="1"/>
    <col min="9190" max="9190" width="56.5703125" style="66" customWidth="1"/>
    <col min="9191" max="9191" width="15.28515625" style="66" customWidth="1"/>
    <col min="9192" max="9192" width="15.85546875" style="66" customWidth="1"/>
    <col min="9193" max="9193" width="15.140625" style="66" customWidth="1"/>
    <col min="9194" max="9252" width="13.7109375" style="66" customWidth="1"/>
    <col min="9253" max="9444" width="9.140625" style="66"/>
    <col min="9445" max="9445" width="5.42578125" style="66" customWidth="1"/>
    <col min="9446" max="9446" width="56.5703125" style="66" customWidth="1"/>
    <col min="9447" max="9447" width="15.28515625" style="66" customWidth="1"/>
    <col min="9448" max="9448" width="15.85546875" style="66" customWidth="1"/>
    <col min="9449" max="9449" width="15.140625" style="66" customWidth="1"/>
    <col min="9450" max="9508" width="13.7109375" style="66" customWidth="1"/>
    <col min="9509" max="9700" width="9.140625" style="66"/>
    <col min="9701" max="9701" width="5.42578125" style="66" customWidth="1"/>
    <col min="9702" max="9702" width="56.5703125" style="66" customWidth="1"/>
    <col min="9703" max="9703" width="15.28515625" style="66" customWidth="1"/>
    <col min="9704" max="9704" width="15.85546875" style="66" customWidth="1"/>
    <col min="9705" max="9705" width="15.140625" style="66" customWidth="1"/>
    <col min="9706" max="9764" width="13.7109375" style="66" customWidth="1"/>
    <col min="9765" max="9956" width="9.140625" style="66"/>
    <col min="9957" max="9957" width="5.42578125" style="66" customWidth="1"/>
    <col min="9958" max="9958" width="56.5703125" style="66" customWidth="1"/>
    <col min="9959" max="9959" width="15.28515625" style="66" customWidth="1"/>
    <col min="9960" max="9960" width="15.85546875" style="66" customWidth="1"/>
    <col min="9961" max="9961" width="15.140625" style="66" customWidth="1"/>
    <col min="9962" max="10020" width="13.7109375" style="66" customWidth="1"/>
    <col min="10021" max="10212" width="9.140625" style="66"/>
    <col min="10213" max="10213" width="5.42578125" style="66" customWidth="1"/>
    <col min="10214" max="10214" width="56.5703125" style="66" customWidth="1"/>
    <col min="10215" max="10215" width="15.28515625" style="66" customWidth="1"/>
    <col min="10216" max="10216" width="15.85546875" style="66" customWidth="1"/>
    <col min="10217" max="10217" width="15.140625" style="66" customWidth="1"/>
    <col min="10218" max="10276" width="13.7109375" style="66" customWidth="1"/>
    <col min="10277" max="10468" width="9.140625" style="66"/>
    <col min="10469" max="10469" width="5.42578125" style="66" customWidth="1"/>
    <col min="10470" max="10470" width="56.5703125" style="66" customWidth="1"/>
    <col min="10471" max="10471" width="15.28515625" style="66" customWidth="1"/>
    <col min="10472" max="10472" width="15.85546875" style="66" customWidth="1"/>
    <col min="10473" max="10473" width="15.140625" style="66" customWidth="1"/>
    <col min="10474" max="10532" width="13.7109375" style="66" customWidth="1"/>
    <col min="10533" max="10724" width="9.140625" style="66"/>
    <col min="10725" max="10725" width="5.42578125" style="66" customWidth="1"/>
    <col min="10726" max="10726" width="56.5703125" style="66" customWidth="1"/>
    <col min="10727" max="10727" width="15.28515625" style="66" customWidth="1"/>
    <col min="10728" max="10728" width="15.85546875" style="66" customWidth="1"/>
    <col min="10729" max="10729" width="15.140625" style="66" customWidth="1"/>
    <col min="10730" max="10788" width="13.7109375" style="66" customWidth="1"/>
    <col min="10789" max="10980" width="9.140625" style="66"/>
    <col min="10981" max="10981" width="5.42578125" style="66" customWidth="1"/>
    <col min="10982" max="10982" width="56.5703125" style="66" customWidth="1"/>
    <col min="10983" max="10983" width="15.28515625" style="66" customWidth="1"/>
    <col min="10984" max="10984" width="15.85546875" style="66" customWidth="1"/>
    <col min="10985" max="10985" width="15.140625" style="66" customWidth="1"/>
    <col min="10986" max="11044" width="13.7109375" style="66" customWidth="1"/>
    <col min="11045" max="11236" width="9.140625" style="66"/>
    <col min="11237" max="11237" width="5.42578125" style="66" customWidth="1"/>
    <col min="11238" max="11238" width="56.5703125" style="66" customWidth="1"/>
    <col min="11239" max="11239" width="15.28515625" style="66" customWidth="1"/>
    <col min="11240" max="11240" width="15.85546875" style="66" customWidth="1"/>
    <col min="11241" max="11241" width="15.140625" style="66" customWidth="1"/>
    <col min="11242" max="11300" width="13.7109375" style="66" customWidth="1"/>
    <col min="11301" max="11492" width="9.140625" style="66"/>
    <col min="11493" max="11493" width="5.42578125" style="66" customWidth="1"/>
    <col min="11494" max="11494" width="56.5703125" style="66" customWidth="1"/>
    <col min="11495" max="11495" width="15.28515625" style="66" customWidth="1"/>
    <col min="11496" max="11496" width="15.85546875" style="66" customWidth="1"/>
    <col min="11497" max="11497" width="15.140625" style="66" customWidth="1"/>
    <col min="11498" max="11556" width="13.7109375" style="66" customWidth="1"/>
    <col min="11557" max="11748" width="9.140625" style="66"/>
    <col min="11749" max="11749" width="5.42578125" style="66" customWidth="1"/>
    <col min="11750" max="11750" width="56.5703125" style="66" customWidth="1"/>
    <col min="11751" max="11751" width="15.28515625" style="66" customWidth="1"/>
    <col min="11752" max="11752" width="15.85546875" style="66" customWidth="1"/>
    <col min="11753" max="11753" width="15.140625" style="66" customWidth="1"/>
    <col min="11754" max="11812" width="13.7109375" style="66" customWidth="1"/>
    <col min="11813" max="12004" width="9.140625" style="66"/>
    <col min="12005" max="12005" width="5.42578125" style="66" customWidth="1"/>
    <col min="12006" max="12006" width="56.5703125" style="66" customWidth="1"/>
    <col min="12007" max="12007" width="15.28515625" style="66" customWidth="1"/>
    <col min="12008" max="12008" width="15.85546875" style="66" customWidth="1"/>
    <col min="12009" max="12009" width="15.140625" style="66" customWidth="1"/>
    <col min="12010" max="12068" width="13.7109375" style="66" customWidth="1"/>
    <col min="12069" max="12260" width="9.140625" style="66"/>
    <col min="12261" max="12261" width="5.42578125" style="66" customWidth="1"/>
    <col min="12262" max="12262" width="56.5703125" style="66" customWidth="1"/>
    <col min="12263" max="12263" width="15.28515625" style="66" customWidth="1"/>
    <col min="12264" max="12264" width="15.85546875" style="66" customWidth="1"/>
    <col min="12265" max="12265" width="15.140625" style="66" customWidth="1"/>
    <col min="12266" max="12324" width="13.7109375" style="66" customWidth="1"/>
    <col min="12325" max="12516" width="9.140625" style="66"/>
    <col min="12517" max="12517" width="5.42578125" style="66" customWidth="1"/>
    <col min="12518" max="12518" width="56.5703125" style="66" customWidth="1"/>
    <col min="12519" max="12519" width="15.28515625" style="66" customWidth="1"/>
    <col min="12520" max="12520" width="15.85546875" style="66" customWidth="1"/>
    <col min="12521" max="12521" width="15.140625" style="66" customWidth="1"/>
    <col min="12522" max="12580" width="13.7109375" style="66" customWidth="1"/>
    <col min="12581" max="12772" width="9.140625" style="66"/>
    <col min="12773" max="12773" width="5.42578125" style="66" customWidth="1"/>
    <col min="12774" max="12774" width="56.5703125" style="66" customWidth="1"/>
    <col min="12775" max="12775" width="15.28515625" style="66" customWidth="1"/>
    <col min="12776" max="12776" width="15.85546875" style="66" customWidth="1"/>
    <col min="12777" max="12777" width="15.140625" style="66" customWidth="1"/>
    <col min="12778" max="12836" width="13.7109375" style="66" customWidth="1"/>
    <col min="12837" max="13028" width="9.140625" style="66"/>
    <col min="13029" max="13029" width="5.42578125" style="66" customWidth="1"/>
    <col min="13030" max="13030" width="56.5703125" style="66" customWidth="1"/>
    <col min="13031" max="13031" width="15.28515625" style="66" customWidth="1"/>
    <col min="13032" max="13032" width="15.85546875" style="66" customWidth="1"/>
    <col min="13033" max="13033" width="15.140625" style="66" customWidth="1"/>
    <col min="13034" max="13092" width="13.7109375" style="66" customWidth="1"/>
    <col min="13093" max="13284" width="9.140625" style="66"/>
    <col min="13285" max="13285" width="5.42578125" style="66" customWidth="1"/>
    <col min="13286" max="13286" width="56.5703125" style="66" customWidth="1"/>
    <col min="13287" max="13287" width="15.28515625" style="66" customWidth="1"/>
    <col min="13288" max="13288" width="15.85546875" style="66" customWidth="1"/>
    <col min="13289" max="13289" width="15.140625" style="66" customWidth="1"/>
    <col min="13290" max="13348" width="13.7109375" style="66" customWidth="1"/>
    <col min="13349" max="13540" width="9.140625" style="66"/>
    <col min="13541" max="13541" width="5.42578125" style="66" customWidth="1"/>
    <col min="13542" max="13542" width="56.5703125" style="66" customWidth="1"/>
    <col min="13543" max="13543" width="15.28515625" style="66" customWidth="1"/>
    <col min="13544" max="13544" width="15.85546875" style="66" customWidth="1"/>
    <col min="13545" max="13545" width="15.140625" style="66" customWidth="1"/>
    <col min="13546" max="13604" width="13.7109375" style="66" customWidth="1"/>
    <col min="13605" max="13796" width="9.140625" style="66"/>
    <col min="13797" max="13797" width="5.42578125" style="66" customWidth="1"/>
    <col min="13798" max="13798" width="56.5703125" style="66" customWidth="1"/>
    <col min="13799" max="13799" width="15.28515625" style="66" customWidth="1"/>
    <col min="13800" max="13800" width="15.85546875" style="66" customWidth="1"/>
    <col min="13801" max="13801" width="15.140625" style="66" customWidth="1"/>
    <col min="13802" max="13860" width="13.7109375" style="66" customWidth="1"/>
    <col min="13861" max="14052" width="9.140625" style="66"/>
    <col min="14053" max="14053" width="5.42578125" style="66" customWidth="1"/>
    <col min="14054" max="14054" width="56.5703125" style="66" customWidth="1"/>
    <col min="14055" max="14055" width="15.28515625" style="66" customWidth="1"/>
    <col min="14056" max="14056" width="15.85546875" style="66" customWidth="1"/>
    <col min="14057" max="14057" width="15.140625" style="66" customWidth="1"/>
    <col min="14058" max="14116" width="13.7109375" style="66" customWidth="1"/>
    <col min="14117" max="14308" width="9.140625" style="66"/>
    <col min="14309" max="14309" width="5.42578125" style="66" customWidth="1"/>
    <col min="14310" max="14310" width="56.5703125" style="66" customWidth="1"/>
    <col min="14311" max="14311" width="15.28515625" style="66" customWidth="1"/>
    <col min="14312" max="14312" width="15.85546875" style="66" customWidth="1"/>
    <col min="14313" max="14313" width="15.140625" style="66" customWidth="1"/>
    <col min="14314" max="14372" width="13.7109375" style="66" customWidth="1"/>
    <col min="14373" max="14564" width="9.140625" style="66"/>
    <col min="14565" max="14565" width="5.42578125" style="66" customWidth="1"/>
    <col min="14566" max="14566" width="56.5703125" style="66" customWidth="1"/>
    <col min="14567" max="14567" width="15.28515625" style="66" customWidth="1"/>
    <col min="14568" max="14568" width="15.85546875" style="66" customWidth="1"/>
    <col min="14569" max="14569" width="15.140625" style="66" customWidth="1"/>
    <col min="14570" max="14628" width="13.7109375" style="66" customWidth="1"/>
    <col min="14629" max="14820" width="9.140625" style="66"/>
    <col min="14821" max="14821" width="5.42578125" style="66" customWidth="1"/>
    <col min="14822" max="14822" width="56.5703125" style="66" customWidth="1"/>
    <col min="14823" max="14823" width="15.28515625" style="66" customWidth="1"/>
    <col min="14824" max="14824" width="15.85546875" style="66" customWidth="1"/>
    <col min="14825" max="14825" width="15.140625" style="66" customWidth="1"/>
    <col min="14826" max="14884" width="13.7109375" style="66" customWidth="1"/>
    <col min="14885" max="15076" width="9.140625" style="66"/>
    <col min="15077" max="15077" width="5.42578125" style="66" customWidth="1"/>
    <col min="15078" max="15078" width="56.5703125" style="66" customWidth="1"/>
    <col min="15079" max="15079" width="15.28515625" style="66" customWidth="1"/>
    <col min="15080" max="15080" width="15.85546875" style="66" customWidth="1"/>
    <col min="15081" max="15081" width="15.140625" style="66" customWidth="1"/>
    <col min="15082" max="15140" width="13.7109375" style="66" customWidth="1"/>
    <col min="15141" max="15332" width="9.140625" style="66"/>
    <col min="15333" max="15333" width="5.42578125" style="66" customWidth="1"/>
    <col min="15334" max="15334" width="56.5703125" style="66" customWidth="1"/>
    <col min="15335" max="15335" width="15.28515625" style="66" customWidth="1"/>
    <col min="15336" max="15336" width="15.85546875" style="66" customWidth="1"/>
    <col min="15337" max="15337" width="15.140625" style="66" customWidth="1"/>
    <col min="15338" max="15396" width="13.7109375" style="66" customWidth="1"/>
    <col min="15397" max="15588" width="9.140625" style="66"/>
    <col min="15589" max="15589" width="5.42578125" style="66" customWidth="1"/>
    <col min="15590" max="15590" width="56.5703125" style="66" customWidth="1"/>
    <col min="15591" max="15591" width="15.28515625" style="66" customWidth="1"/>
    <col min="15592" max="15592" width="15.85546875" style="66" customWidth="1"/>
    <col min="15593" max="15593" width="15.140625" style="66" customWidth="1"/>
    <col min="15594" max="15652" width="13.7109375" style="66" customWidth="1"/>
    <col min="15653" max="15844" width="9.140625" style="66"/>
    <col min="15845" max="15845" width="5.42578125" style="66" customWidth="1"/>
    <col min="15846" max="15846" width="56.5703125" style="66" customWidth="1"/>
    <col min="15847" max="15847" width="15.28515625" style="66" customWidth="1"/>
    <col min="15848" max="15848" width="15.85546875" style="66" customWidth="1"/>
    <col min="15849" max="15849" width="15.140625" style="66" customWidth="1"/>
    <col min="15850" max="15908" width="13.7109375" style="66" customWidth="1"/>
    <col min="15909" max="16100" width="9.140625" style="66"/>
    <col min="16101" max="16101" width="5.42578125" style="66" customWidth="1"/>
    <col min="16102" max="16102" width="56.5703125" style="66" customWidth="1"/>
    <col min="16103" max="16103" width="15.28515625" style="66" customWidth="1"/>
    <col min="16104" max="16104" width="15.85546875" style="66" customWidth="1"/>
    <col min="16105" max="16105" width="15.140625" style="66" customWidth="1"/>
    <col min="16106" max="16164" width="13.7109375" style="66" customWidth="1"/>
    <col min="16165" max="16384" width="9.140625" style="66"/>
  </cols>
  <sheetData>
    <row r="1" spans="2:36" ht="15.75">
      <c r="F1" s="31" t="s">
        <v>67</v>
      </c>
    </row>
    <row r="2" spans="2:36" s="30" customFormat="1">
      <c r="B2" s="32" t="s">
        <v>127</v>
      </c>
      <c r="C2" s="32"/>
      <c r="D2" s="32"/>
      <c r="E2" s="255" t="s">
        <v>62</v>
      </c>
      <c r="F2" s="33">
        <v>0</v>
      </c>
      <c r="G2" s="33">
        <v>1</v>
      </c>
      <c r="H2" s="33">
        <v>2</v>
      </c>
      <c r="I2" s="33">
        <v>3</v>
      </c>
      <c r="J2" s="33">
        <v>4</v>
      </c>
      <c r="K2" s="33">
        <v>5</v>
      </c>
      <c r="L2" s="33">
        <v>6</v>
      </c>
      <c r="M2" s="33">
        <v>7</v>
      </c>
      <c r="N2" s="33">
        <v>8</v>
      </c>
      <c r="O2" s="33">
        <v>9</v>
      </c>
      <c r="P2" s="33">
        <v>10</v>
      </c>
      <c r="Q2" s="33">
        <v>11</v>
      </c>
      <c r="R2" s="33">
        <v>12</v>
      </c>
      <c r="S2" s="33">
        <v>13</v>
      </c>
      <c r="T2" s="33">
        <v>14</v>
      </c>
      <c r="U2" s="33">
        <v>15</v>
      </c>
      <c r="V2" s="33">
        <v>16</v>
      </c>
      <c r="W2" s="33">
        <v>17</v>
      </c>
      <c r="X2" s="33">
        <v>18</v>
      </c>
      <c r="Y2" s="33">
        <v>19</v>
      </c>
      <c r="Z2" s="33">
        <v>20</v>
      </c>
      <c r="AA2" s="33">
        <v>21</v>
      </c>
      <c r="AB2" s="33">
        <v>22</v>
      </c>
      <c r="AC2" s="33">
        <v>23</v>
      </c>
      <c r="AD2" s="33">
        <v>24</v>
      </c>
      <c r="AE2" s="33">
        <v>25</v>
      </c>
      <c r="AF2" s="33">
        <v>26</v>
      </c>
      <c r="AG2" s="33">
        <v>27</v>
      </c>
      <c r="AH2" s="33">
        <v>28</v>
      </c>
      <c r="AI2" s="33">
        <v>29</v>
      </c>
      <c r="AJ2" s="33">
        <v>30</v>
      </c>
    </row>
    <row r="3" spans="2:36" s="30" customFormat="1"/>
    <row r="4" spans="2:36" s="30" customFormat="1">
      <c r="B4" s="30" t="s">
        <v>68</v>
      </c>
      <c r="E4" s="81"/>
      <c r="G4" s="321">
        <v>1</v>
      </c>
      <c r="H4" s="34">
        <f>G4*(1-Inputs!$G$10)</f>
        <v>0.995</v>
      </c>
      <c r="I4" s="34">
        <f>H4*(1-Inputs!$G$10)</f>
        <v>0.99002500000000004</v>
      </c>
      <c r="J4" s="34">
        <f>I4*(1-Inputs!$G$10)</f>
        <v>0.98507487500000002</v>
      </c>
      <c r="K4" s="34">
        <f>J4*(1-Inputs!$G$10)</f>
        <v>0.98014950062500006</v>
      </c>
      <c r="L4" s="34">
        <f>K4*(1-Inputs!$G$10)</f>
        <v>0.97524875312187509</v>
      </c>
      <c r="M4" s="34">
        <f>L4*(1-Inputs!$G$10)</f>
        <v>0.97037250935626573</v>
      </c>
      <c r="N4" s="34">
        <f>M4*(1-Inputs!$G$10)</f>
        <v>0.96552064680948435</v>
      </c>
      <c r="O4" s="34">
        <f>N4*(1-Inputs!$G$10)</f>
        <v>0.96069304357543694</v>
      </c>
      <c r="P4" s="34">
        <f>O4*(1-Inputs!$G$10)</f>
        <v>0.95588957835755972</v>
      </c>
      <c r="Q4" s="34">
        <f>P4*(1-Inputs!$G$10)</f>
        <v>0.95111013046577186</v>
      </c>
      <c r="R4" s="34">
        <f>Q4*(1-Inputs!$G$10)</f>
        <v>0.94635457981344295</v>
      </c>
      <c r="S4" s="34">
        <f>R4*(1-Inputs!$G$10)</f>
        <v>0.94162280691437572</v>
      </c>
      <c r="T4" s="34">
        <f>S4*(1-Inputs!$G$10)</f>
        <v>0.93691469287980389</v>
      </c>
      <c r="U4" s="34">
        <f>T4*(1-Inputs!$G$10)</f>
        <v>0.9322301194154049</v>
      </c>
      <c r="V4" s="34">
        <f>U4*(1-Inputs!$G$10)</f>
        <v>0.92756896881832784</v>
      </c>
      <c r="W4" s="34">
        <f>V4*(1-Inputs!$G$10)</f>
        <v>0.92293112397423616</v>
      </c>
      <c r="X4" s="34">
        <f>W4*(1-Inputs!$G$10)</f>
        <v>0.91831646835436498</v>
      </c>
      <c r="Y4" s="34">
        <f>X4*(1-Inputs!$G$10)</f>
        <v>0.91372488601259316</v>
      </c>
      <c r="Z4" s="34">
        <f>Y4*(1-Inputs!$G$10)</f>
        <v>0.90915626158253016</v>
      </c>
      <c r="AA4" s="34">
        <f>Z4*(1-Inputs!$G$10)</f>
        <v>0.90461048027461755</v>
      </c>
      <c r="AB4" s="34">
        <f>AA4*(1-Inputs!$G$10)</f>
        <v>0.90008742787324447</v>
      </c>
      <c r="AC4" s="34">
        <f>AB4*(1-Inputs!$G$10)</f>
        <v>0.89558699073387826</v>
      </c>
      <c r="AD4" s="34">
        <f>AC4*(1-Inputs!$G$10)</f>
        <v>0.89110905578020883</v>
      </c>
      <c r="AE4" s="34">
        <f>AD4*(1-Inputs!$G$10)</f>
        <v>0.88665351050130781</v>
      </c>
      <c r="AF4" s="34">
        <f>AE4*(1-Inputs!$G$10)</f>
        <v>0.8822202429488013</v>
      </c>
      <c r="AG4" s="34">
        <f>AF4*(1-Inputs!$G$10)</f>
        <v>0.87780914173405733</v>
      </c>
      <c r="AH4" s="34">
        <f>AG4*(1-Inputs!$G$10)</f>
        <v>0.87342009602538706</v>
      </c>
      <c r="AI4" s="34">
        <f>AH4*(1-Inputs!$G$10)</f>
        <v>0.86905299554526017</v>
      </c>
      <c r="AJ4" s="34">
        <f>AI4*(1-Inputs!$G$10)</f>
        <v>0.86470773056753381</v>
      </c>
    </row>
    <row r="5" spans="2:36" s="30" customFormat="1" ht="15.75">
      <c r="B5" s="35" t="s">
        <v>3</v>
      </c>
      <c r="C5" s="35"/>
      <c r="D5" s="35"/>
      <c r="E5" s="81" t="s">
        <v>2</v>
      </c>
      <c r="G5" s="36">
        <f>Inputs!$G$9</f>
        <v>28032000</v>
      </c>
      <c r="H5" s="36">
        <f>IF(H$2&gt;Inputs!$G$11,0,Inputs!$G$9*H$4)</f>
        <v>27891840</v>
      </c>
      <c r="I5" s="36">
        <f>IF(I$2&gt;Inputs!$G$11,0,Inputs!$G$9*I$4)</f>
        <v>27752380.800000001</v>
      </c>
      <c r="J5" s="36">
        <f>IF(J$2&gt;Inputs!$G$11,0,Inputs!$G$9*J$4)</f>
        <v>27613618.896000002</v>
      </c>
      <c r="K5" s="36">
        <f>IF(K$2&gt;Inputs!$G$11,0,Inputs!$G$9*K$4)</f>
        <v>27475550.801520001</v>
      </c>
      <c r="L5" s="36">
        <f>IF(L$2&gt;Inputs!$G$11,0,Inputs!$G$9*L$4)</f>
        <v>27338173.047512401</v>
      </c>
      <c r="M5" s="36">
        <f>IF(M$2&gt;Inputs!$G$11,0,Inputs!$G$9*M$4)</f>
        <v>27201482.182274841</v>
      </c>
      <c r="N5" s="36">
        <f>IF(N$2&gt;Inputs!$G$11,0,Inputs!$G$9*N$4)</f>
        <v>27065474.771363467</v>
      </c>
      <c r="O5" s="36">
        <f>IF(O$2&gt;Inputs!$G$11,0,Inputs!$G$9*O$4)</f>
        <v>26930147.397506647</v>
      </c>
      <c r="P5" s="36">
        <f>IF(P$2&gt;Inputs!$G$11,0,Inputs!$G$9*P$4)</f>
        <v>26795496.660519116</v>
      </c>
      <c r="Q5" s="36">
        <f>IF(Q$2&gt;Inputs!$G$11,0,Inputs!$G$9*Q$4)</f>
        <v>26661519.177216519</v>
      </c>
      <c r="R5" s="36">
        <f>IF(R$2&gt;Inputs!$G$11,0,Inputs!$G$9*R$4)</f>
        <v>26528211.581330433</v>
      </c>
      <c r="S5" s="36">
        <f>IF(S$2&gt;Inputs!$G$11,0,Inputs!$G$9*S$4)</f>
        <v>26395570.52342378</v>
      </c>
      <c r="T5" s="36">
        <f>IF(T$2&gt;Inputs!$G$11,0,Inputs!$G$9*T$4)</f>
        <v>26263592.670806661</v>
      </c>
      <c r="U5" s="36">
        <f>IF(U$2&gt;Inputs!$G$11,0,Inputs!$G$9*U$4)</f>
        <v>26132274.707452629</v>
      </c>
      <c r="V5" s="36">
        <f>IF(V$2&gt;Inputs!$G$11,0,Inputs!$G$9*V$4)</f>
        <v>26001613.333915368</v>
      </c>
      <c r="W5" s="36">
        <f>IF(W$2&gt;Inputs!$G$11,0,Inputs!$G$9*W$4)</f>
        <v>25871605.267245788</v>
      </c>
      <c r="X5" s="36">
        <f>IF(X$2&gt;Inputs!$G$11,0,Inputs!$G$9*X$4)</f>
        <v>25742247.240909558</v>
      </c>
      <c r="Y5" s="36">
        <f>IF(Y$2&gt;Inputs!$G$11,0,Inputs!$G$9*Y$4)</f>
        <v>25613536.004705012</v>
      </c>
      <c r="Z5" s="36">
        <f>IF(Z$2&gt;Inputs!$G$11,0,Inputs!$G$9*Z$4)</f>
        <v>25485468.324681487</v>
      </c>
      <c r="AA5" s="36">
        <f>IF(AA$2&gt;Inputs!$G$11,0,Inputs!$G$9*AA$4)</f>
        <v>0</v>
      </c>
      <c r="AB5" s="36">
        <f>IF(AB$2&gt;Inputs!$G$11,0,Inputs!$G$9*AB$4)</f>
        <v>0</v>
      </c>
      <c r="AC5" s="36">
        <f>IF(AC$2&gt;Inputs!$G$11,0,Inputs!$G$9*AC$4)</f>
        <v>0</v>
      </c>
      <c r="AD5" s="36">
        <f>IF(AD$2&gt;Inputs!$G$11,0,Inputs!$G$9*AD$4)</f>
        <v>0</v>
      </c>
      <c r="AE5" s="36">
        <f>IF(AE$2&gt;Inputs!$G$11,0,Inputs!$G$9*AE$4)</f>
        <v>0</v>
      </c>
      <c r="AF5" s="36">
        <f>IF(AF$2&gt;Inputs!$G$11,0,Inputs!$G$9*AF$4)</f>
        <v>0</v>
      </c>
      <c r="AG5" s="36">
        <f>IF(AG$2&gt;Inputs!$G$11,0,Inputs!$G$9*AG$4)</f>
        <v>0</v>
      </c>
      <c r="AH5" s="36">
        <f>IF(AH$2&gt;Inputs!$G$11,0,Inputs!$G$9*AH$4)</f>
        <v>0</v>
      </c>
      <c r="AI5" s="36">
        <f>IF(AI$2&gt;Inputs!$G$11,0,Inputs!$G$9*AI$4)</f>
        <v>0</v>
      </c>
      <c r="AJ5" s="36">
        <f>IF(AJ$2&gt;Inputs!$G$11,0,Inputs!$G$9*AJ$4)</f>
        <v>0</v>
      </c>
    </row>
    <row r="6" spans="2:36" s="30" customFormat="1" ht="15.75">
      <c r="B6" s="35"/>
      <c r="C6" s="35"/>
      <c r="D6" s="35"/>
      <c r="G6" s="36"/>
      <c r="H6" s="36"/>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row>
    <row r="7" spans="2:36" s="30" customFormat="1" ht="15.75">
      <c r="B7" s="35" t="s">
        <v>104</v>
      </c>
      <c r="C7" s="35"/>
      <c r="D7" s="35"/>
      <c r="E7" s="81"/>
    </row>
    <row r="8" spans="2:36" s="30" customFormat="1">
      <c r="B8" s="30" t="s">
        <v>106</v>
      </c>
      <c r="E8" s="81"/>
      <c r="G8" s="321">
        <v>1</v>
      </c>
      <c r="H8" s="34">
        <f>G8*(1+(Inputs!$Q$9*Inputs!$Q$8))</f>
        <v>1</v>
      </c>
      <c r="I8" s="34">
        <f>H8*(1+(Inputs!$Q$9*Inputs!$Q$8))</f>
        <v>1</v>
      </c>
      <c r="J8" s="34">
        <f>I8*(1+(Inputs!$Q$9*Inputs!$Q$8))</f>
        <v>1</v>
      </c>
      <c r="K8" s="34">
        <f>J8*(1+(Inputs!$Q$9*Inputs!$Q$8))</f>
        <v>1</v>
      </c>
      <c r="L8" s="34">
        <f>K8*(1+(Inputs!$Q$9*Inputs!$Q$8))</f>
        <v>1</v>
      </c>
      <c r="M8" s="34">
        <f>L8*(1+(Inputs!$Q$9*Inputs!$Q$8))</f>
        <v>1</v>
      </c>
      <c r="N8" s="34">
        <f>M8*(1+(Inputs!$Q$9*Inputs!$Q$8))</f>
        <v>1</v>
      </c>
      <c r="O8" s="34">
        <f>N8*(1+(Inputs!$Q$9*Inputs!$Q$8))</f>
        <v>1</v>
      </c>
      <c r="P8" s="34">
        <f>O8*(1+(Inputs!$Q$9*Inputs!$Q$8))</f>
        <v>1</v>
      </c>
      <c r="Q8" s="34">
        <f>P8*(1+(Inputs!$Q$9*Inputs!$Q$8))</f>
        <v>1</v>
      </c>
      <c r="R8" s="34">
        <f>Q8*(1+(Inputs!$Q$9*Inputs!$Q$8))</f>
        <v>1</v>
      </c>
      <c r="S8" s="34">
        <f>R8*(1+(Inputs!$Q$9*Inputs!$Q$8))</f>
        <v>1</v>
      </c>
      <c r="T8" s="34">
        <f>S8*(1+(Inputs!$Q$9*Inputs!$Q$8))</f>
        <v>1</v>
      </c>
      <c r="U8" s="34">
        <f>T8*(1+(Inputs!$Q$9*Inputs!$Q$8))</f>
        <v>1</v>
      </c>
      <c r="V8" s="34">
        <f>U8*(1+(Inputs!$Q$9*Inputs!$Q$8))</f>
        <v>1</v>
      </c>
      <c r="W8" s="34">
        <f>V8*(1+(Inputs!$Q$9*Inputs!$Q$8))</f>
        <v>1</v>
      </c>
      <c r="X8" s="34">
        <f>W8*(1+(Inputs!$Q$9*Inputs!$Q$8))</f>
        <v>1</v>
      </c>
      <c r="Y8" s="34">
        <f>X8*(1+(Inputs!$Q$9*Inputs!$Q$8))</f>
        <v>1</v>
      </c>
      <c r="Z8" s="34">
        <f>Y8*(1+(Inputs!$Q$9*Inputs!$Q$8))</f>
        <v>1</v>
      </c>
      <c r="AA8" s="34">
        <f>Z8*(1+(Inputs!$Q$9*Inputs!$Q$8))</f>
        <v>1</v>
      </c>
      <c r="AB8" s="34">
        <f>AA8*(1+(Inputs!$Q$9*Inputs!$Q$8))</f>
        <v>1</v>
      </c>
      <c r="AC8" s="34">
        <f>AB8*(1+(Inputs!$Q$9*Inputs!$Q$8))</f>
        <v>1</v>
      </c>
      <c r="AD8" s="34">
        <f>AC8*(1+(Inputs!$Q$9*Inputs!$Q$8))</f>
        <v>1</v>
      </c>
      <c r="AE8" s="34">
        <f>AD8*(1+(Inputs!$Q$9*Inputs!$Q$8))</f>
        <v>1</v>
      </c>
      <c r="AF8" s="34">
        <f>AE8*(1+(Inputs!$Q$9*Inputs!$Q$8))</f>
        <v>1</v>
      </c>
      <c r="AG8" s="34">
        <f>AF8*(1+(Inputs!$Q$9*Inputs!$Q$8))</f>
        <v>1</v>
      </c>
      <c r="AH8" s="34">
        <f>AG8*(1+(Inputs!$Q$9*Inputs!$Q$8))</f>
        <v>1</v>
      </c>
      <c r="AI8" s="34">
        <f>AH8*(1+(Inputs!$Q$9*Inputs!$Q$8))</f>
        <v>1</v>
      </c>
      <c r="AJ8" s="34">
        <f>AI8*(1+(Inputs!$Q$9*Inputs!$Q$8))</f>
        <v>1</v>
      </c>
    </row>
    <row r="9" spans="2:36" s="30" customFormat="1">
      <c r="B9" s="30" t="s">
        <v>147</v>
      </c>
      <c r="E9" s="81"/>
      <c r="G9" s="321">
        <v>1</v>
      </c>
      <c r="H9" s="34">
        <f>G9*(1+Inputs!$Q$25)</f>
        <v>1.02</v>
      </c>
      <c r="I9" s="34">
        <f>H9*(1+Inputs!$Q$25)</f>
        <v>1.0404</v>
      </c>
      <c r="J9" s="34">
        <f>I9*(1+Inputs!$Q$25)</f>
        <v>1.0612079999999999</v>
      </c>
      <c r="K9" s="34">
        <f>J9*(1+Inputs!$Q$25)</f>
        <v>1.08243216</v>
      </c>
      <c r="L9" s="34">
        <f>K9*(1+Inputs!$Q$25)</f>
        <v>1.1040808032</v>
      </c>
      <c r="M9" s="34">
        <f>L9*(1+Inputs!$Q$25)</f>
        <v>1.1261624192640001</v>
      </c>
      <c r="N9" s="34">
        <f>M9*(1+Inputs!$Q$25)</f>
        <v>1.14868566764928</v>
      </c>
      <c r="O9" s="34">
        <f>N9*(1+Inputs!$Q$25)</f>
        <v>1.1716593810022657</v>
      </c>
      <c r="P9" s="34">
        <f>O9*(1+Inputs!$Q$25)</f>
        <v>1.1950925686223111</v>
      </c>
      <c r="Q9" s="34">
        <f>P9*(1+Inputs!$Q$25)</f>
        <v>1.2189944199947573</v>
      </c>
      <c r="R9" s="34">
        <f>Q9*(1+Inputs!$Q$25)</f>
        <v>1.2433743083946525</v>
      </c>
      <c r="S9" s="34">
        <f>R9*(1+Inputs!$Q$25)</f>
        <v>1.2682417945625455</v>
      </c>
      <c r="T9" s="34">
        <f>S9*(1+Inputs!$Q$25)</f>
        <v>1.2936066304537963</v>
      </c>
      <c r="U9" s="34">
        <f>T9*(1+Inputs!$Q$25)</f>
        <v>1.3194787630628724</v>
      </c>
      <c r="V9" s="34">
        <f>U9*(1+Inputs!$Q$25)</f>
        <v>1.3458683383241299</v>
      </c>
      <c r="W9" s="34">
        <f>V9*(1+Inputs!$Q$25)</f>
        <v>1.3727857050906125</v>
      </c>
      <c r="X9" s="34">
        <f>W9*(1+Inputs!$Q$25)</f>
        <v>1.4002414191924248</v>
      </c>
      <c r="Y9" s="34">
        <f>X9*(1+Inputs!$Q$25)</f>
        <v>1.4282462475762734</v>
      </c>
      <c r="Z9" s="34">
        <f>Y9*(1+Inputs!$Q$25)</f>
        <v>1.4568111725277988</v>
      </c>
      <c r="AA9" s="34">
        <f>Z9*(1+Inputs!$Q$25)</f>
        <v>1.4859473959783549</v>
      </c>
      <c r="AB9" s="34">
        <f>AA9*(1+Inputs!$Q$25)</f>
        <v>1.5156663438979221</v>
      </c>
      <c r="AC9" s="34">
        <f>AB9*(1+Inputs!$Q$25)</f>
        <v>1.5459796707758806</v>
      </c>
      <c r="AD9" s="34">
        <f>AC9*(1+Inputs!$Q$25)</f>
        <v>1.5768992641913981</v>
      </c>
      <c r="AE9" s="34">
        <f>AD9*(1+Inputs!$Q$25)</f>
        <v>1.6084372494752261</v>
      </c>
      <c r="AF9" s="34">
        <f>AE9*(1+Inputs!$Q$25)</f>
        <v>1.6406059944647307</v>
      </c>
      <c r="AG9" s="34">
        <f>AF9*(1+Inputs!$Q$25)</f>
        <v>1.6734181143540252</v>
      </c>
      <c r="AH9" s="34">
        <f>AG9*(1+Inputs!$Q$25)</f>
        <v>1.7068864766411058</v>
      </c>
      <c r="AI9" s="34">
        <f>AH9*(1+Inputs!$Q$25)</f>
        <v>1.7410242061739281</v>
      </c>
      <c r="AJ9" s="34">
        <f>AI9*(1+Inputs!$Q$25)</f>
        <v>1.7758446902974065</v>
      </c>
    </row>
    <row r="10" spans="2:36" s="30" customFormat="1">
      <c r="B10" s="30" t="s">
        <v>148</v>
      </c>
      <c r="E10" s="81"/>
      <c r="G10" s="321">
        <v>1</v>
      </c>
      <c r="H10" s="34">
        <f>G10*(1+Inputs!$Q$39)</f>
        <v>1.02</v>
      </c>
      <c r="I10" s="34">
        <f>H10*(1+Inputs!$Q$39)</f>
        <v>1.0404</v>
      </c>
      <c r="J10" s="34">
        <f>I10*(1+Inputs!$Q$39)</f>
        <v>1.0612079999999999</v>
      </c>
      <c r="K10" s="34">
        <f>J10*(1+Inputs!$Q$39)</f>
        <v>1.08243216</v>
      </c>
      <c r="L10" s="34">
        <f>K10*(1+Inputs!$Q$39)</f>
        <v>1.1040808032</v>
      </c>
      <c r="M10" s="34">
        <f>L10*(1+Inputs!$Q$39)</f>
        <v>1.1261624192640001</v>
      </c>
      <c r="N10" s="34">
        <f>M10*(1+Inputs!$Q$39)</f>
        <v>1.14868566764928</v>
      </c>
      <c r="O10" s="34">
        <f>N10*(1+Inputs!$Q$39)</f>
        <v>1.1716593810022657</v>
      </c>
      <c r="P10" s="34">
        <f>O10*(1+Inputs!$Q$39)</f>
        <v>1.1950925686223111</v>
      </c>
      <c r="Q10" s="34">
        <f>P10*(1+Inputs!$Q$39)</f>
        <v>1.2189944199947573</v>
      </c>
      <c r="R10" s="34">
        <f>Q10*(1+Inputs!$Q$39)</f>
        <v>1.2433743083946525</v>
      </c>
      <c r="S10" s="34">
        <f>R10*(1+Inputs!$Q$39)</f>
        <v>1.2682417945625455</v>
      </c>
      <c r="T10" s="34">
        <f>S10*(1+Inputs!$Q$39)</f>
        <v>1.2936066304537963</v>
      </c>
      <c r="U10" s="34">
        <f>T10*(1+Inputs!$Q$39)</f>
        <v>1.3194787630628724</v>
      </c>
      <c r="V10" s="34">
        <f>U10*(1+Inputs!$Q$39)</f>
        <v>1.3458683383241299</v>
      </c>
      <c r="W10" s="34">
        <f>V10*(1+Inputs!$Q$39)</f>
        <v>1.3727857050906125</v>
      </c>
      <c r="X10" s="34">
        <f>W10*(1+Inputs!$Q$39)</f>
        <v>1.4002414191924248</v>
      </c>
      <c r="Y10" s="34">
        <f>X10*(1+Inputs!$Q$39)</f>
        <v>1.4282462475762734</v>
      </c>
      <c r="Z10" s="34">
        <f>Y10*(1+Inputs!$Q$39)</f>
        <v>1.4568111725277988</v>
      </c>
      <c r="AA10" s="34">
        <f>Z10*(1+Inputs!$Q$39)</f>
        <v>1.4859473959783549</v>
      </c>
      <c r="AB10" s="34">
        <f>AA10*(1+Inputs!$Q$39)</f>
        <v>1.5156663438979221</v>
      </c>
      <c r="AC10" s="34">
        <f>AB10*(1+Inputs!$Q$39)</f>
        <v>1.5459796707758806</v>
      </c>
      <c r="AD10" s="34">
        <f>AC10*(1+Inputs!$Q$39)</f>
        <v>1.5768992641913981</v>
      </c>
      <c r="AE10" s="34">
        <f>AD10*(1+Inputs!$Q$39)</f>
        <v>1.6084372494752261</v>
      </c>
      <c r="AF10" s="34">
        <f>AE10*(1+Inputs!$Q$39)</f>
        <v>1.6406059944647307</v>
      </c>
      <c r="AG10" s="34">
        <f>AF10*(1+Inputs!$Q$39)</f>
        <v>1.6734181143540252</v>
      </c>
      <c r="AH10" s="34">
        <f>AG10*(1+Inputs!$Q$39)</f>
        <v>1.7068864766411058</v>
      </c>
      <c r="AI10" s="34">
        <f>AH10*(1+Inputs!$Q$39)</f>
        <v>1.7410242061739281</v>
      </c>
      <c r="AJ10" s="34">
        <f>AI10*(1+Inputs!$Q$39)</f>
        <v>1.7758446902974065</v>
      </c>
    </row>
    <row r="11" spans="2:36" s="30" customFormat="1" ht="15.75">
      <c r="E11" s="81"/>
      <c r="F11" s="81"/>
      <c r="G11" s="90"/>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row>
    <row r="12" spans="2:36" s="30" customFormat="1">
      <c r="B12" s="37" t="s">
        <v>271</v>
      </c>
      <c r="C12" s="37"/>
      <c r="D12" s="37"/>
      <c r="E12" s="81" t="s">
        <v>53</v>
      </c>
      <c r="F12" s="384">
        <f>1-F13</f>
        <v>1</v>
      </c>
      <c r="G12" s="92">
        <f>$G$72*$F12</f>
        <v>10.050000000000001</v>
      </c>
      <c r="H12" s="92">
        <f>IF(H2&gt;Inputs!$Q$7,0,G12)</f>
        <v>10.050000000000001</v>
      </c>
      <c r="I12" s="92">
        <f>IF(I2&gt;Inputs!$Q$7,0,H12)</f>
        <v>10.050000000000001</v>
      </c>
      <c r="J12" s="92">
        <f>IF(J2&gt;Inputs!$Q$7,0,I12)</f>
        <v>10.050000000000001</v>
      </c>
      <c r="K12" s="92">
        <f>IF(K2&gt;Inputs!$Q$7,0,J12)</f>
        <v>10.050000000000001</v>
      </c>
      <c r="L12" s="92">
        <f>IF(L2&gt;Inputs!$Q$7,0,K12)</f>
        <v>10.050000000000001</v>
      </c>
      <c r="M12" s="92">
        <f>IF(M2&gt;Inputs!$Q$7,0,L12)</f>
        <v>10.050000000000001</v>
      </c>
      <c r="N12" s="92">
        <f>IF(N2&gt;Inputs!$Q$7,0,M12)</f>
        <v>10.050000000000001</v>
      </c>
      <c r="O12" s="92">
        <f>IF(O2&gt;Inputs!$Q$7,0,N12)</f>
        <v>10.050000000000001</v>
      </c>
      <c r="P12" s="92">
        <f>IF(P2&gt;Inputs!$Q$7,0,O12)</f>
        <v>10.050000000000001</v>
      </c>
      <c r="Q12" s="92">
        <f>IF(Q2&gt;Inputs!$Q$7,0,P12)</f>
        <v>10.050000000000001</v>
      </c>
      <c r="R12" s="92">
        <f>IF(R2&gt;Inputs!$Q$7,0,Q12)</f>
        <v>10.050000000000001</v>
      </c>
      <c r="S12" s="92">
        <f>IF(S2&gt;Inputs!$Q$7,0,R12)</f>
        <v>10.050000000000001</v>
      </c>
      <c r="T12" s="92">
        <f>IF(T2&gt;Inputs!$Q$7,0,S12)</f>
        <v>10.050000000000001</v>
      </c>
      <c r="U12" s="92">
        <f>IF(U2&gt;Inputs!$Q$7,0,T12)</f>
        <v>10.050000000000001</v>
      </c>
      <c r="V12" s="92">
        <f>IF(V2&gt;Inputs!$Q$7,0,U12)</f>
        <v>10.050000000000001</v>
      </c>
      <c r="W12" s="92">
        <f>IF(W2&gt;Inputs!$Q$7,0,V12)</f>
        <v>10.050000000000001</v>
      </c>
      <c r="X12" s="92">
        <f>IF(X2&gt;Inputs!$Q$7,0,W12)</f>
        <v>10.050000000000001</v>
      </c>
      <c r="Y12" s="92">
        <f>IF(Y2&gt;Inputs!$Q$7,0,X12)</f>
        <v>10.050000000000001</v>
      </c>
      <c r="Z12" s="92">
        <f>IF(Z2&gt;Inputs!$Q$7,0,Y12)</f>
        <v>10.050000000000001</v>
      </c>
      <c r="AA12" s="92">
        <f>IF(AA2&gt;Inputs!$Q$7,0,Z12)</f>
        <v>0</v>
      </c>
      <c r="AB12" s="92">
        <f>IF(AB2&gt;Inputs!$Q$7,0,AA12)</f>
        <v>0</v>
      </c>
      <c r="AC12" s="92">
        <f>IF(AC2&gt;Inputs!$Q$7,0,AB12)</f>
        <v>0</v>
      </c>
      <c r="AD12" s="92">
        <f>IF(AD2&gt;Inputs!$Q$7,0,AC12)</f>
        <v>0</v>
      </c>
      <c r="AE12" s="92">
        <f>IF(AE2&gt;Inputs!$Q$7,0,AD12)</f>
        <v>0</v>
      </c>
      <c r="AF12" s="92">
        <f>IF(AF2&gt;Inputs!$Q$7,0,AE12)</f>
        <v>0</v>
      </c>
      <c r="AG12" s="92">
        <f>IF(AG2&gt;Inputs!$Q$7,0,AF12)</f>
        <v>0</v>
      </c>
      <c r="AH12" s="92">
        <f>IF(AH2&gt;Inputs!$Q$7,0,AG12)</f>
        <v>0</v>
      </c>
      <c r="AI12" s="92">
        <f>IF(AI2&gt;Inputs!$Q$7,0,AH12)</f>
        <v>0</v>
      </c>
      <c r="AJ12" s="92">
        <f>IF(AJ2&gt;Inputs!$Q$7,0,AI12)</f>
        <v>0</v>
      </c>
    </row>
    <row r="13" spans="2:36" s="30" customFormat="1">
      <c r="B13" s="385" t="s">
        <v>273</v>
      </c>
      <c r="C13" s="385"/>
      <c r="D13" s="385"/>
      <c r="E13" s="81" t="s">
        <v>53</v>
      </c>
      <c r="F13" s="383">
        <f>Inputs!Q8</f>
        <v>0</v>
      </c>
      <c r="G13" s="386">
        <f>$G$72*$F13</f>
        <v>0</v>
      </c>
      <c r="H13" s="386">
        <f>IF(H2&gt;Inputs!$Q$7,0,G13*(1+Inputs!$Q$9))</f>
        <v>0</v>
      </c>
      <c r="I13" s="386">
        <f>IF(I2&gt;Inputs!$Q$7,0,H13*(1+Inputs!$Q$9))</f>
        <v>0</v>
      </c>
      <c r="J13" s="386">
        <f>IF(J2&gt;Inputs!$Q$7,0,I13*(1+Inputs!$Q$9))</f>
        <v>0</v>
      </c>
      <c r="K13" s="386">
        <f>IF(K2&gt;Inputs!$Q$7,0,J13*(1+Inputs!$Q$9))</f>
        <v>0</v>
      </c>
      <c r="L13" s="386">
        <f>IF(L2&gt;Inputs!$Q$7,0,K13*(1+Inputs!$Q$9))</f>
        <v>0</v>
      </c>
      <c r="M13" s="386">
        <f>IF(M2&gt;Inputs!$Q$7,0,L13*(1+Inputs!$Q$9))</f>
        <v>0</v>
      </c>
      <c r="N13" s="386">
        <f>IF(N2&gt;Inputs!$Q$7,0,M13*(1+Inputs!$Q$9))</f>
        <v>0</v>
      </c>
      <c r="O13" s="386">
        <f>IF(O2&gt;Inputs!$Q$7,0,N13*(1+Inputs!$Q$9))</f>
        <v>0</v>
      </c>
      <c r="P13" s="386">
        <f>IF(P2&gt;Inputs!$Q$7,0,O13*(1+Inputs!$Q$9))</f>
        <v>0</v>
      </c>
      <c r="Q13" s="386">
        <f>IF(Q2&gt;Inputs!$Q$7,0,P13*(1+Inputs!$Q$9))</f>
        <v>0</v>
      </c>
      <c r="R13" s="386">
        <f>IF(R2&gt;Inputs!$Q$7,0,Q13*(1+Inputs!$Q$9))</f>
        <v>0</v>
      </c>
      <c r="S13" s="386">
        <f>IF(S2&gt;Inputs!$Q$7,0,R13*(1+Inputs!$Q$9))</f>
        <v>0</v>
      </c>
      <c r="T13" s="386">
        <f>IF(T2&gt;Inputs!$Q$7,0,S13*(1+Inputs!$Q$9))</f>
        <v>0</v>
      </c>
      <c r="U13" s="386">
        <f>IF(U2&gt;Inputs!$Q$7,0,T13*(1+Inputs!$Q$9))</f>
        <v>0</v>
      </c>
      <c r="V13" s="386">
        <f>IF(V2&gt;Inputs!$Q$7,0,U13*(1+Inputs!$Q$9))</f>
        <v>0</v>
      </c>
      <c r="W13" s="386">
        <f>IF(W2&gt;Inputs!$Q$7,0,V13*(1+Inputs!$Q$9))</f>
        <v>0</v>
      </c>
      <c r="X13" s="386">
        <f>IF(X2&gt;Inputs!$Q$7,0,W13*(1+Inputs!$Q$9))</f>
        <v>0</v>
      </c>
      <c r="Y13" s="386">
        <f>IF(Y2&gt;Inputs!$Q$7,0,X13*(1+Inputs!$Q$9))</f>
        <v>0</v>
      </c>
      <c r="Z13" s="386">
        <f>IF(Z2&gt;Inputs!$Q$7,0,Y13*(1+Inputs!$Q$9))</f>
        <v>0</v>
      </c>
      <c r="AA13" s="386">
        <f>IF(AA2&gt;Inputs!$Q$7,0,Z13*(1+Inputs!$Q$9))</f>
        <v>0</v>
      </c>
      <c r="AB13" s="386">
        <f>IF(AB2&gt;Inputs!$Q$7,0,AA13*(1+Inputs!$Q$9))</f>
        <v>0</v>
      </c>
      <c r="AC13" s="386">
        <f>IF(AC2&gt;Inputs!$Q$7,0,AB13*(1+Inputs!$Q$9))</f>
        <v>0</v>
      </c>
      <c r="AD13" s="386">
        <f>IF(AD2&gt;Inputs!$Q$7,0,AC13*(1+Inputs!$Q$9))</f>
        <v>0</v>
      </c>
      <c r="AE13" s="386">
        <f>IF(AE2&gt;Inputs!$Q$7,0,AD13*(1+Inputs!$Q$9))</f>
        <v>0</v>
      </c>
      <c r="AF13" s="386">
        <f>IF(AF2&gt;Inputs!$Q$7,0,AE13*(1+Inputs!$Q$9))</f>
        <v>0</v>
      </c>
      <c r="AG13" s="386">
        <f>IF(AG2&gt;Inputs!$Q$7,0,AF13*(1+Inputs!$Q$9))</f>
        <v>0</v>
      </c>
      <c r="AH13" s="386">
        <f>IF(AH2&gt;Inputs!$Q$7,0,AG13*(1+Inputs!$Q$9))</f>
        <v>0</v>
      </c>
      <c r="AI13" s="386">
        <f>IF(AI2&gt;Inputs!$Q$7,0,AH13*(1+Inputs!$Q$9))</f>
        <v>0</v>
      </c>
      <c r="AJ13" s="386">
        <f>IF(AJ2&gt;Inputs!$Q$7,0,AI13*(1+Inputs!$Q$9))</f>
        <v>0</v>
      </c>
    </row>
    <row r="14" spans="2:36" s="30" customFormat="1">
      <c r="B14" s="37" t="s">
        <v>272</v>
      </c>
      <c r="C14" s="37"/>
      <c r="D14" s="37"/>
      <c r="E14" s="81" t="s">
        <v>53</v>
      </c>
      <c r="F14" s="95"/>
      <c r="G14" s="92">
        <f>SUM(G12:G13)</f>
        <v>10.050000000000001</v>
      </c>
      <c r="H14" s="92">
        <f t="shared" ref="H14:AJ14" si="0">SUM(H12:H13)</f>
        <v>10.050000000000001</v>
      </c>
      <c r="I14" s="92">
        <f t="shared" si="0"/>
        <v>10.050000000000001</v>
      </c>
      <c r="J14" s="92">
        <f t="shared" si="0"/>
        <v>10.050000000000001</v>
      </c>
      <c r="K14" s="92">
        <f t="shared" si="0"/>
        <v>10.050000000000001</v>
      </c>
      <c r="L14" s="92">
        <f t="shared" si="0"/>
        <v>10.050000000000001</v>
      </c>
      <c r="M14" s="92">
        <f t="shared" si="0"/>
        <v>10.050000000000001</v>
      </c>
      <c r="N14" s="92">
        <f t="shared" si="0"/>
        <v>10.050000000000001</v>
      </c>
      <c r="O14" s="92">
        <f t="shared" si="0"/>
        <v>10.050000000000001</v>
      </c>
      <c r="P14" s="92">
        <f t="shared" si="0"/>
        <v>10.050000000000001</v>
      </c>
      <c r="Q14" s="92">
        <f t="shared" si="0"/>
        <v>10.050000000000001</v>
      </c>
      <c r="R14" s="92">
        <f t="shared" si="0"/>
        <v>10.050000000000001</v>
      </c>
      <c r="S14" s="92">
        <f t="shared" si="0"/>
        <v>10.050000000000001</v>
      </c>
      <c r="T14" s="92">
        <f t="shared" si="0"/>
        <v>10.050000000000001</v>
      </c>
      <c r="U14" s="92">
        <f t="shared" si="0"/>
        <v>10.050000000000001</v>
      </c>
      <c r="V14" s="92">
        <f t="shared" si="0"/>
        <v>10.050000000000001</v>
      </c>
      <c r="W14" s="92">
        <f t="shared" si="0"/>
        <v>10.050000000000001</v>
      </c>
      <c r="X14" s="92">
        <f t="shared" si="0"/>
        <v>10.050000000000001</v>
      </c>
      <c r="Y14" s="92">
        <f t="shared" si="0"/>
        <v>10.050000000000001</v>
      </c>
      <c r="Z14" s="92">
        <f t="shared" si="0"/>
        <v>10.050000000000001</v>
      </c>
      <c r="AA14" s="92">
        <f t="shared" si="0"/>
        <v>0</v>
      </c>
      <c r="AB14" s="92">
        <f t="shared" si="0"/>
        <v>0</v>
      </c>
      <c r="AC14" s="92">
        <f t="shared" si="0"/>
        <v>0</v>
      </c>
      <c r="AD14" s="92">
        <f t="shared" si="0"/>
        <v>0</v>
      </c>
      <c r="AE14" s="92">
        <f t="shared" si="0"/>
        <v>0</v>
      </c>
      <c r="AF14" s="92">
        <f t="shared" si="0"/>
        <v>0</v>
      </c>
      <c r="AG14" s="92">
        <f t="shared" si="0"/>
        <v>0</v>
      </c>
      <c r="AH14" s="92">
        <f t="shared" si="0"/>
        <v>0</v>
      </c>
      <c r="AI14" s="92">
        <f t="shared" si="0"/>
        <v>0</v>
      </c>
      <c r="AJ14" s="92">
        <f t="shared" si="0"/>
        <v>0</v>
      </c>
    </row>
    <row r="15" spans="2:36" s="30" customFormat="1">
      <c r="B15" s="37" t="s">
        <v>107</v>
      </c>
      <c r="C15" s="37"/>
      <c r="D15" s="37"/>
      <c r="E15" s="78" t="s">
        <v>0</v>
      </c>
      <c r="F15" s="37"/>
      <c r="G15" s="38">
        <f>(G$14*G$5)/100</f>
        <v>2817216</v>
      </c>
      <c r="H15" s="38">
        <f t="shared" ref="H15:AJ15" si="1">(H$14*H$5)/100</f>
        <v>2803129.92</v>
      </c>
      <c r="I15" s="38">
        <f t="shared" si="1"/>
        <v>2789114.2704000003</v>
      </c>
      <c r="J15" s="38">
        <f t="shared" si="1"/>
        <v>2775168.6990480004</v>
      </c>
      <c r="K15" s="38">
        <f t="shared" si="1"/>
        <v>2761292.8555527604</v>
      </c>
      <c r="L15" s="38">
        <f t="shared" si="1"/>
        <v>2747486.3912749966</v>
      </c>
      <c r="M15" s="38">
        <f t="shared" si="1"/>
        <v>2733748.9593186215</v>
      </c>
      <c r="N15" s="38">
        <f t="shared" si="1"/>
        <v>2720080.2145220283</v>
      </c>
      <c r="O15" s="38">
        <f t="shared" si="1"/>
        <v>2706479.8134494182</v>
      </c>
      <c r="P15" s="38">
        <f t="shared" si="1"/>
        <v>2692947.4143821709</v>
      </c>
      <c r="Q15" s="38">
        <f t="shared" si="1"/>
        <v>2679482.67731026</v>
      </c>
      <c r="R15" s="38">
        <f t="shared" si="1"/>
        <v>2666085.2639237088</v>
      </c>
      <c r="S15" s="38">
        <f t="shared" si="1"/>
        <v>2652754.8376040901</v>
      </c>
      <c r="T15" s="38">
        <f t="shared" si="1"/>
        <v>2639491.0634160698</v>
      </c>
      <c r="U15" s="38">
        <f t="shared" si="1"/>
        <v>2626293.6080989894</v>
      </c>
      <c r="V15" s="38">
        <f t="shared" si="1"/>
        <v>2613162.1400584946</v>
      </c>
      <c r="W15" s="38">
        <f t="shared" si="1"/>
        <v>2600096.3293582019</v>
      </c>
      <c r="X15" s="38">
        <f t="shared" si="1"/>
        <v>2587095.8477114108</v>
      </c>
      <c r="Y15" s="38">
        <f t="shared" si="1"/>
        <v>2574160.3684728537</v>
      </c>
      <c r="Z15" s="38">
        <f t="shared" si="1"/>
        <v>2561289.5666304897</v>
      </c>
      <c r="AA15" s="38">
        <f t="shared" si="1"/>
        <v>0</v>
      </c>
      <c r="AB15" s="38">
        <f t="shared" si="1"/>
        <v>0</v>
      </c>
      <c r="AC15" s="38">
        <f t="shared" si="1"/>
        <v>0</v>
      </c>
      <c r="AD15" s="38">
        <f t="shared" si="1"/>
        <v>0</v>
      </c>
      <c r="AE15" s="38">
        <f t="shared" si="1"/>
        <v>0</v>
      </c>
      <c r="AF15" s="38">
        <f t="shared" si="1"/>
        <v>0</v>
      </c>
      <c r="AG15" s="38">
        <f t="shared" si="1"/>
        <v>0</v>
      </c>
      <c r="AH15" s="38">
        <f t="shared" si="1"/>
        <v>0</v>
      </c>
      <c r="AI15" s="38">
        <f t="shared" si="1"/>
        <v>0</v>
      </c>
      <c r="AJ15" s="38">
        <f t="shared" si="1"/>
        <v>0</v>
      </c>
    </row>
    <row r="16" spans="2:36" s="30" customFormat="1">
      <c r="B16" s="37" t="s">
        <v>233</v>
      </c>
      <c r="C16" s="37"/>
      <c r="D16" s="37"/>
      <c r="E16" s="81" t="s">
        <v>53</v>
      </c>
      <c r="F16" s="37"/>
      <c r="G16" s="92">
        <f>IF(Inputs!$Q$7=Inputs!$G$11,0,IF(Inputs!$Q$12="Year One",Inputs!$Q$13,'Complex Inputs'!$D129))</f>
        <v>0</v>
      </c>
      <c r="H16" s="92">
        <f>IF(H$2&gt;Inputs!$G$11,0,IF(Inputs!$Q$12="Year One",G$16*(1+Inputs!$Q$14),'Complex Inputs'!$D130))</f>
        <v>0</v>
      </c>
      <c r="I16" s="92">
        <f>IF(I$2&gt;Inputs!$G$11,0,IF(Inputs!$Q$12="Year One",H$16*(1+Inputs!$Q$14),'Complex Inputs'!$D131))</f>
        <v>0</v>
      </c>
      <c r="J16" s="92">
        <f>IF(J$2&gt;Inputs!$G$11,0,IF(Inputs!$Q$12="Year One",I$16*(1+Inputs!$Q$14),'Complex Inputs'!$D132))</f>
        <v>0</v>
      </c>
      <c r="K16" s="92">
        <f>IF(K$2&gt;Inputs!$G$11,0,IF(Inputs!$Q$12="Year One",J$16*(1+Inputs!$Q$14),'Complex Inputs'!$D133))</f>
        <v>0</v>
      </c>
      <c r="L16" s="92">
        <f>IF(L$2&gt;Inputs!$G$11,0,IF(Inputs!$Q$12="Year One",K$16*(1+Inputs!$Q$14),'Complex Inputs'!$D134))</f>
        <v>0</v>
      </c>
      <c r="M16" s="92">
        <f>IF(M$2&gt;Inputs!$G$11,0,IF(Inputs!$Q$12="Year One",L$16*(1+Inputs!$Q$14),'Complex Inputs'!$D135))</f>
        <v>0</v>
      </c>
      <c r="N16" s="92">
        <f>IF(N$2&gt;Inputs!$G$11,0,IF(Inputs!$Q$12="Year One",M$16*(1+Inputs!$Q$14),'Complex Inputs'!$D136))</f>
        <v>0</v>
      </c>
      <c r="O16" s="92">
        <f>IF(O$2&gt;Inputs!$G$11,0,IF(Inputs!$Q$12="Year One",N$16*(1+Inputs!$Q$14),'Complex Inputs'!$D137))</f>
        <v>0</v>
      </c>
      <c r="P16" s="92">
        <f>IF(P$2&gt;Inputs!$G$11,0,IF(Inputs!$Q$12="Year One",O$16*(1+Inputs!$Q$14),'Complex Inputs'!$D138))</f>
        <v>0</v>
      </c>
      <c r="Q16" s="92">
        <f>IF(Q$2&gt;Inputs!$G$11,0,IF(Inputs!$Q$12="Year One",P$16*(1+Inputs!$Q$14),'Complex Inputs'!$D139))</f>
        <v>0</v>
      </c>
      <c r="R16" s="92">
        <f>IF(R$2&gt;Inputs!$G$11,0,IF(Inputs!$Q$12="Year One",Q$16*(1+Inputs!$Q$14),'Complex Inputs'!$D140))</f>
        <v>0</v>
      </c>
      <c r="S16" s="92">
        <f>IF(S$2&gt;Inputs!$G$11,0,IF(Inputs!$Q$12="Year One",R$16*(1+Inputs!$Q$14),'Complex Inputs'!$D141))</f>
        <v>0</v>
      </c>
      <c r="T16" s="92">
        <f>IF(T$2&gt;Inputs!$G$11,0,IF(Inputs!$Q$12="Year One",S$16*(1+Inputs!$Q$14),'Complex Inputs'!$D142))</f>
        <v>0</v>
      </c>
      <c r="U16" s="92">
        <f>IF(U$2&gt;Inputs!$G$11,0,IF(Inputs!$Q$12="Year One",T$16*(1+Inputs!$Q$14),'Complex Inputs'!$D143))</f>
        <v>0</v>
      </c>
      <c r="V16" s="92">
        <f>IF(V$2&gt;Inputs!$G$11,0,IF(Inputs!$Q$12="Year One",U$16*(1+Inputs!$Q$14),'Complex Inputs'!$D144))</f>
        <v>0</v>
      </c>
      <c r="W16" s="92">
        <f>IF(W$2&gt;Inputs!$G$11,0,IF(Inputs!$Q$12="Year One",V$16*(1+Inputs!$Q$14),'Complex Inputs'!$D145))</f>
        <v>0</v>
      </c>
      <c r="X16" s="92">
        <f>IF(X$2&gt;Inputs!$G$11,0,IF(Inputs!$Q$12="Year One",W$16*(1+Inputs!$Q$14),'Complex Inputs'!$D146))</f>
        <v>0</v>
      </c>
      <c r="Y16" s="92">
        <f>IF(Y$2&gt;Inputs!$G$11,0,IF(Inputs!$Q$12="Year One",X$16*(1+Inputs!$Q$14),'Complex Inputs'!$D147))</f>
        <v>0</v>
      </c>
      <c r="Z16" s="92">
        <f>IF(Z$2&gt;Inputs!$G$11,0,IF(Inputs!$Q$12="Year One",Y$16*(1+Inputs!$Q$14),'Complex Inputs'!$D148))</f>
        <v>0</v>
      </c>
      <c r="AA16" s="92">
        <f>IF(AA$2&gt;Inputs!$G$11,0,IF(Inputs!$Q$12="Year One",Z$16*(1+Inputs!$Q$14),'Complex Inputs'!$D149))</f>
        <v>0</v>
      </c>
      <c r="AB16" s="92">
        <f>IF(AB$2&gt;Inputs!$G$11,0,IF(Inputs!$Q$12="Year One",AA$16*(1+Inputs!$Q$14),'Complex Inputs'!$D150))</f>
        <v>0</v>
      </c>
      <c r="AC16" s="92">
        <f>IF(AC$2&gt;Inputs!$G$11,0,IF(Inputs!$Q$12="Year One",AB$16*(1+Inputs!$Q$14),'Complex Inputs'!$D151))</f>
        <v>0</v>
      </c>
      <c r="AD16" s="92">
        <f>IF(AD$2&gt;Inputs!$G$11,0,IF(Inputs!$Q$12="Year One",AC$16*(1+Inputs!$Q$14),'Complex Inputs'!$D152))</f>
        <v>0</v>
      </c>
      <c r="AE16" s="92">
        <f>IF(AE$2&gt;Inputs!$G$11,0,IF(Inputs!$Q$12="Year One",AD$16*(1+Inputs!$Q$14),'Complex Inputs'!$D153))</f>
        <v>0</v>
      </c>
      <c r="AF16" s="92">
        <f>IF(AF$2&gt;Inputs!$G$11,0,IF(Inputs!$Q$12="Year One",AE$16*(1+Inputs!$Q$14),'Complex Inputs'!$D154))</f>
        <v>0</v>
      </c>
      <c r="AG16" s="92">
        <f>IF(AG$2&gt;Inputs!$G$11,0,IF(Inputs!$Q$12="Year One",AF$16*(1+Inputs!$Q$14),'Complex Inputs'!$D155))</f>
        <v>0</v>
      </c>
      <c r="AH16" s="92">
        <f>IF(AH$2&gt;Inputs!$G$11,0,IF(Inputs!$Q$12="Year One",AG$16*(1+Inputs!$Q$14),'Complex Inputs'!$D156))</f>
        <v>0</v>
      </c>
      <c r="AI16" s="92">
        <f>IF(AI$2&gt;Inputs!$G$11,0,IF(Inputs!$Q$12="Year One",AH$16*(1+Inputs!$Q$14),'Complex Inputs'!$D157))</f>
        <v>0</v>
      </c>
      <c r="AJ16" s="92">
        <f>IF(AJ$2&gt;Inputs!$G$11,0,IF(Inputs!$Q$12="Year One",AI$16*(1+Inputs!$Q$14),'Complex Inputs'!$D158))</f>
        <v>0</v>
      </c>
    </row>
    <row r="17" spans="2:36" s="30" customFormat="1">
      <c r="B17" s="37" t="s">
        <v>232</v>
      </c>
      <c r="C17" s="37"/>
      <c r="D17" s="37"/>
      <c r="E17" s="78" t="s">
        <v>0</v>
      </c>
      <c r="F17" s="37"/>
      <c r="G17" s="38">
        <f>IF(G$2&lt;=Inputs!$Q$7,0,IF(G$2&gt;Inputs!$G$11,0,(G$16*G$5)/100))</f>
        <v>0</v>
      </c>
      <c r="H17" s="38">
        <f>IF(H$2&lt;=Inputs!$Q$7,0,IF(H$2&gt;Inputs!$G$11,0,(H$16*H$5)/100))</f>
        <v>0</v>
      </c>
      <c r="I17" s="38">
        <f>IF(I$2&lt;=Inputs!$Q$7,0,IF(I$2&gt;Inputs!$G$11,0,(I$16*I$5)/100))</f>
        <v>0</v>
      </c>
      <c r="J17" s="38">
        <f>IF(J$2&lt;=Inputs!$Q$7,0,IF(J$2&gt;Inputs!$G$11,0,(J$16*J$5)/100))</f>
        <v>0</v>
      </c>
      <c r="K17" s="38">
        <f>IF(K$2&lt;=Inputs!$Q$7,0,IF(K$2&gt;Inputs!$G$11,0,(K$16*K$5)/100))</f>
        <v>0</v>
      </c>
      <c r="L17" s="38">
        <f>IF(L$2&lt;=Inputs!$Q$7,0,IF(L$2&gt;Inputs!$G$11,0,(L$16*L$5)/100))</f>
        <v>0</v>
      </c>
      <c r="M17" s="38">
        <f>IF(M$2&lt;=Inputs!$Q$7,0,IF(M$2&gt;Inputs!$G$11,0,(M$16*M$5)/100))</f>
        <v>0</v>
      </c>
      <c r="N17" s="38">
        <f>IF(N$2&lt;=Inputs!$Q$7,0,IF(N$2&gt;Inputs!$G$11,0,(N$16*N$5)/100))</f>
        <v>0</v>
      </c>
      <c r="O17" s="38">
        <f>IF(O$2&lt;=Inputs!$Q$7,0,IF(O$2&gt;Inputs!$G$11,0,(O$16*O$5)/100))</f>
        <v>0</v>
      </c>
      <c r="P17" s="38">
        <f>IF(P$2&lt;=Inputs!$Q$7,0,IF(P$2&gt;Inputs!$G$11,0,(P$16*P$5)/100))</f>
        <v>0</v>
      </c>
      <c r="Q17" s="38">
        <f>IF(Q$2&lt;=Inputs!$Q$7,0,IF(Q$2&gt;Inputs!$G$11,0,(Q$16*Q$5)/100))</f>
        <v>0</v>
      </c>
      <c r="R17" s="38">
        <f>IF(R$2&lt;=Inputs!$Q$7,0,IF(R$2&gt;Inputs!$G$11,0,(R$16*R$5)/100))</f>
        <v>0</v>
      </c>
      <c r="S17" s="38">
        <f>IF(S$2&lt;=Inputs!$Q$7,0,IF(S$2&gt;Inputs!$G$11,0,(S$16*S$5)/100))</f>
        <v>0</v>
      </c>
      <c r="T17" s="38">
        <f>IF(T$2&lt;=Inputs!$Q$7,0,IF(T$2&gt;Inputs!$G$11,0,(T$16*T$5)/100))</f>
        <v>0</v>
      </c>
      <c r="U17" s="38">
        <f>IF(U$2&lt;=Inputs!$Q$7,0,IF(U$2&gt;Inputs!$G$11,0,(U$16*U$5)/100))</f>
        <v>0</v>
      </c>
      <c r="V17" s="38">
        <f>IF(V$2&lt;=Inputs!$Q$7,0,IF(V$2&gt;Inputs!$G$11,0,(V$16*V$5)/100))</f>
        <v>0</v>
      </c>
      <c r="W17" s="38">
        <f>IF(W$2&lt;=Inputs!$Q$7,0,IF(W$2&gt;Inputs!$G$11,0,(W$16*W$5)/100))</f>
        <v>0</v>
      </c>
      <c r="X17" s="38">
        <f>IF(X$2&lt;=Inputs!$Q$7,0,IF(X$2&gt;Inputs!$G$11,0,(X$16*X$5)/100))</f>
        <v>0</v>
      </c>
      <c r="Y17" s="38">
        <f>IF(Y$2&lt;=Inputs!$Q$7,0,IF(Y$2&gt;Inputs!$G$11,0,(Y$16*Y$5)/100))</f>
        <v>0</v>
      </c>
      <c r="Z17" s="38">
        <f>IF(Z$2&lt;=Inputs!$Q$7,0,IF(Z$2&gt;Inputs!$G$11,0,(Z$16*Z$5)/100))</f>
        <v>0</v>
      </c>
      <c r="AA17" s="38">
        <f>IF(AA$2&lt;=Inputs!$Q$7,0,IF(AA$2&gt;Inputs!$G$11,0,(AA$16*AA$5)/100))</f>
        <v>0</v>
      </c>
      <c r="AB17" s="38">
        <f>IF(AB$2&lt;=Inputs!$Q$7,0,IF(AB$2&gt;Inputs!$G$11,0,(AB$16*AB$5)/100))</f>
        <v>0</v>
      </c>
      <c r="AC17" s="38">
        <f>IF(AC$2&lt;=Inputs!$Q$7,0,IF(AC$2&gt;Inputs!$G$11,0,(AC$16*AC$5)/100))</f>
        <v>0</v>
      </c>
      <c r="AD17" s="38">
        <f>IF(AD$2&lt;=Inputs!$Q$7,0,IF(AD$2&gt;Inputs!$G$11,0,(AD$16*AD$5)/100))</f>
        <v>0</v>
      </c>
      <c r="AE17" s="38">
        <f>IF(AE$2&lt;=Inputs!$Q$7,0,IF(AE$2&gt;Inputs!$G$11,0,(AE$16*AE$5)/100))</f>
        <v>0</v>
      </c>
      <c r="AF17" s="38">
        <f>IF(AF$2&lt;=Inputs!$Q$7,0,IF(AF$2&gt;Inputs!$G$11,0,(AF$16*AF$5)/100))</f>
        <v>0</v>
      </c>
      <c r="AG17" s="38">
        <f>IF(AG$2&lt;=Inputs!$Q$7,0,IF(AG$2&gt;Inputs!$G$11,0,(AG$16*AG$5)/100))</f>
        <v>0</v>
      </c>
      <c r="AH17" s="38">
        <f>IF(AH$2&lt;=Inputs!$Q$7,0,IF(AH$2&gt;Inputs!$G$11,0,(AH$16*AH$5)/100))</f>
        <v>0</v>
      </c>
      <c r="AI17" s="38">
        <f>IF(AI$2&lt;=Inputs!$Q$7,0,IF(AI$2&gt;Inputs!$G$11,0,(AI$16*AI$5)/100))</f>
        <v>0</v>
      </c>
      <c r="AJ17" s="38">
        <f>IF(AJ$2&lt;=Inputs!$Q$7,0,IF(AJ$2&gt;Inputs!$G$11,0,(AJ$16*AJ$5)/100))</f>
        <v>0</v>
      </c>
    </row>
    <row r="18" spans="2:36" s="30" customFormat="1">
      <c r="B18" s="37" t="s">
        <v>108</v>
      </c>
      <c r="C18" s="37"/>
      <c r="D18" s="37"/>
      <c r="E18" s="81" t="s">
        <v>53</v>
      </c>
      <c r="F18" s="37"/>
      <c r="G18" s="92">
        <f>IF(OR(Inputs!$Q$18="Cost-Based",Inputs!$Q$18="Neither"),0,IF(AND(Inputs!$Q$22="Cash",G$2&lt;=Inputs!$Q$24),Inputs!$Q$23*G$9,0))</f>
        <v>0</v>
      </c>
      <c r="H18" s="92">
        <f>IF(OR(Inputs!$Q$18="Cost-Based",Inputs!$Q$18="Neither"),0,IF(AND(Inputs!$Q$22="Cash",H$2&lt;=Inputs!$Q$24),Inputs!$Q$23*H$9,0))</f>
        <v>0</v>
      </c>
      <c r="I18" s="92">
        <f>IF(OR(Inputs!$Q$18="Cost-Based",Inputs!$Q$18="Neither"),0,IF(AND(Inputs!$Q$22="Cash",I$2&lt;=Inputs!$Q$24),Inputs!$Q$23*I$9,0))</f>
        <v>0</v>
      </c>
      <c r="J18" s="92">
        <f>IF(OR(Inputs!$Q$18="Cost-Based",Inputs!$Q$18="Neither"),0,IF(AND(Inputs!$Q$22="Cash",J$2&lt;=Inputs!$Q$24),Inputs!$Q$23*J$9,0))</f>
        <v>0</v>
      </c>
      <c r="K18" s="92">
        <f>IF(OR(Inputs!$Q$18="Cost-Based",Inputs!$Q$18="Neither"),0,IF(AND(Inputs!$Q$22="Cash",K$2&lt;=Inputs!$Q$24),Inputs!$Q$23*K$9,0))</f>
        <v>0</v>
      </c>
      <c r="L18" s="92">
        <f>IF(OR(Inputs!$Q$18="Cost-Based",Inputs!$Q$18="Neither"),0,IF(AND(Inputs!$Q$22="Cash",L$2&lt;=Inputs!$Q$24),Inputs!$Q$23*L$9,0))</f>
        <v>0</v>
      </c>
      <c r="M18" s="92">
        <f>IF(OR(Inputs!$Q$18="Cost-Based",Inputs!$Q$18="Neither"),0,IF(AND(Inputs!$Q$22="Cash",M$2&lt;=Inputs!$Q$24),Inputs!$Q$23*M$9,0))</f>
        <v>0</v>
      </c>
      <c r="N18" s="92">
        <f>IF(OR(Inputs!$Q$18="Cost-Based",Inputs!$Q$18="Neither"),0,IF(AND(Inputs!$Q$22="Cash",N$2&lt;=Inputs!$Q$24),Inputs!$Q$23*N$9,0))</f>
        <v>0</v>
      </c>
      <c r="O18" s="92">
        <f>IF(OR(Inputs!$Q$18="Cost-Based",Inputs!$Q$18="Neither"),0,IF(AND(Inputs!$Q$22="Cash",O$2&lt;=Inputs!$Q$24),Inputs!$Q$23*O$9,0))</f>
        <v>0</v>
      </c>
      <c r="P18" s="92">
        <f>IF(OR(Inputs!$Q$18="Cost-Based",Inputs!$Q$18="Neither"),0,IF(AND(Inputs!$Q$22="Cash",P$2&lt;=Inputs!$Q$24),Inputs!$Q$23*P$9,0))</f>
        <v>0</v>
      </c>
      <c r="Q18" s="92">
        <f>IF(OR(Inputs!$Q$18="Cost-Based",Inputs!$Q$18="Neither"),0,IF(AND(Inputs!$Q$22="Cash",Q$2&lt;=Inputs!$Q$24),Inputs!$Q$23*Q$9,0))</f>
        <v>0</v>
      </c>
      <c r="R18" s="92">
        <f>IF(OR(Inputs!$Q$18="Cost-Based",Inputs!$Q$18="Neither"),0,IF(AND(Inputs!$Q$22="Cash",R$2&lt;=Inputs!$Q$24),Inputs!$Q$23*R$9,0))</f>
        <v>0</v>
      </c>
      <c r="S18" s="92">
        <f>IF(OR(Inputs!$Q$18="Cost-Based",Inputs!$Q$18="Neither"),0,IF(AND(Inputs!$Q$22="Cash",S$2&lt;=Inputs!$Q$24),Inputs!$Q$23*S$9,0))</f>
        <v>0</v>
      </c>
      <c r="T18" s="92">
        <f>IF(OR(Inputs!$Q$18="Cost-Based",Inputs!$Q$18="Neither"),0,IF(AND(Inputs!$Q$22="Cash",T$2&lt;=Inputs!$Q$24),Inputs!$Q$23*T$9,0))</f>
        <v>0</v>
      </c>
      <c r="U18" s="92">
        <f>IF(OR(Inputs!$Q$18="Cost-Based",Inputs!$Q$18="Neither"),0,IF(AND(Inputs!$Q$22="Cash",U$2&lt;=Inputs!$Q$24),Inputs!$Q$23*U$9,0))</f>
        <v>0</v>
      </c>
      <c r="V18" s="92">
        <f>IF(OR(Inputs!$Q$18="Cost-Based",Inputs!$Q$18="Neither"),0,IF(AND(Inputs!$Q$22="Cash",V$2&lt;=Inputs!$Q$24),Inputs!$Q$23*V$9,0))</f>
        <v>0</v>
      </c>
      <c r="W18" s="92">
        <f>IF(OR(Inputs!$Q$18="Cost-Based",Inputs!$Q$18="Neither"),0,IF(AND(Inputs!$Q$22="Cash",W$2&lt;=Inputs!$Q$24),Inputs!$Q$23*W$9,0))</f>
        <v>0</v>
      </c>
      <c r="X18" s="92">
        <f>IF(OR(Inputs!$Q$18="Cost-Based",Inputs!$Q$18="Neither"),0,IF(AND(Inputs!$Q$22="Cash",X$2&lt;=Inputs!$Q$24),Inputs!$Q$23*X$9,0))</f>
        <v>0</v>
      </c>
      <c r="Y18" s="92">
        <f>IF(OR(Inputs!$Q$18="Cost-Based",Inputs!$Q$18="Neither"),0,IF(AND(Inputs!$Q$22="Cash",Y$2&lt;=Inputs!$Q$24),Inputs!$Q$23*Y$9,0))</f>
        <v>0</v>
      </c>
      <c r="Z18" s="92">
        <f>IF(OR(Inputs!$Q$18="Cost-Based",Inputs!$Q$18="Neither"),0,IF(AND(Inputs!$Q$22="Cash",Z$2&lt;=Inputs!$Q$24),Inputs!$Q$23*Z$9,0))</f>
        <v>0</v>
      </c>
      <c r="AA18" s="92">
        <f>IF(OR(Inputs!$Q$18="Cost-Based",Inputs!$Q$18="Neither"),0,IF(AND(Inputs!$Q$22="Cash",AA$2&lt;=Inputs!$Q$24),Inputs!$Q$23*AA$9,0))</f>
        <v>0</v>
      </c>
      <c r="AB18" s="92">
        <f>IF(OR(Inputs!$Q$18="Cost-Based",Inputs!$Q$18="Neither"),0,IF(AND(Inputs!$Q$22="Cash",AB$2&lt;=Inputs!$Q$24),Inputs!$Q$23*AB$9,0))</f>
        <v>0</v>
      </c>
      <c r="AC18" s="92">
        <f>IF(OR(Inputs!$Q$18="Cost-Based",Inputs!$Q$18="Neither"),0,IF(AND(Inputs!$Q$22="Cash",AC$2&lt;=Inputs!$Q$24),Inputs!$Q$23*AC$9,0))</f>
        <v>0</v>
      </c>
      <c r="AD18" s="92">
        <f>IF(OR(Inputs!$Q$18="Cost-Based",Inputs!$Q$18="Neither"),0,IF(AND(Inputs!$Q$22="Cash",AD$2&lt;=Inputs!$Q$24),Inputs!$Q$23*AD$9,0))</f>
        <v>0</v>
      </c>
      <c r="AE18" s="92">
        <f>IF(OR(Inputs!$Q$18="Cost-Based",Inputs!$Q$18="Neither"),0,IF(AND(Inputs!$Q$22="Cash",AE$2&lt;=Inputs!$Q$24),Inputs!$Q$23*AE$9,0))</f>
        <v>0</v>
      </c>
      <c r="AF18" s="92">
        <f>IF(OR(Inputs!$Q$18="Cost-Based",Inputs!$Q$18="Neither"),0,IF(AND(Inputs!$Q$22="Cash",AF$2&lt;=Inputs!$Q$24),Inputs!$Q$23*AF$9,0))</f>
        <v>0</v>
      </c>
      <c r="AG18" s="92">
        <f>IF(OR(Inputs!$Q$18="Cost-Based",Inputs!$Q$18="Neither"),0,IF(AND(Inputs!$Q$22="Cash",AG$2&lt;=Inputs!$Q$24),Inputs!$Q$23*AG$9,0))</f>
        <v>0</v>
      </c>
      <c r="AH18" s="92">
        <f>IF(OR(Inputs!$Q$18="Cost-Based",Inputs!$Q$18="Neither"),0,IF(AND(Inputs!$Q$22="Cash",AH$2&lt;=Inputs!$Q$24),Inputs!$Q$23*AH$9,0))</f>
        <v>0</v>
      </c>
      <c r="AI18" s="92">
        <f>IF(OR(Inputs!$Q$18="Cost-Based",Inputs!$Q$18="Neither"),0,IF(AND(Inputs!$Q$22="Cash",AI$2&lt;=Inputs!$Q$24),Inputs!$Q$23*AI$9,0))</f>
        <v>0</v>
      </c>
      <c r="AJ18" s="92">
        <f>IF(OR(Inputs!$Q$18="Cost-Based",Inputs!$Q$18="Neither"),0,IF(AND(Inputs!$Q$22="Cash",AJ$2&lt;=Inputs!$Q$24),Inputs!$Q$23*AJ$9,0))</f>
        <v>0</v>
      </c>
    </row>
    <row r="19" spans="2:36" s="30" customFormat="1">
      <c r="B19" s="37" t="s">
        <v>109</v>
      </c>
      <c r="C19" s="37"/>
      <c r="D19" s="37"/>
      <c r="E19" s="78" t="s">
        <v>0</v>
      </c>
      <c r="F19" s="37"/>
      <c r="G19" s="38">
        <f>(G$18*G$5)/100</f>
        <v>0</v>
      </c>
      <c r="H19" s="38">
        <f t="shared" ref="H19:AJ19" si="2">(H$18*H$5)/100</f>
        <v>0</v>
      </c>
      <c r="I19" s="38">
        <f t="shared" si="2"/>
        <v>0</v>
      </c>
      <c r="J19" s="38">
        <f t="shared" si="2"/>
        <v>0</v>
      </c>
      <c r="K19" s="38">
        <f t="shared" si="2"/>
        <v>0</v>
      </c>
      <c r="L19" s="38">
        <f t="shared" si="2"/>
        <v>0</v>
      </c>
      <c r="M19" s="38">
        <f t="shared" si="2"/>
        <v>0</v>
      </c>
      <c r="N19" s="38">
        <f t="shared" si="2"/>
        <v>0</v>
      </c>
      <c r="O19" s="38">
        <f t="shared" si="2"/>
        <v>0</v>
      </c>
      <c r="P19" s="38">
        <f t="shared" si="2"/>
        <v>0</v>
      </c>
      <c r="Q19" s="38">
        <f t="shared" si="2"/>
        <v>0</v>
      </c>
      <c r="R19" s="38">
        <f t="shared" si="2"/>
        <v>0</v>
      </c>
      <c r="S19" s="38">
        <f t="shared" si="2"/>
        <v>0</v>
      </c>
      <c r="T19" s="38">
        <f t="shared" si="2"/>
        <v>0</v>
      </c>
      <c r="U19" s="38">
        <f t="shared" si="2"/>
        <v>0</v>
      </c>
      <c r="V19" s="38">
        <f t="shared" si="2"/>
        <v>0</v>
      </c>
      <c r="W19" s="38">
        <f t="shared" si="2"/>
        <v>0</v>
      </c>
      <c r="X19" s="38">
        <f t="shared" si="2"/>
        <v>0</v>
      </c>
      <c r="Y19" s="38">
        <f t="shared" si="2"/>
        <v>0</v>
      </c>
      <c r="Z19" s="38">
        <f t="shared" si="2"/>
        <v>0</v>
      </c>
      <c r="AA19" s="38">
        <f t="shared" si="2"/>
        <v>0</v>
      </c>
      <c r="AB19" s="38">
        <f t="shared" si="2"/>
        <v>0</v>
      </c>
      <c r="AC19" s="38">
        <f t="shared" si="2"/>
        <v>0</v>
      </c>
      <c r="AD19" s="38">
        <f t="shared" si="2"/>
        <v>0</v>
      </c>
      <c r="AE19" s="38">
        <f t="shared" si="2"/>
        <v>0</v>
      </c>
      <c r="AF19" s="38">
        <f t="shared" si="2"/>
        <v>0</v>
      </c>
      <c r="AG19" s="38">
        <f t="shared" si="2"/>
        <v>0</v>
      </c>
      <c r="AH19" s="38">
        <f t="shared" si="2"/>
        <v>0</v>
      </c>
      <c r="AI19" s="38">
        <f t="shared" si="2"/>
        <v>0</v>
      </c>
      <c r="AJ19" s="38">
        <f t="shared" si="2"/>
        <v>0</v>
      </c>
    </row>
    <row r="20" spans="2:36" s="39" customFormat="1">
      <c r="B20" s="37" t="s">
        <v>110</v>
      </c>
      <c r="C20" s="37"/>
      <c r="D20" s="37"/>
      <c r="E20" s="81" t="s">
        <v>53</v>
      </c>
      <c r="F20" s="37"/>
      <c r="G20" s="92">
        <f>IF(OR(Inputs!$Q$30="Cost-Based",Inputs!$Q$30="Neither"),0,IF(AND(Inputs!$Q$34="Cash",G$2&lt;=Inputs!$Q$38),Inputs!$Q$37*G$10*Inputs!$Q$100,0))</f>
        <v>0</v>
      </c>
      <c r="H20" s="92">
        <f>IF(OR(Inputs!$Q$30="Cost-Based",Inputs!$Q$30="Neither"),0,IF(AND(Inputs!$Q$34="Cash",H$2&lt;=Inputs!$Q$38),Inputs!$Q$37*H$10*Inputs!$Q$100,0))</f>
        <v>0</v>
      </c>
      <c r="I20" s="92">
        <f>IF(OR(Inputs!$Q$30="Cost-Based",Inputs!$Q$30="Neither"),0,IF(AND(Inputs!$Q$34="Cash",I$2&lt;=Inputs!$Q$38),Inputs!$Q$37*I$10*Inputs!$Q$100,0))</f>
        <v>0</v>
      </c>
      <c r="J20" s="92">
        <f>IF(OR(Inputs!$Q$30="Cost-Based",Inputs!$Q$30="Neither"),0,IF(AND(Inputs!$Q$34="Cash",J$2&lt;=Inputs!$Q$38),Inputs!$Q$37*J$10*Inputs!$Q$100,0))</f>
        <v>0</v>
      </c>
      <c r="K20" s="92">
        <f>IF(OR(Inputs!$Q$30="Cost-Based",Inputs!$Q$30="Neither"),0,IF(AND(Inputs!$Q$34="Cash",K$2&lt;=Inputs!$Q$38),Inputs!$Q$37*K$10*Inputs!$Q$100,0))</f>
        <v>0</v>
      </c>
      <c r="L20" s="92">
        <f>IF(OR(Inputs!$Q$30="Cost-Based",Inputs!$Q$30="Neither"),0,IF(AND(Inputs!$Q$34="Cash",L$2&lt;=Inputs!$Q$38),Inputs!$Q$37*L$10*Inputs!$Q$100,0))</f>
        <v>0</v>
      </c>
      <c r="M20" s="92">
        <f>IF(OR(Inputs!$Q$30="Cost-Based",Inputs!$Q$30="Neither"),0,IF(AND(Inputs!$Q$34="Cash",M$2&lt;=Inputs!$Q$38),Inputs!$Q$37*M$10*Inputs!$Q$100,0))</f>
        <v>0</v>
      </c>
      <c r="N20" s="92">
        <f>IF(OR(Inputs!$Q$30="Cost-Based",Inputs!$Q$30="Neither"),0,IF(AND(Inputs!$Q$34="Cash",N$2&lt;=Inputs!$Q$38),Inputs!$Q$37*N$10*Inputs!$Q$100,0))</f>
        <v>0</v>
      </c>
      <c r="O20" s="92">
        <f>IF(OR(Inputs!$Q$30="Cost-Based",Inputs!$Q$30="Neither"),0,IF(AND(Inputs!$Q$34="Cash",O$2&lt;=Inputs!$Q$38),Inputs!$Q$37*O$10*Inputs!$Q$100,0))</f>
        <v>0</v>
      </c>
      <c r="P20" s="92">
        <f>IF(OR(Inputs!$Q$30="Cost-Based",Inputs!$Q$30="Neither"),0,IF(AND(Inputs!$Q$34="Cash",P$2&lt;=Inputs!$Q$38),Inputs!$Q$37*P$10*Inputs!$Q$100,0))</f>
        <v>0</v>
      </c>
      <c r="Q20" s="92">
        <f>IF(OR(Inputs!$Q$30="Cost-Based",Inputs!$Q$30="Neither"),0,IF(AND(Inputs!$Q$34="Cash",Q$2&lt;=Inputs!$Q$38),Inputs!$Q$37*Q$10*Inputs!$Q$100,0))</f>
        <v>0</v>
      </c>
      <c r="R20" s="92">
        <f>IF(OR(Inputs!$Q$30="Cost-Based",Inputs!$Q$30="Neither"),0,IF(AND(Inputs!$Q$34="Cash",R$2&lt;=Inputs!$Q$38),Inputs!$Q$37*R$10*Inputs!$Q$100,0))</f>
        <v>0</v>
      </c>
      <c r="S20" s="92">
        <f>IF(OR(Inputs!$Q$30="Cost-Based",Inputs!$Q$30="Neither"),0,IF(AND(Inputs!$Q$34="Cash",S$2&lt;=Inputs!$Q$38),Inputs!$Q$37*S$10*Inputs!$Q$100,0))</f>
        <v>0</v>
      </c>
      <c r="T20" s="92">
        <f>IF(OR(Inputs!$Q$30="Cost-Based",Inputs!$Q$30="Neither"),0,IF(AND(Inputs!$Q$34="Cash",T$2&lt;=Inputs!$Q$38),Inputs!$Q$37*T$10*Inputs!$Q$100,0))</f>
        <v>0</v>
      </c>
      <c r="U20" s="92">
        <f>IF(OR(Inputs!$Q$30="Cost-Based",Inputs!$Q$30="Neither"),0,IF(AND(Inputs!$Q$34="Cash",U$2&lt;=Inputs!$Q$38),Inputs!$Q$37*U$10*Inputs!$Q$100,0))</f>
        <v>0</v>
      </c>
      <c r="V20" s="92">
        <f>IF(OR(Inputs!$Q$30="Cost-Based",Inputs!$Q$30="Neither"),0,IF(AND(Inputs!$Q$34="Cash",V$2&lt;=Inputs!$Q$38),Inputs!$Q$37*V$10*Inputs!$Q$100,0))</f>
        <v>0</v>
      </c>
      <c r="W20" s="92">
        <f>IF(OR(Inputs!$Q$30="Cost-Based",Inputs!$Q$30="Neither"),0,IF(AND(Inputs!$Q$34="Cash",W$2&lt;=Inputs!$Q$38),Inputs!$Q$37*W$10*Inputs!$Q$100,0))</f>
        <v>0</v>
      </c>
      <c r="X20" s="92">
        <f>IF(OR(Inputs!$Q$30="Cost-Based",Inputs!$Q$30="Neither"),0,IF(AND(Inputs!$Q$34="Cash",X$2&lt;=Inputs!$Q$38),Inputs!$Q$37*X$10*Inputs!$Q$100,0))</f>
        <v>0</v>
      </c>
      <c r="Y20" s="92">
        <f>IF(OR(Inputs!$Q$30="Cost-Based",Inputs!$Q$30="Neither"),0,IF(AND(Inputs!$Q$34="Cash",Y$2&lt;=Inputs!$Q$38),Inputs!$Q$37*Y$10*Inputs!$Q$100,0))</f>
        <v>0</v>
      </c>
      <c r="Z20" s="92">
        <f>IF(OR(Inputs!$Q$30="Cost-Based",Inputs!$Q$30="Neither"),0,IF(AND(Inputs!$Q$34="Cash",Z$2&lt;=Inputs!$Q$38),Inputs!$Q$37*Z$10*Inputs!$Q$100,0))</f>
        <v>0</v>
      </c>
      <c r="AA20" s="92">
        <f>IF(OR(Inputs!$Q$30="Cost-Based",Inputs!$Q$30="Neither"),0,IF(AND(Inputs!$Q$34="Cash",AA$2&lt;=Inputs!$Q$38),Inputs!$Q$37*AA$10*Inputs!$Q$100,0))</f>
        <v>0</v>
      </c>
      <c r="AB20" s="92">
        <f>IF(OR(Inputs!$Q$30="Cost-Based",Inputs!$Q$30="Neither"),0,IF(AND(Inputs!$Q$34="Cash",AB$2&lt;=Inputs!$Q$38),Inputs!$Q$37*AB$10*Inputs!$Q$100,0))</f>
        <v>0</v>
      </c>
      <c r="AC20" s="92">
        <f>IF(OR(Inputs!$Q$30="Cost-Based",Inputs!$Q$30="Neither"),0,IF(AND(Inputs!$Q$34="Cash",AC$2&lt;=Inputs!$Q$38),Inputs!$Q$37*AC$10*Inputs!$Q$100,0))</f>
        <v>0</v>
      </c>
      <c r="AD20" s="92">
        <f>IF(OR(Inputs!$Q$30="Cost-Based",Inputs!$Q$30="Neither"),0,IF(AND(Inputs!$Q$34="Cash",AD$2&lt;=Inputs!$Q$38),Inputs!$Q$37*AD$10*Inputs!$Q$100,0))</f>
        <v>0</v>
      </c>
      <c r="AE20" s="92">
        <f>IF(OR(Inputs!$Q$30="Cost-Based",Inputs!$Q$30="Neither"),0,IF(AND(Inputs!$Q$34="Cash",AE$2&lt;=Inputs!$Q$38),Inputs!$Q$37*AE$10*Inputs!$Q$100,0))</f>
        <v>0</v>
      </c>
      <c r="AF20" s="92">
        <f>IF(OR(Inputs!$Q$30="Cost-Based",Inputs!$Q$30="Neither"),0,IF(AND(Inputs!$Q$34="Cash",AF$2&lt;=Inputs!$Q$38),Inputs!$Q$37*AF$10*Inputs!$Q$100,0))</f>
        <v>0</v>
      </c>
      <c r="AG20" s="92">
        <f>IF(OR(Inputs!$Q$30="Cost-Based",Inputs!$Q$30="Neither"),0,IF(AND(Inputs!$Q$34="Cash",AG$2&lt;=Inputs!$Q$38),Inputs!$Q$37*AG$10*Inputs!$Q$100,0))</f>
        <v>0</v>
      </c>
      <c r="AH20" s="92">
        <f>IF(OR(Inputs!$Q$30="Cost-Based",Inputs!$Q$30="Neither"),0,IF(AND(Inputs!$Q$34="Cash",AH$2&lt;=Inputs!$Q$38),Inputs!$Q$37*AH$10*Inputs!$Q$100,0))</f>
        <v>0</v>
      </c>
      <c r="AI20" s="92">
        <f>IF(OR(Inputs!$Q$30="Cost-Based",Inputs!$Q$30="Neither"),0,IF(AND(Inputs!$Q$34="Cash",AI$2&lt;=Inputs!$Q$38),Inputs!$Q$37*AI$10*Inputs!$Q$100,0))</f>
        <v>0</v>
      </c>
      <c r="AJ20" s="92">
        <f>IF(OR(Inputs!$Q$30="Cost-Based",Inputs!$Q$30="Neither"),0,IF(AND(Inputs!$Q$34="Cash",AJ$2&lt;=Inputs!$Q$38),Inputs!$Q$37*AJ$10*Inputs!$Q$100,0))</f>
        <v>0</v>
      </c>
    </row>
    <row r="21" spans="2:36" s="39" customFormat="1">
      <c r="B21" s="37" t="s">
        <v>111</v>
      </c>
      <c r="C21" s="37"/>
      <c r="D21" s="37"/>
      <c r="E21" s="78" t="s">
        <v>0</v>
      </c>
      <c r="F21" s="37"/>
      <c r="G21" s="38">
        <f>IF(Inputs!$Q$35=0,(G$20*G$5)/100,MIN(Inputs!$Q$35,(G$20*G$5)/100))</f>
        <v>0</v>
      </c>
      <c r="H21" s="38">
        <f>IF(Inputs!$Q$35=0,(H$20*H$5)/100,MIN(Inputs!$Q$35,(H$20*H$5)/100))</f>
        <v>0</v>
      </c>
      <c r="I21" s="38">
        <f>IF(Inputs!$Q$35=0,(I$20*I$5)/100,MIN(Inputs!$Q$35,(I$20*I$5)/100))</f>
        <v>0</v>
      </c>
      <c r="J21" s="38">
        <f>IF(Inputs!$Q$35=0,(J$20*J$5)/100,MIN(Inputs!$Q$35,(J$20*J$5)/100))</f>
        <v>0</v>
      </c>
      <c r="K21" s="38">
        <f>IF(Inputs!$Q$35=0,(K$20*K$5)/100,MIN(Inputs!$Q$35,(K$20*K$5)/100))</f>
        <v>0</v>
      </c>
      <c r="L21" s="38">
        <f>IF(Inputs!$Q$35=0,(L$20*L$5)/100,MIN(Inputs!$Q$35,(L$20*L$5)/100))</f>
        <v>0</v>
      </c>
      <c r="M21" s="38">
        <f>IF(Inputs!$Q$35=0,(M$20*M$5)/100,MIN(Inputs!$Q$35,(M$20*M$5)/100))</f>
        <v>0</v>
      </c>
      <c r="N21" s="38">
        <f>IF(Inputs!$Q$35=0,(N$20*N$5)/100,MIN(Inputs!$Q$35,(N$20*N$5)/100))</f>
        <v>0</v>
      </c>
      <c r="O21" s="38">
        <f>IF(Inputs!$Q$35=0,(O$20*O$5)/100,MIN(Inputs!$Q$35,(O$20*O$5)/100))</f>
        <v>0</v>
      </c>
      <c r="P21" s="38">
        <f>IF(Inputs!$Q$35=0,(P$20*P$5)/100,MIN(Inputs!$Q$35,(P$20*P$5)/100))</f>
        <v>0</v>
      </c>
      <c r="Q21" s="38">
        <f>IF(Inputs!$Q$35=0,(Q$20*Q$5)/100,MIN(Inputs!$Q$35,(Q$20*Q$5)/100))</f>
        <v>0</v>
      </c>
      <c r="R21" s="38">
        <f>IF(Inputs!$Q$35=0,(R$20*R$5)/100,MIN(Inputs!$Q$35,(R$20*R$5)/100))</f>
        <v>0</v>
      </c>
      <c r="S21" s="38">
        <f>IF(Inputs!$Q$35=0,(S$20*S$5)/100,MIN(Inputs!$Q$35,(S$20*S$5)/100))</f>
        <v>0</v>
      </c>
      <c r="T21" s="38">
        <f>IF(Inputs!$Q$35=0,(T$20*T$5)/100,MIN(Inputs!$Q$35,(T$20*T$5)/100))</f>
        <v>0</v>
      </c>
      <c r="U21" s="38">
        <f>IF(Inputs!$Q$35=0,(U$20*U$5)/100,MIN(Inputs!$Q$35,(U$20*U$5)/100))</f>
        <v>0</v>
      </c>
      <c r="V21" s="38">
        <f>IF(Inputs!$Q$35=0,(V$20*V$5)/100,MIN(Inputs!$Q$35,(V$20*V$5)/100))</f>
        <v>0</v>
      </c>
      <c r="W21" s="38">
        <f>IF(Inputs!$Q$35=0,(W$20*W$5)/100,MIN(Inputs!$Q$35,(W$20*W$5)/100))</f>
        <v>0</v>
      </c>
      <c r="X21" s="38">
        <f>IF(Inputs!$Q$35=0,(X$20*X$5)/100,MIN(Inputs!$Q$35,(X$20*X$5)/100))</f>
        <v>0</v>
      </c>
      <c r="Y21" s="38">
        <f>IF(Inputs!$Q$35=0,(Y$20*Y$5)/100,MIN(Inputs!$Q$35,(Y$20*Y$5)/100))</f>
        <v>0</v>
      </c>
      <c r="Z21" s="38">
        <f>IF(Inputs!$Q$35=0,(Z$20*Z$5)/100,MIN(Inputs!$Q$35,(Z$20*Z$5)/100))</f>
        <v>0</v>
      </c>
      <c r="AA21" s="38">
        <f>IF(Inputs!$Q$35=0,(AA$20*AA$5)/100,MIN(Inputs!$Q$35,(AA$20*AA$5)/100))</f>
        <v>0</v>
      </c>
      <c r="AB21" s="38">
        <f>IF(Inputs!$Q$35=0,(AB$20*AB$5)/100,MIN(Inputs!$Q$35,(AB$20*AB$5)/100))</f>
        <v>0</v>
      </c>
      <c r="AC21" s="38">
        <f>IF(Inputs!$Q$35=0,(AC$20*AC$5)/100,MIN(Inputs!$Q$35,(AC$20*AC$5)/100))</f>
        <v>0</v>
      </c>
      <c r="AD21" s="38">
        <f>IF(Inputs!$Q$35=0,(AD$20*AD$5)/100,MIN(Inputs!$Q$35,(AD$20*AD$5)/100))</f>
        <v>0</v>
      </c>
      <c r="AE21" s="38">
        <f>IF(Inputs!$Q$35=0,(AE$20*AE$5)/100,MIN(Inputs!$Q$35,(AE$20*AE$5)/100))</f>
        <v>0</v>
      </c>
      <c r="AF21" s="38">
        <f>IF(Inputs!$Q$35=0,(AF$20*AF$5)/100,MIN(Inputs!$Q$35,(AF$20*AF$5)/100))</f>
        <v>0</v>
      </c>
      <c r="AG21" s="38">
        <f>IF(Inputs!$Q$35=0,(AG$20*AG$5)/100,MIN(Inputs!$Q$35,(AG$20*AG$5)/100))</f>
        <v>0</v>
      </c>
      <c r="AH21" s="38">
        <f>IF(Inputs!$Q$35=0,(AH$20*AH$5)/100,MIN(Inputs!$Q$35,(AH$20*AH$5)/100))</f>
        <v>0</v>
      </c>
      <c r="AI21" s="38">
        <f>IF(Inputs!$Q$35=0,(AI$20*AI$5)/100,MIN(Inputs!$Q$35,(AI$20*AI$5)/100))</f>
        <v>0</v>
      </c>
      <c r="AJ21" s="38">
        <f>IF(Inputs!$Q$35=0,(AJ$20*AJ$5)/100,MIN(Inputs!$Q$35,(AJ$20*AJ$5)/100))</f>
        <v>0</v>
      </c>
    </row>
    <row r="22" spans="2:36" s="39" customFormat="1">
      <c r="B22" s="40" t="s">
        <v>195</v>
      </c>
      <c r="C22" s="40"/>
      <c r="D22" s="40"/>
      <c r="E22" s="82" t="s">
        <v>0</v>
      </c>
      <c r="F22" s="40"/>
      <c r="G22" s="153">
        <f>G208</f>
        <v>19131.099319342862</v>
      </c>
      <c r="H22" s="153">
        <f t="shared" ref="H22:AJ22" si="3">H208</f>
        <v>19506.099319342862</v>
      </c>
      <c r="I22" s="153">
        <f t="shared" si="3"/>
        <v>19881.099319342862</v>
      </c>
      <c r="J22" s="153">
        <f t="shared" si="3"/>
        <v>20256.099319342862</v>
      </c>
      <c r="K22" s="153">
        <f t="shared" si="3"/>
        <v>20631.099319342862</v>
      </c>
      <c r="L22" s="153">
        <f t="shared" si="3"/>
        <v>21006.099319342862</v>
      </c>
      <c r="M22" s="153">
        <f t="shared" si="3"/>
        <v>21381.099319342862</v>
      </c>
      <c r="N22" s="153">
        <f t="shared" si="3"/>
        <v>21756.099319342862</v>
      </c>
      <c r="O22" s="153">
        <f t="shared" si="3"/>
        <v>22131.099319342862</v>
      </c>
      <c r="P22" s="153">
        <f t="shared" si="3"/>
        <v>22506.099319342862</v>
      </c>
      <c r="Q22" s="153">
        <f t="shared" si="3"/>
        <v>22881.099319342862</v>
      </c>
      <c r="R22" s="153">
        <f t="shared" si="3"/>
        <v>23256.099319342862</v>
      </c>
      <c r="S22" s="153">
        <f t="shared" si="3"/>
        <v>23631.099319342862</v>
      </c>
      <c r="T22" s="153">
        <f t="shared" si="3"/>
        <v>24006.099319342862</v>
      </c>
      <c r="U22" s="153">
        <f t="shared" si="3"/>
        <v>24381.099319342862</v>
      </c>
      <c r="V22" s="153">
        <f t="shared" si="3"/>
        <v>19609.476286483179</v>
      </c>
      <c r="W22" s="153">
        <f t="shared" si="3"/>
        <v>14837.853253623502</v>
      </c>
      <c r="X22" s="153">
        <f t="shared" si="3"/>
        <v>15212.853253623502</v>
      </c>
      <c r="Y22" s="153">
        <f t="shared" si="3"/>
        <v>15587.853253623502</v>
      </c>
      <c r="Z22" s="153">
        <f t="shared" si="3"/>
        <v>11637.67662681175</v>
      </c>
      <c r="AA22" s="153">
        <f t="shared" si="3"/>
        <v>3750</v>
      </c>
      <c r="AB22" s="153">
        <f t="shared" si="3"/>
        <v>0</v>
      </c>
      <c r="AC22" s="153">
        <f t="shared" si="3"/>
        <v>0</v>
      </c>
      <c r="AD22" s="153">
        <f t="shared" si="3"/>
        <v>0</v>
      </c>
      <c r="AE22" s="153">
        <f t="shared" si="3"/>
        <v>0</v>
      </c>
      <c r="AF22" s="153">
        <f t="shared" si="3"/>
        <v>0</v>
      </c>
      <c r="AG22" s="153">
        <f t="shared" si="3"/>
        <v>0</v>
      </c>
      <c r="AH22" s="153">
        <f t="shared" si="3"/>
        <v>0</v>
      </c>
      <c r="AI22" s="153">
        <f t="shared" si="3"/>
        <v>0</v>
      </c>
      <c r="AJ22" s="153">
        <f t="shared" si="3"/>
        <v>0</v>
      </c>
    </row>
    <row r="23" spans="2:36" s="30" customFormat="1" ht="15.75">
      <c r="B23" s="35" t="s">
        <v>118</v>
      </c>
      <c r="C23" s="35"/>
      <c r="D23" s="35"/>
      <c r="E23" s="83" t="s">
        <v>0</v>
      </c>
      <c r="F23" s="35"/>
      <c r="G23" s="42">
        <f>G15+G17+G19+G21+G22</f>
        <v>2836347.099319343</v>
      </c>
      <c r="H23" s="42">
        <f t="shared" ref="H23:AJ23" si="4">H15+H17+H19+H21+H22</f>
        <v>2822636.0193193429</v>
      </c>
      <c r="I23" s="42">
        <f t="shared" si="4"/>
        <v>2808995.3697193433</v>
      </c>
      <c r="J23" s="42">
        <f t="shared" si="4"/>
        <v>2795424.7983673434</v>
      </c>
      <c r="K23" s="42">
        <f t="shared" si="4"/>
        <v>2781923.9548721034</v>
      </c>
      <c r="L23" s="42">
        <f t="shared" si="4"/>
        <v>2768492.4905943396</v>
      </c>
      <c r="M23" s="42">
        <f t="shared" si="4"/>
        <v>2755130.0586379645</v>
      </c>
      <c r="N23" s="42">
        <f t="shared" si="4"/>
        <v>2741836.3138413713</v>
      </c>
      <c r="O23" s="42">
        <f t="shared" si="4"/>
        <v>2728610.9127687612</v>
      </c>
      <c r="P23" s="42">
        <f t="shared" si="4"/>
        <v>2715453.5137015139</v>
      </c>
      <c r="Q23" s="42">
        <f t="shared" si="4"/>
        <v>2702363.776629603</v>
      </c>
      <c r="R23" s="42">
        <f t="shared" si="4"/>
        <v>2689341.3632430518</v>
      </c>
      <c r="S23" s="42">
        <f t="shared" si="4"/>
        <v>2676385.9369234331</v>
      </c>
      <c r="T23" s="42">
        <f t="shared" si="4"/>
        <v>2663497.1627354128</v>
      </c>
      <c r="U23" s="42">
        <f t="shared" si="4"/>
        <v>2650674.7074183323</v>
      </c>
      <c r="V23" s="42">
        <f t="shared" si="4"/>
        <v>2632771.6163449776</v>
      </c>
      <c r="W23" s="42">
        <f t="shared" si="4"/>
        <v>2614934.1826118254</v>
      </c>
      <c r="X23" s="42">
        <f t="shared" si="4"/>
        <v>2602308.7009650343</v>
      </c>
      <c r="Y23" s="42">
        <f t="shared" si="4"/>
        <v>2589748.2217264771</v>
      </c>
      <c r="Z23" s="42">
        <f t="shared" si="4"/>
        <v>2572927.2432573014</v>
      </c>
      <c r="AA23" s="42">
        <f t="shared" si="4"/>
        <v>3750</v>
      </c>
      <c r="AB23" s="42">
        <f t="shared" si="4"/>
        <v>0</v>
      </c>
      <c r="AC23" s="42">
        <f t="shared" si="4"/>
        <v>0</v>
      </c>
      <c r="AD23" s="42">
        <f t="shared" si="4"/>
        <v>0</v>
      </c>
      <c r="AE23" s="42">
        <f t="shared" si="4"/>
        <v>0</v>
      </c>
      <c r="AF23" s="42">
        <f t="shared" si="4"/>
        <v>0</v>
      </c>
      <c r="AG23" s="42">
        <f t="shared" si="4"/>
        <v>0</v>
      </c>
      <c r="AH23" s="42">
        <f t="shared" si="4"/>
        <v>0</v>
      </c>
      <c r="AI23" s="42">
        <f t="shared" si="4"/>
        <v>0</v>
      </c>
      <c r="AJ23" s="42">
        <f t="shared" si="4"/>
        <v>0</v>
      </c>
    </row>
    <row r="24" spans="2:36" s="30" customFormat="1">
      <c r="E24" s="81"/>
    </row>
    <row r="25" spans="2:36" s="30" customFormat="1" ht="15.75">
      <c r="B25" s="35" t="s">
        <v>69</v>
      </c>
      <c r="C25" s="35"/>
      <c r="D25" s="35"/>
      <c r="E25" s="81"/>
    </row>
    <row r="26" spans="2:36" s="30" customFormat="1">
      <c r="B26" s="30" t="s">
        <v>112</v>
      </c>
      <c r="E26" s="78"/>
      <c r="F26" s="33"/>
      <c r="G26" s="321">
        <v>1</v>
      </c>
      <c r="H26" s="85">
        <f>G26*(1+IF(G$2&lt;=Inputs!$G$30,Inputs!$G$29,Inputs!$G$31))</f>
        <v>1.02</v>
      </c>
      <c r="I26" s="85">
        <f>H26*(1+IF(H$2&lt;=Inputs!$G$30,Inputs!$G$29,Inputs!$G$31))</f>
        <v>1.0404</v>
      </c>
      <c r="J26" s="85">
        <f>I26*(1+IF(I$2&lt;=Inputs!$G$30,Inputs!$G$29,Inputs!$G$31))</f>
        <v>1.0612079999999999</v>
      </c>
      <c r="K26" s="85">
        <f>J26*(1+IF(J$2&lt;=Inputs!$G$30,Inputs!$G$29,Inputs!$G$31))</f>
        <v>1.08243216</v>
      </c>
      <c r="L26" s="85">
        <f>K26*(1+IF(K$2&lt;=Inputs!$G$30,Inputs!$G$29,Inputs!$G$31))</f>
        <v>1.1040808032</v>
      </c>
      <c r="M26" s="85">
        <f>L26*(1+IF(L$2&lt;=Inputs!$G$30,Inputs!$G$29,Inputs!$G$31))</f>
        <v>1.1261624192640001</v>
      </c>
      <c r="N26" s="85">
        <f>M26*(1+IF(M$2&lt;=Inputs!$G$30,Inputs!$G$29,Inputs!$G$31))</f>
        <v>1.14868566764928</v>
      </c>
      <c r="O26" s="85">
        <f>N26*(1+IF(N$2&lt;=Inputs!$G$30,Inputs!$G$29,Inputs!$G$31))</f>
        <v>1.1716593810022657</v>
      </c>
      <c r="P26" s="85">
        <f>O26*(1+IF(O$2&lt;=Inputs!$G$30,Inputs!$G$29,Inputs!$G$31))</f>
        <v>1.1950925686223111</v>
      </c>
      <c r="Q26" s="85">
        <f>P26*(1+IF(P$2&lt;=Inputs!$G$30,Inputs!$G$29,Inputs!$G$31))</f>
        <v>1.2189944199947573</v>
      </c>
      <c r="R26" s="85">
        <f>Q26*(1+IF(Q$2&lt;=Inputs!$G$30,Inputs!$G$29,Inputs!$G$31))</f>
        <v>1.2433743083946525</v>
      </c>
      <c r="S26" s="85">
        <f>R26*(1+IF(R$2&lt;=Inputs!$G$30,Inputs!$G$29,Inputs!$G$31))</f>
        <v>1.2682417945625455</v>
      </c>
      <c r="T26" s="85">
        <f>S26*(1+IF(S$2&lt;=Inputs!$G$30,Inputs!$G$29,Inputs!$G$31))</f>
        <v>1.2936066304537963</v>
      </c>
      <c r="U26" s="85">
        <f>T26*(1+IF(T$2&lt;=Inputs!$G$30,Inputs!$G$29,Inputs!$G$31))</f>
        <v>1.3194787630628724</v>
      </c>
      <c r="V26" s="85">
        <f>U26*(1+IF(U$2&lt;=Inputs!$G$30,Inputs!$G$29,Inputs!$G$31))</f>
        <v>1.3458683383241299</v>
      </c>
      <c r="W26" s="85">
        <f>V26*(1+IF(V$2&lt;=Inputs!$G$30,Inputs!$G$29,Inputs!$G$31))</f>
        <v>1.3727857050906125</v>
      </c>
      <c r="X26" s="85">
        <f>W26*(1+IF(W$2&lt;=Inputs!$G$30,Inputs!$G$29,Inputs!$G$31))</f>
        <v>1.4002414191924248</v>
      </c>
      <c r="Y26" s="85">
        <f>X26*(1+IF(X$2&lt;=Inputs!$G$30,Inputs!$G$29,Inputs!$G$31))</f>
        <v>1.4282462475762734</v>
      </c>
      <c r="Z26" s="85">
        <f>Y26*(1+IF(Y$2&lt;=Inputs!$G$30,Inputs!$G$29,Inputs!$G$31))</f>
        <v>1.4568111725277988</v>
      </c>
      <c r="AA26" s="85">
        <f>Z26*(1+IF(Z$2&lt;=Inputs!$G$30,Inputs!$G$29,Inputs!$G$31))</f>
        <v>1.4859473959783549</v>
      </c>
      <c r="AB26" s="85">
        <f>AA26*(1+IF(AA$2&lt;=Inputs!$G$30,Inputs!$G$29,Inputs!$G$31))</f>
        <v>1.5156663438979221</v>
      </c>
      <c r="AC26" s="85">
        <f>AB26*(1+IF(AB$2&lt;=Inputs!$G$30,Inputs!$G$29,Inputs!$G$31))</f>
        <v>1.5459796707758806</v>
      </c>
      <c r="AD26" s="85">
        <f>AC26*(1+IF(AC$2&lt;=Inputs!$G$30,Inputs!$G$29,Inputs!$G$31))</f>
        <v>1.5768992641913981</v>
      </c>
      <c r="AE26" s="85">
        <f>AD26*(1+IF(AD$2&lt;=Inputs!$G$30,Inputs!$G$29,Inputs!$G$31))</f>
        <v>1.6084372494752261</v>
      </c>
      <c r="AF26" s="85">
        <f>AE26*(1+IF(AE$2&lt;=Inputs!$G$30,Inputs!$G$29,Inputs!$G$31))</f>
        <v>1.6406059944647307</v>
      </c>
      <c r="AG26" s="85">
        <f>AF26*(1+IF(AF$2&lt;=Inputs!$G$30,Inputs!$G$29,Inputs!$G$31))</f>
        <v>1.6734181143540252</v>
      </c>
      <c r="AH26" s="85">
        <f>AG26*(1+IF(AG$2&lt;=Inputs!$G$30,Inputs!$G$29,Inputs!$G$31))</f>
        <v>1.7068864766411058</v>
      </c>
      <c r="AI26" s="85">
        <f>AH26*(1+IF(AH$2&lt;=Inputs!$G$30,Inputs!$G$29,Inputs!$G$31))</f>
        <v>1.7410242061739281</v>
      </c>
      <c r="AJ26" s="85">
        <f>AI26*(1+IF(AI$2&lt;=Inputs!$G$30,Inputs!$G$29,Inputs!$G$31))</f>
        <v>1.7758446902974065</v>
      </c>
    </row>
    <row r="27" spans="2:36" s="30" customFormat="1" ht="15.75">
      <c r="E27" s="78"/>
      <c r="F27" s="33"/>
      <c r="G27" s="90"/>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row>
    <row r="28" spans="2:36" s="30" customFormat="1">
      <c r="B28" s="30" t="s">
        <v>113</v>
      </c>
      <c r="E28" s="78" t="s">
        <v>0</v>
      </c>
      <c r="F28" s="33"/>
      <c r="G28" s="86">
        <f>-IF(G$2&gt;Inputs!$G$11,0,Inputs!$G$27*Inputs!$G$7*G$26)</f>
        <v>0</v>
      </c>
      <c r="H28" s="86">
        <f>-IF(H$2&gt;Inputs!$G$11,0,Inputs!$G$27*Inputs!$G$7*H$26)</f>
        <v>0</v>
      </c>
      <c r="I28" s="86">
        <f>-IF(I$2&gt;Inputs!$G$11,0,Inputs!$G$27*Inputs!$G$7*I$26)</f>
        <v>0</v>
      </c>
      <c r="J28" s="86">
        <f>-IF(J$2&gt;Inputs!$G$11,0,Inputs!$G$27*Inputs!$G$7*J$26)</f>
        <v>0</v>
      </c>
      <c r="K28" s="86">
        <f>-IF(K$2&gt;Inputs!$G$11,0,Inputs!$G$27*Inputs!$G$7*K$26)</f>
        <v>0</v>
      </c>
      <c r="L28" s="86">
        <f>-IF(L$2&gt;Inputs!$G$11,0,Inputs!$G$27*Inputs!$G$7*L$26)</f>
        <v>0</v>
      </c>
      <c r="M28" s="86">
        <f>-IF(M$2&gt;Inputs!$G$11,0,Inputs!$G$27*Inputs!$G$7*M$26)</f>
        <v>0</v>
      </c>
      <c r="N28" s="86">
        <f>-IF(N$2&gt;Inputs!$G$11,0,Inputs!$G$27*Inputs!$G$7*N$26)</f>
        <v>0</v>
      </c>
      <c r="O28" s="86">
        <f>-IF(O$2&gt;Inputs!$G$11,0,Inputs!$G$27*Inputs!$G$7*O$26)</f>
        <v>0</v>
      </c>
      <c r="P28" s="86">
        <f>-IF(P$2&gt;Inputs!$G$11,0,Inputs!$G$27*Inputs!$G$7*P$26)</f>
        <v>0</v>
      </c>
      <c r="Q28" s="86">
        <f>-IF(Q$2&gt;Inputs!$G$11,0,Inputs!$G$27*Inputs!$G$7*Q$26)</f>
        <v>0</v>
      </c>
      <c r="R28" s="86">
        <f>-IF(R$2&gt;Inputs!$G$11,0,Inputs!$G$27*Inputs!$G$7*R$26)</f>
        <v>0</v>
      </c>
      <c r="S28" s="86">
        <f>-IF(S$2&gt;Inputs!$G$11,0,Inputs!$G$27*Inputs!$G$7*S$26)</f>
        <v>0</v>
      </c>
      <c r="T28" s="86">
        <f>-IF(T$2&gt;Inputs!$G$11,0,Inputs!$G$27*Inputs!$G$7*T$26)</f>
        <v>0</v>
      </c>
      <c r="U28" s="86">
        <f>-IF(U$2&gt;Inputs!$G$11,0,Inputs!$G$27*Inputs!$G$7*U$26)</f>
        <v>0</v>
      </c>
      <c r="V28" s="86">
        <f>-IF(V$2&gt;Inputs!$G$11,0,Inputs!$G$27*Inputs!$G$7*V$26)</f>
        <v>0</v>
      </c>
      <c r="W28" s="86">
        <f>-IF(W$2&gt;Inputs!$G$11,0,Inputs!$G$27*Inputs!$G$7*W$26)</f>
        <v>0</v>
      </c>
      <c r="X28" s="86">
        <f>-IF(X$2&gt;Inputs!$G$11,0,Inputs!$G$27*Inputs!$G$7*X$26)</f>
        <v>0</v>
      </c>
      <c r="Y28" s="86">
        <f>-IF(Y$2&gt;Inputs!$G$11,0,Inputs!$G$27*Inputs!$G$7*Y$26)</f>
        <v>0</v>
      </c>
      <c r="Z28" s="86">
        <f>-IF(Z$2&gt;Inputs!$G$11,0,Inputs!$G$27*Inputs!$G$7*Z$26)</f>
        <v>0</v>
      </c>
      <c r="AA28" s="86">
        <f>-IF(AA$2&gt;Inputs!$G$11,0,Inputs!$G$27*Inputs!$G$7*AA$26)</f>
        <v>0</v>
      </c>
      <c r="AB28" s="86">
        <f>-IF(AB$2&gt;Inputs!$G$11,0,Inputs!$G$27*Inputs!$G$7*AB$26)</f>
        <v>0</v>
      </c>
      <c r="AC28" s="86">
        <f>-IF(AC$2&gt;Inputs!$G$11,0,Inputs!$G$27*Inputs!$G$7*AC$26)</f>
        <v>0</v>
      </c>
      <c r="AD28" s="86">
        <f>-IF(AD$2&gt;Inputs!$G$11,0,Inputs!$G$27*Inputs!$G$7*AD$26)</f>
        <v>0</v>
      </c>
      <c r="AE28" s="86">
        <f>-IF(AE$2&gt;Inputs!$G$11,0,Inputs!$G$27*Inputs!$G$7*AE$26)</f>
        <v>0</v>
      </c>
      <c r="AF28" s="86">
        <f>-IF(AF$2&gt;Inputs!$G$11,0,Inputs!$G$27*Inputs!$G$7*AF$26)</f>
        <v>0</v>
      </c>
      <c r="AG28" s="86">
        <f>-IF(AG$2&gt;Inputs!$G$11,0,Inputs!$G$27*Inputs!$G$7*AG$26)</f>
        <v>0</v>
      </c>
      <c r="AH28" s="86">
        <f>-IF(AH$2&gt;Inputs!$G$11,0,Inputs!$G$27*Inputs!$G$7*AH$26)</f>
        <v>0</v>
      </c>
      <c r="AI28" s="86">
        <f>-IF(AI$2&gt;Inputs!$G$11,0,Inputs!$G$27*Inputs!$G$7*AI$26)</f>
        <v>0</v>
      </c>
      <c r="AJ28" s="86">
        <f>-IF(AJ$2&gt;Inputs!$G$11,0,Inputs!$G$27*Inputs!$G$7*AJ$26)</f>
        <v>0</v>
      </c>
    </row>
    <row r="29" spans="2:36" s="30" customFormat="1">
      <c r="B29" s="30" t="s">
        <v>114</v>
      </c>
      <c r="E29" s="78" t="s">
        <v>0</v>
      </c>
      <c r="G29" s="86">
        <f>-IF(G$2&gt;Inputs!$G$11,0,Inputs!$G$28/100*G$5*G$26)</f>
        <v>-700800</v>
      </c>
      <c r="H29" s="86">
        <f>-IF(H$2&gt;Inputs!$G$11,0,Inputs!$G$28/100*H$5*H$26)</f>
        <v>-711241.92</v>
      </c>
      <c r="I29" s="86">
        <f>-IF(I$2&gt;Inputs!$G$11,0,Inputs!$G$28/100*I$5*I$26)</f>
        <v>-721839.42460799997</v>
      </c>
      <c r="J29" s="86">
        <f>-IF(J$2&gt;Inputs!$G$11,0,Inputs!$G$28/100*J$5*J$26)</f>
        <v>-732594.83203465922</v>
      </c>
      <c r="K29" s="86">
        <f>-IF(K$2&gt;Inputs!$G$11,0,Inputs!$G$28/100*K$5*K$26)</f>
        <v>-743510.49503197568</v>
      </c>
      <c r="L29" s="86">
        <f>-IF(L$2&gt;Inputs!$G$11,0,Inputs!$G$28/100*L$5*L$26)</f>
        <v>-754588.80140795209</v>
      </c>
      <c r="M29" s="86">
        <f>-IF(M$2&gt;Inputs!$G$11,0,Inputs!$G$28/100*M$5*M$26)</f>
        <v>-765832.17454893072</v>
      </c>
      <c r="N29" s="86">
        <f>-IF(N$2&gt;Inputs!$G$11,0,Inputs!$G$28/100*N$5*N$26)</f>
        <v>-777243.07394970977</v>
      </c>
      <c r="O29" s="86">
        <f>-IF(O$2&gt;Inputs!$G$11,0,Inputs!$G$28/100*O$5*O$26)</f>
        <v>-788823.99575156043</v>
      </c>
      <c r="P29" s="86">
        <f>-IF(P$2&gt;Inputs!$G$11,0,Inputs!$G$28/100*P$5*P$26)</f>
        <v>-800577.47328825877</v>
      </c>
      <c r="Q29" s="86">
        <f>-IF(Q$2&gt;Inputs!$G$11,0,Inputs!$G$28/100*Q$5*Q$26)</f>
        <v>-812506.07764025382</v>
      </c>
      <c r="R29" s="86">
        <f>-IF(R$2&gt;Inputs!$G$11,0,Inputs!$G$28/100*R$5*R$26)</f>
        <v>-824612.41819709342</v>
      </c>
      <c r="S29" s="86">
        <f>-IF(S$2&gt;Inputs!$G$11,0,Inputs!$G$28/100*S$5*S$26)</f>
        <v>-836899.14322823007</v>
      </c>
      <c r="T29" s="86">
        <f>-IF(T$2&gt;Inputs!$G$11,0,Inputs!$G$28/100*T$5*T$26)</f>
        <v>-849368.94046233082</v>
      </c>
      <c r="U29" s="86">
        <f>-IF(U$2&gt;Inputs!$G$11,0,Inputs!$G$28/100*U$5*U$26)</f>
        <v>-862024.53767521959</v>
      </c>
      <c r="V29" s="86">
        <f>-IF(V$2&gt;Inputs!$G$11,0,Inputs!$G$28/100*V$5*V$26)</f>
        <v>-874868.70328658039</v>
      </c>
      <c r="W29" s="86">
        <f>-IF(W$2&gt;Inputs!$G$11,0,Inputs!$G$28/100*W$5*W$26)</f>
        <v>-887904.24696555035</v>
      </c>
      <c r="X29" s="86">
        <f>-IF(X$2&gt;Inputs!$G$11,0,Inputs!$G$28/100*X$5*X$26)</f>
        <v>-901134.02024533716</v>
      </c>
      <c r="Y29" s="86">
        <f>-IF(Y$2&gt;Inputs!$G$11,0,Inputs!$G$28/100*Y$5*Y$26)</f>
        <v>-914560.91714699275</v>
      </c>
      <c r="Z29" s="86">
        <f>-IF(Z$2&gt;Inputs!$G$11,0,Inputs!$G$28/100*Z$5*Z$26)</f>
        <v>-928187.87481248286</v>
      </c>
      <c r="AA29" s="86">
        <f>-IF(AA$2&gt;Inputs!$G$11,0,Inputs!$G$28/100*AA$5*AA$26)</f>
        <v>0</v>
      </c>
      <c r="AB29" s="86">
        <f>-IF(AB$2&gt;Inputs!$G$11,0,Inputs!$G$28/100*AB$5*AB$26)</f>
        <v>0</v>
      </c>
      <c r="AC29" s="86">
        <f>-IF(AC$2&gt;Inputs!$G$11,0,Inputs!$G$28/100*AC$5*AC$26)</f>
        <v>0</v>
      </c>
      <c r="AD29" s="86">
        <f>-IF(AD$2&gt;Inputs!$G$11,0,Inputs!$G$28/100*AD$5*AD$26)</f>
        <v>0</v>
      </c>
      <c r="AE29" s="86">
        <f>-IF(AE$2&gt;Inputs!$G$11,0,Inputs!$G$28/100*AE$5*AE$26)</f>
        <v>0</v>
      </c>
      <c r="AF29" s="86">
        <f>-IF(AF$2&gt;Inputs!$G$11,0,Inputs!$G$28/100*AF$5*AF$26)</f>
        <v>0</v>
      </c>
      <c r="AG29" s="86">
        <f>-IF(AG$2&gt;Inputs!$G$11,0,Inputs!$G$28/100*AG$5*AG$26)</f>
        <v>0</v>
      </c>
      <c r="AH29" s="86">
        <f>-IF(AH$2&gt;Inputs!$G$11,0,Inputs!$G$28/100*AH$5*AH$26)</f>
        <v>0</v>
      </c>
      <c r="AI29" s="86">
        <f>-IF(AI$2&gt;Inputs!$G$11,0,Inputs!$G$28/100*AI$5*AI$26)</f>
        <v>0</v>
      </c>
      <c r="AJ29" s="86">
        <f>-IF(AJ$2&gt;Inputs!$G$11,0,Inputs!$G$28/100*AJ$5*AJ$26)</f>
        <v>0</v>
      </c>
    </row>
    <row r="30" spans="2:36" s="30" customFormat="1">
      <c r="B30" s="30" t="s">
        <v>71</v>
      </c>
      <c r="E30" s="78" t="s">
        <v>0</v>
      </c>
      <c r="G30" s="86">
        <f>-IF(Inputs!$G$26="simple",0,IF(G$2&gt;Inputs!$G$11,0,Inputs!$G$33*G$26))</f>
        <v>-100000</v>
      </c>
      <c r="H30" s="86">
        <f>-IF(Inputs!$G$26="simple",0,IF(H$2&gt;Inputs!$G$11,0,Inputs!$G$33*H$26))</f>
        <v>-102000</v>
      </c>
      <c r="I30" s="86">
        <f>-IF(Inputs!$G$26="simple",0,IF(I$2&gt;Inputs!$G$11,0,Inputs!$G$33*I$26))</f>
        <v>-104040</v>
      </c>
      <c r="J30" s="86">
        <f>-IF(Inputs!$G$26="simple",0,IF(J$2&gt;Inputs!$G$11,0,Inputs!$G$33*J$26))</f>
        <v>-106120.79999999999</v>
      </c>
      <c r="K30" s="86">
        <f>-IF(Inputs!$G$26="simple",0,IF(K$2&gt;Inputs!$G$11,0,Inputs!$G$33*K$26))</f>
        <v>-108243.216</v>
      </c>
      <c r="L30" s="86">
        <f>-IF(Inputs!$G$26="simple",0,IF(L$2&gt;Inputs!$G$11,0,Inputs!$G$33*L$26))</f>
        <v>-110408.08032000001</v>
      </c>
      <c r="M30" s="86">
        <f>-IF(Inputs!$G$26="simple",0,IF(M$2&gt;Inputs!$G$11,0,Inputs!$G$33*M$26))</f>
        <v>-112616.24192640001</v>
      </c>
      <c r="N30" s="86">
        <f>-IF(Inputs!$G$26="simple",0,IF(N$2&gt;Inputs!$G$11,0,Inputs!$G$33*N$26))</f>
        <v>-114868.56676492801</v>
      </c>
      <c r="O30" s="86">
        <f>-IF(Inputs!$G$26="simple",0,IF(O$2&gt;Inputs!$G$11,0,Inputs!$G$33*O$26))</f>
        <v>-117165.93810022657</v>
      </c>
      <c r="P30" s="86">
        <f>-IF(Inputs!$G$26="simple",0,IF(P$2&gt;Inputs!$G$11,0,Inputs!$G$33*P$26))</f>
        <v>-119509.25686223111</v>
      </c>
      <c r="Q30" s="86">
        <f>-IF(Inputs!$G$26="simple",0,IF(Q$2&gt;Inputs!$G$11,0,Inputs!$G$33*Q$26))</f>
        <v>-121899.44199947573</v>
      </c>
      <c r="R30" s="86">
        <f>-IF(Inputs!$G$26="simple",0,IF(R$2&gt;Inputs!$G$11,0,Inputs!$G$33*R$26))</f>
        <v>-124337.43083946525</v>
      </c>
      <c r="S30" s="86">
        <f>-IF(Inputs!$G$26="simple",0,IF(S$2&gt;Inputs!$G$11,0,Inputs!$G$33*S$26))</f>
        <v>-126824.17945625455</v>
      </c>
      <c r="T30" s="86">
        <f>-IF(Inputs!$G$26="simple",0,IF(T$2&gt;Inputs!$G$11,0,Inputs!$G$33*T$26))</f>
        <v>-129360.66304537962</v>
      </c>
      <c r="U30" s="86">
        <f>-IF(Inputs!$G$26="simple",0,IF(U$2&gt;Inputs!$G$11,0,Inputs!$G$33*U$26))</f>
        <v>-131947.87630628725</v>
      </c>
      <c r="V30" s="86">
        <f>-IF(Inputs!$G$26="simple",0,IF(V$2&gt;Inputs!$G$11,0,Inputs!$G$33*V$26))</f>
        <v>-134586.83383241299</v>
      </c>
      <c r="W30" s="86">
        <f>-IF(Inputs!$G$26="simple",0,IF(W$2&gt;Inputs!$G$11,0,Inputs!$G$33*W$26))</f>
        <v>-137278.57050906125</v>
      </c>
      <c r="X30" s="86">
        <f>-IF(Inputs!$G$26="simple",0,IF(X$2&gt;Inputs!$G$11,0,Inputs!$G$33*X$26))</f>
        <v>-140024.14191924248</v>
      </c>
      <c r="Y30" s="86">
        <f>-IF(Inputs!$G$26="simple",0,IF(Y$2&gt;Inputs!$G$11,0,Inputs!$G$33*Y$26))</f>
        <v>-142824.62475762735</v>
      </c>
      <c r="Z30" s="86">
        <f>-IF(Inputs!$G$26="simple",0,IF(Z$2&gt;Inputs!$G$11,0,Inputs!$G$33*Z$26))</f>
        <v>-145681.11725277989</v>
      </c>
      <c r="AA30" s="86">
        <f>-IF(Inputs!$G$26="simple",0,IF(AA$2&gt;Inputs!$G$11,0,Inputs!$G$33*AA$26))</f>
        <v>0</v>
      </c>
      <c r="AB30" s="86">
        <f>-IF(Inputs!$G$26="simple",0,IF(AB$2&gt;Inputs!$G$11,0,Inputs!$G$33*AB$26))</f>
        <v>0</v>
      </c>
      <c r="AC30" s="86">
        <f>-IF(Inputs!$G$26="simple",0,IF(AC$2&gt;Inputs!$G$11,0,Inputs!$G$33*AC$26))</f>
        <v>0</v>
      </c>
      <c r="AD30" s="86">
        <f>-IF(Inputs!$G$26="simple",0,IF(AD$2&gt;Inputs!$G$11,0,Inputs!$G$33*AD$26))</f>
        <v>0</v>
      </c>
      <c r="AE30" s="86">
        <f>-IF(Inputs!$G$26="simple",0,IF(AE$2&gt;Inputs!$G$11,0,Inputs!$G$33*AE$26))</f>
        <v>0</v>
      </c>
      <c r="AF30" s="86">
        <f>-IF(Inputs!$G$26="simple",0,IF(AF$2&gt;Inputs!$G$11,0,Inputs!$G$33*AF$26))</f>
        <v>0</v>
      </c>
      <c r="AG30" s="86">
        <f>-IF(Inputs!$G$26="simple",0,IF(AG$2&gt;Inputs!$G$11,0,Inputs!$G$33*AG$26))</f>
        <v>0</v>
      </c>
      <c r="AH30" s="86">
        <f>-IF(Inputs!$G$26="simple",0,IF(AH$2&gt;Inputs!$G$11,0,Inputs!$G$33*AH$26))</f>
        <v>0</v>
      </c>
      <c r="AI30" s="86">
        <f>-IF(Inputs!$G$26="simple",0,IF(AI$2&gt;Inputs!$G$11,0,Inputs!$G$33*AI$26))</f>
        <v>0</v>
      </c>
      <c r="AJ30" s="86">
        <f>-IF(Inputs!$G$26="simple",0,IF(AJ$2&gt;Inputs!$G$11,0,Inputs!$G$33*AJ$26))</f>
        <v>0</v>
      </c>
    </row>
    <row r="31" spans="2:36" s="30" customFormat="1">
      <c r="B31" s="30" t="s">
        <v>70</v>
      </c>
      <c r="E31" s="78" t="s">
        <v>0</v>
      </c>
      <c r="G31" s="86">
        <f>-IF(Inputs!$G$26="simple",0,IF(G$2&gt;Inputs!$G$11,0,Inputs!$G$34*G$26))</f>
        <v>-30000</v>
      </c>
      <c r="H31" s="86">
        <f>-IF(Inputs!$G$26="simple",0,IF(H$2&gt;Inputs!$G$11,0,Inputs!$G$34*H$26))</f>
        <v>-30600</v>
      </c>
      <c r="I31" s="86">
        <f>-IF(Inputs!$G$26="simple",0,IF(I$2&gt;Inputs!$G$11,0,Inputs!$G$34*I$26))</f>
        <v>-31212</v>
      </c>
      <c r="J31" s="86">
        <f>-IF(Inputs!$G$26="simple",0,IF(J$2&gt;Inputs!$G$11,0,Inputs!$G$34*J$26))</f>
        <v>-31836.239999999998</v>
      </c>
      <c r="K31" s="86">
        <f>-IF(Inputs!$G$26="simple",0,IF(K$2&gt;Inputs!$G$11,0,Inputs!$G$34*K$26))</f>
        <v>-32472.964799999998</v>
      </c>
      <c r="L31" s="86">
        <f>-IF(Inputs!$G$26="simple",0,IF(L$2&gt;Inputs!$G$11,0,Inputs!$G$34*L$26))</f>
        <v>-33122.424096000002</v>
      </c>
      <c r="M31" s="86">
        <f>-IF(Inputs!$G$26="simple",0,IF(M$2&gt;Inputs!$G$11,0,Inputs!$G$34*M$26))</f>
        <v>-33784.872577920003</v>
      </c>
      <c r="N31" s="86">
        <f>-IF(Inputs!$G$26="simple",0,IF(N$2&gt;Inputs!$G$11,0,Inputs!$G$34*N$26))</f>
        <v>-34460.570029478404</v>
      </c>
      <c r="O31" s="86">
        <f>-IF(Inputs!$G$26="simple",0,IF(O$2&gt;Inputs!$G$11,0,Inputs!$G$34*O$26))</f>
        <v>-35149.781430067975</v>
      </c>
      <c r="P31" s="86">
        <f>-IF(Inputs!$G$26="simple",0,IF(P$2&gt;Inputs!$G$11,0,Inputs!$G$34*P$26))</f>
        <v>-35852.77705866933</v>
      </c>
      <c r="Q31" s="86">
        <f>-IF(Inputs!$G$26="simple",0,IF(Q$2&gt;Inputs!$G$11,0,Inputs!$G$34*Q$26))</f>
        <v>-36569.832599842717</v>
      </c>
      <c r="R31" s="86">
        <f>-IF(Inputs!$G$26="simple",0,IF(R$2&gt;Inputs!$G$11,0,Inputs!$G$34*R$26))</f>
        <v>-37301.229251839577</v>
      </c>
      <c r="S31" s="86">
        <f>-IF(Inputs!$G$26="simple",0,IF(S$2&gt;Inputs!$G$11,0,Inputs!$G$34*S$26))</f>
        <v>-38047.253836876363</v>
      </c>
      <c r="T31" s="86">
        <f>-IF(Inputs!$G$26="simple",0,IF(T$2&gt;Inputs!$G$11,0,Inputs!$G$34*T$26))</f>
        <v>-38808.198913613887</v>
      </c>
      <c r="U31" s="86">
        <f>-IF(Inputs!$G$26="simple",0,IF(U$2&gt;Inputs!$G$11,0,Inputs!$G$34*U$26))</f>
        <v>-39584.362891886172</v>
      </c>
      <c r="V31" s="86">
        <f>-IF(Inputs!$G$26="simple",0,IF(V$2&gt;Inputs!$G$11,0,Inputs!$G$34*V$26))</f>
        <v>-40376.050149723895</v>
      </c>
      <c r="W31" s="86">
        <f>-IF(Inputs!$G$26="simple",0,IF(W$2&gt;Inputs!$G$11,0,Inputs!$G$34*W$26))</f>
        <v>-41183.571152718374</v>
      </c>
      <c r="X31" s="86">
        <f>-IF(Inputs!$G$26="simple",0,IF(X$2&gt;Inputs!$G$11,0,Inputs!$G$34*X$26))</f>
        <v>-42007.242575772747</v>
      </c>
      <c r="Y31" s="86">
        <f>-IF(Inputs!$G$26="simple",0,IF(Y$2&gt;Inputs!$G$11,0,Inputs!$G$34*Y$26))</f>
        <v>-42847.387427288202</v>
      </c>
      <c r="Z31" s="86">
        <f>-IF(Inputs!$G$26="simple",0,IF(Z$2&gt;Inputs!$G$11,0,Inputs!$G$34*Z$26))</f>
        <v>-43704.335175833963</v>
      </c>
      <c r="AA31" s="86">
        <f>-IF(Inputs!$G$26="simple",0,IF(AA$2&gt;Inputs!$G$11,0,Inputs!$G$34*AA$26))</f>
        <v>0</v>
      </c>
      <c r="AB31" s="86">
        <f>-IF(Inputs!$G$26="simple",0,IF(AB$2&gt;Inputs!$G$11,0,Inputs!$G$34*AB$26))</f>
        <v>0</v>
      </c>
      <c r="AC31" s="86">
        <f>-IF(Inputs!$G$26="simple",0,IF(AC$2&gt;Inputs!$G$11,0,Inputs!$G$34*AC$26))</f>
        <v>0</v>
      </c>
      <c r="AD31" s="86">
        <f>-IF(Inputs!$G$26="simple",0,IF(AD$2&gt;Inputs!$G$11,0,Inputs!$G$34*AD$26))</f>
        <v>0</v>
      </c>
      <c r="AE31" s="86">
        <f>-IF(Inputs!$G$26="simple",0,IF(AE$2&gt;Inputs!$G$11,0,Inputs!$G$34*AE$26))</f>
        <v>0</v>
      </c>
      <c r="AF31" s="86">
        <f>-IF(Inputs!$G$26="simple",0,IF(AF$2&gt;Inputs!$G$11,0,Inputs!$G$34*AF$26))</f>
        <v>0</v>
      </c>
      <c r="AG31" s="86">
        <f>-IF(Inputs!$G$26="simple",0,IF(AG$2&gt;Inputs!$G$11,0,Inputs!$G$34*AG$26))</f>
        <v>0</v>
      </c>
      <c r="AH31" s="86">
        <f>-IF(Inputs!$G$26="simple",0,IF(AH$2&gt;Inputs!$G$11,0,Inputs!$G$34*AH$26))</f>
        <v>0</v>
      </c>
      <c r="AI31" s="86">
        <f>-IF(Inputs!$G$26="simple",0,IF(AI$2&gt;Inputs!$G$11,0,Inputs!$G$34*AI$26))</f>
        <v>0</v>
      </c>
      <c r="AJ31" s="86">
        <f>-IF(Inputs!$G$26="simple",0,IF(AJ$2&gt;Inputs!$G$11,0,Inputs!$G$34*AJ$26))</f>
        <v>0</v>
      </c>
    </row>
    <row r="32" spans="2:36" s="30" customFormat="1">
      <c r="B32" s="30" t="s">
        <v>115</v>
      </c>
      <c r="E32" s="78" t="s">
        <v>0</v>
      </c>
      <c r="G32" s="86">
        <f>IF(Inputs!$G$26="simple",0,IF(G$2&gt;Inputs!$G$11,0,-Inputs!$G$35))</f>
        <v>-75000</v>
      </c>
      <c r="H32" s="86">
        <f>IF(Inputs!$G$26="simple",0,IF(H$2&gt;Inputs!$G$11,0,G32*(1+Inputs!$G$36)))</f>
        <v>-75000</v>
      </c>
      <c r="I32" s="86">
        <f>IF(Inputs!$G$26="simple",0,IF(I$2&gt;Inputs!$G$11,0,H32*(1+Inputs!$G$36)))</f>
        <v>-75000</v>
      </c>
      <c r="J32" s="86">
        <f>IF(Inputs!$G$26="simple",0,IF(J$2&gt;Inputs!$G$11,0,I32*(1+Inputs!$G$36)))</f>
        <v>-75000</v>
      </c>
      <c r="K32" s="86">
        <f>IF(Inputs!$G$26="simple",0,IF(K$2&gt;Inputs!$G$11,0,J32*(1+Inputs!$G$36)))</f>
        <v>-75000</v>
      </c>
      <c r="L32" s="86">
        <f>IF(Inputs!$G$26="simple",0,IF(L$2&gt;Inputs!$G$11,0,K32*(1+Inputs!$G$36)))</f>
        <v>-75000</v>
      </c>
      <c r="M32" s="86">
        <f>IF(Inputs!$G$26="simple",0,IF(M$2&gt;Inputs!$G$11,0,L32*(1+Inputs!$G$36)))</f>
        <v>-75000</v>
      </c>
      <c r="N32" s="86">
        <f>IF(Inputs!$G$26="simple",0,IF(N$2&gt;Inputs!$G$11,0,M32*(1+Inputs!$G$36)))</f>
        <v>-75000</v>
      </c>
      <c r="O32" s="86">
        <f>IF(Inputs!$G$26="simple",0,IF(O$2&gt;Inputs!$G$11,0,N32*(1+Inputs!$G$36)))</f>
        <v>-75000</v>
      </c>
      <c r="P32" s="86">
        <f>IF(Inputs!$G$26="simple",0,IF(P$2&gt;Inputs!$G$11,0,O32*(1+Inputs!$G$36)))</f>
        <v>-75000</v>
      </c>
      <c r="Q32" s="86">
        <f>IF(Inputs!$G$26="simple",0,IF(Q$2&gt;Inputs!$G$11,0,P32*(1+Inputs!$G$36)))</f>
        <v>-75000</v>
      </c>
      <c r="R32" s="86">
        <f>IF(Inputs!$G$26="simple",0,IF(R$2&gt;Inputs!$G$11,0,Q32*(1+Inputs!$G$36)))</f>
        <v>-75000</v>
      </c>
      <c r="S32" s="86">
        <f>IF(Inputs!$G$26="simple",0,IF(S$2&gt;Inputs!$G$11,0,R32*(1+Inputs!$G$36)))</f>
        <v>-75000</v>
      </c>
      <c r="T32" s="86">
        <f>IF(Inputs!$G$26="simple",0,IF(T$2&gt;Inputs!$G$11,0,S32*(1+Inputs!$G$36)))</f>
        <v>-75000</v>
      </c>
      <c r="U32" s="86">
        <f>IF(Inputs!$G$26="simple",0,IF(U$2&gt;Inputs!$G$11,0,T32*(1+Inputs!$G$36)))</f>
        <v>-75000</v>
      </c>
      <c r="V32" s="86">
        <f>IF(Inputs!$G$26="simple",0,IF(V$2&gt;Inputs!$G$11,0,U32*(1+Inputs!$G$36)))</f>
        <v>-75000</v>
      </c>
      <c r="W32" s="86">
        <f>IF(Inputs!$G$26="simple",0,IF(W$2&gt;Inputs!$G$11,0,V32*(1+Inputs!$G$36)))</f>
        <v>-75000</v>
      </c>
      <c r="X32" s="86">
        <f>IF(Inputs!$G$26="simple",0,IF(X$2&gt;Inputs!$G$11,0,W32*(1+Inputs!$G$36)))</f>
        <v>-75000</v>
      </c>
      <c r="Y32" s="86">
        <f>IF(Inputs!$G$26="simple",0,IF(Y$2&gt;Inputs!$G$11,0,X32*(1+Inputs!$G$36)))</f>
        <v>-75000</v>
      </c>
      <c r="Z32" s="86">
        <f>IF(Inputs!$G$26="simple",0,IF(Z$2&gt;Inputs!$G$11,0,Y32*(1+Inputs!$G$36)))</f>
        <v>-75000</v>
      </c>
      <c r="AA32" s="86">
        <f>IF(Inputs!$G$26="simple",0,IF(AA$2&gt;Inputs!$G$11,0,Z32*(1+Inputs!$G$36)))</f>
        <v>0</v>
      </c>
      <c r="AB32" s="86">
        <f>IF(Inputs!$G$26="simple",0,IF(AB$2&gt;Inputs!$G$11,0,AA32*(1+Inputs!$G$36)))</f>
        <v>0</v>
      </c>
      <c r="AC32" s="86">
        <f>IF(Inputs!$G$26="simple",0,IF(AC$2&gt;Inputs!$G$11,0,AB32*(1+Inputs!$G$36)))</f>
        <v>0</v>
      </c>
      <c r="AD32" s="86">
        <f>IF(Inputs!$G$26="simple",0,IF(AD$2&gt;Inputs!$G$11,0,AC32*(1+Inputs!$G$36)))</f>
        <v>0</v>
      </c>
      <c r="AE32" s="86">
        <f>IF(Inputs!$G$26="simple",0,IF(AE$2&gt;Inputs!$G$11,0,AD32*(1+Inputs!$G$36)))</f>
        <v>0</v>
      </c>
      <c r="AF32" s="86">
        <f>IF(Inputs!$G$26="simple",0,IF(AF$2&gt;Inputs!$G$11,0,AE32*(1+Inputs!$G$36)))</f>
        <v>0</v>
      </c>
      <c r="AG32" s="86">
        <f>IF(Inputs!$G$26="simple",0,IF(AG$2&gt;Inputs!$G$11,0,AF32*(1+Inputs!$G$36)))</f>
        <v>0</v>
      </c>
      <c r="AH32" s="86">
        <f>IF(Inputs!$G$26="simple",0,IF(AH$2&gt;Inputs!$G$11,0,AG32*(1+Inputs!$G$36)))</f>
        <v>0</v>
      </c>
      <c r="AI32" s="86">
        <f>IF(Inputs!$G$26="simple",0,IF(AI$2&gt;Inputs!$G$11,0,AH32*(1+Inputs!$G$36)))</f>
        <v>0</v>
      </c>
      <c r="AJ32" s="86">
        <f>IF(Inputs!$G$26="simple",0,IF(AJ$2&gt;Inputs!$G$11,0,AI32*(1+Inputs!$G$36)))</f>
        <v>0</v>
      </c>
    </row>
    <row r="33" spans="2:36" s="30" customFormat="1">
      <c r="B33" s="30" t="s">
        <v>361</v>
      </c>
      <c r="E33" s="78" t="s">
        <v>0</v>
      </c>
      <c r="G33" s="86">
        <f>IF(Inputs!$G$26="simple",0,IF(G$2&gt;Inputs!$G$11,0,-Inputs!$G$37*G$26))</f>
        <v>-25000</v>
      </c>
      <c r="H33" s="86">
        <f>IF(Inputs!$G$26="simple",0,IF(H$2&gt;Inputs!$G$11,0,-Inputs!$G$37*H$26))</f>
        <v>-25500</v>
      </c>
      <c r="I33" s="86">
        <f>IF(Inputs!$G$26="simple",0,IF(I$2&gt;Inputs!$G$11,0,-Inputs!$G$37*I$26))</f>
        <v>-26010</v>
      </c>
      <c r="J33" s="86">
        <f>IF(Inputs!$G$26="simple",0,IF(J$2&gt;Inputs!$G$11,0,-Inputs!$G$37*J$26))</f>
        <v>-26530.199999999997</v>
      </c>
      <c r="K33" s="86">
        <f>IF(Inputs!$G$26="simple",0,IF(K$2&gt;Inputs!$G$11,0,-Inputs!$G$37*K$26))</f>
        <v>-27060.804</v>
      </c>
      <c r="L33" s="86">
        <f>IF(Inputs!$G$26="simple",0,IF(L$2&gt;Inputs!$G$11,0,-Inputs!$G$37*L$26))</f>
        <v>-27602.020080000002</v>
      </c>
      <c r="M33" s="86">
        <f>IF(Inputs!$G$26="simple",0,IF(M$2&gt;Inputs!$G$11,0,-Inputs!$G$37*M$26))</f>
        <v>-28154.060481600001</v>
      </c>
      <c r="N33" s="86">
        <f>IF(Inputs!$G$26="simple",0,IF(N$2&gt;Inputs!$G$11,0,-Inputs!$G$37*N$26))</f>
        <v>-28717.141691232002</v>
      </c>
      <c r="O33" s="86">
        <f>IF(Inputs!$G$26="simple",0,IF(O$2&gt;Inputs!$G$11,0,-Inputs!$G$37*O$26))</f>
        <v>-29291.484525056643</v>
      </c>
      <c r="P33" s="86">
        <f>IF(Inputs!$G$26="simple",0,IF(P$2&gt;Inputs!$G$11,0,-Inputs!$G$37*P$26))</f>
        <v>-29877.314215557777</v>
      </c>
      <c r="Q33" s="86">
        <f>IF(Inputs!$G$26="simple",0,IF(Q$2&gt;Inputs!$G$11,0,-Inputs!$G$37*Q$26))</f>
        <v>-30474.860499868933</v>
      </c>
      <c r="R33" s="86">
        <f>IF(Inputs!$G$26="simple",0,IF(R$2&gt;Inputs!$G$11,0,-Inputs!$G$37*R$26))</f>
        <v>-31084.357709866312</v>
      </c>
      <c r="S33" s="86">
        <f>IF(Inputs!$G$26="simple",0,IF(S$2&gt;Inputs!$G$11,0,-Inputs!$G$37*S$26))</f>
        <v>-31706.044864063639</v>
      </c>
      <c r="T33" s="86">
        <f>IF(Inputs!$G$26="simple",0,IF(T$2&gt;Inputs!$G$11,0,-Inputs!$G$37*T$26))</f>
        <v>-32340.165761344906</v>
      </c>
      <c r="U33" s="86">
        <f>IF(Inputs!$G$26="simple",0,IF(U$2&gt;Inputs!$G$11,0,-Inputs!$G$37*U$26))</f>
        <v>-32986.969076571811</v>
      </c>
      <c r="V33" s="86">
        <f>IF(Inputs!$G$26="simple",0,IF(V$2&gt;Inputs!$G$11,0,-Inputs!$G$37*V$26))</f>
        <v>-33646.708458103247</v>
      </c>
      <c r="W33" s="86">
        <f>IF(Inputs!$G$26="simple",0,IF(W$2&gt;Inputs!$G$11,0,-Inputs!$G$37*W$26))</f>
        <v>-34319.642627265312</v>
      </c>
      <c r="X33" s="86">
        <f>IF(Inputs!$G$26="simple",0,IF(X$2&gt;Inputs!$G$11,0,-Inputs!$G$37*X$26))</f>
        <v>-35006.03547981062</v>
      </c>
      <c r="Y33" s="86">
        <f>IF(Inputs!$G$26="simple",0,IF(Y$2&gt;Inputs!$G$11,0,-Inputs!$G$37*Y$26))</f>
        <v>-35706.156189406836</v>
      </c>
      <c r="Z33" s="86">
        <f>IF(Inputs!$G$26="simple",0,IF(Z$2&gt;Inputs!$G$11,0,-Inputs!$G$37*Z$26))</f>
        <v>-36420.279313194973</v>
      </c>
      <c r="AA33" s="86">
        <f>IF(Inputs!$G$26="simple",0,IF(AA$2&gt;Inputs!$G$11,0,-Inputs!$G$37*AA$26))</f>
        <v>0</v>
      </c>
      <c r="AB33" s="86">
        <f>IF(Inputs!$G$26="simple",0,IF(AB$2&gt;Inputs!$G$11,0,-Inputs!$G$37*AB$26))</f>
        <v>0</v>
      </c>
      <c r="AC33" s="86">
        <f>IF(Inputs!$G$26="simple",0,IF(AC$2&gt;Inputs!$G$11,0,-Inputs!$G$37*AC$26))</f>
        <v>0</v>
      </c>
      <c r="AD33" s="86">
        <f>IF(Inputs!$G$26="simple",0,IF(AD$2&gt;Inputs!$G$11,0,-Inputs!$G$37*AD$26))</f>
        <v>0</v>
      </c>
      <c r="AE33" s="86">
        <f>IF(Inputs!$G$26="simple",0,IF(AE$2&gt;Inputs!$G$11,0,-Inputs!$G$37*AE$26))</f>
        <v>0</v>
      </c>
      <c r="AF33" s="86">
        <f>IF(Inputs!$G$26="simple",0,IF(AF$2&gt;Inputs!$G$11,0,-Inputs!$G$37*AF$26))</f>
        <v>0</v>
      </c>
      <c r="AG33" s="86">
        <f>IF(Inputs!$G$26="simple",0,IF(AG$2&gt;Inputs!$G$11,0,-Inputs!$G$37*AG$26))</f>
        <v>0</v>
      </c>
      <c r="AH33" s="86">
        <f>IF(Inputs!$G$26="simple",0,IF(AH$2&gt;Inputs!$G$11,0,-Inputs!$G$37*AH$26))</f>
        <v>0</v>
      </c>
      <c r="AI33" s="86">
        <f>IF(Inputs!$G$26="simple",0,IF(AI$2&gt;Inputs!$G$11,0,-Inputs!$G$37*AI$26))</f>
        <v>0</v>
      </c>
      <c r="AJ33" s="86">
        <f>IF(Inputs!$G$26="simple",0,IF(AJ$2&gt;Inputs!$G$11,0,-Inputs!$G$37*AJ$26))</f>
        <v>0</v>
      </c>
    </row>
    <row r="34" spans="2:36" s="30" customFormat="1">
      <c r="B34" s="41" t="s">
        <v>116</v>
      </c>
      <c r="C34" s="41"/>
      <c r="D34" s="41"/>
      <c r="E34" s="82" t="s">
        <v>0</v>
      </c>
      <c r="F34" s="41"/>
      <c r="G34" s="55">
        <f>-IF(Inputs!$G$26="simple",0,IF(G$2&gt;Inputs!$G$11,0,Inputs!$G$38*(G$15+G$17+G$19+G$21)))</f>
        <v>-84516.479999999996</v>
      </c>
      <c r="H34" s="55">
        <f>-IF(Inputs!$G$26="simple",0,IF(H$2&gt;Inputs!$G$11,0,Inputs!$G$38*(H$15+H$17+H$19+H$21)))</f>
        <v>-84093.897599999997</v>
      </c>
      <c r="I34" s="55">
        <f>-IF(Inputs!$G$26="simple",0,IF(I$2&gt;Inputs!$G$11,0,Inputs!$G$38*(I$15+I$17+I$19+I$21)))</f>
        <v>-83673.428112000009</v>
      </c>
      <c r="J34" s="55">
        <f>-IF(Inputs!$G$26="simple",0,IF(J$2&gt;Inputs!$G$11,0,Inputs!$G$38*(J$15+J$17+J$19+J$21)))</f>
        <v>-83255.060971440005</v>
      </c>
      <c r="K34" s="55">
        <f>-IF(Inputs!$G$26="simple",0,IF(K$2&gt;Inputs!$G$11,0,Inputs!$G$38*(K$15+K$17+K$19+K$21)))</f>
        <v>-82838.785666582815</v>
      </c>
      <c r="L34" s="55">
        <f>-IF(Inputs!$G$26="simple",0,IF(L$2&gt;Inputs!$G$11,0,Inputs!$G$38*(L$15+L$17+L$19+L$21)))</f>
        <v>-82424.591738249888</v>
      </c>
      <c r="M34" s="55">
        <f>-IF(Inputs!$G$26="simple",0,IF(M$2&gt;Inputs!$G$11,0,Inputs!$G$38*(M$15+M$17+M$19+M$21)))</f>
        <v>-82012.468779558651</v>
      </c>
      <c r="N34" s="55">
        <f>-IF(Inputs!$G$26="simple",0,IF(N$2&gt;Inputs!$G$11,0,Inputs!$G$38*(N$15+N$17+N$19+N$21)))</f>
        <v>-81602.406435660843</v>
      </c>
      <c r="O34" s="55">
        <f>-IF(Inputs!$G$26="simple",0,IF(O$2&gt;Inputs!$G$11,0,Inputs!$G$38*(O$15+O$17+O$19+O$21)))</f>
        <v>-81194.39440348254</v>
      </c>
      <c r="P34" s="55">
        <f>-IF(Inputs!$G$26="simple",0,IF(P$2&gt;Inputs!$G$11,0,Inputs!$G$38*(P$15+P$17+P$19+P$21)))</f>
        <v>-80788.422431465122</v>
      </c>
      <c r="Q34" s="55">
        <f>-IF(Inputs!$G$26="simple",0,IF(Q$2&gt;Inputs!$G$11,0,Inputs!$G$38*(Q$15+Q$17+Q$19+Q$21)))</f>
        <v>-80384.480319307797</v>
      </c>
      <c r="R34" s="55">
        <f>-IF(Inputs!$G$26="simple",0,IF(R$2&gt;Inputs!$G$11,0,Inputs!$G$38*(R$15+R$17+R$19+R$21)))</f>
        <v>-79982.557917711267</v>
      </c>
      <c r="S34" s="55">
        <f>-IF(Inputs!$G$26="simple",0,IF(S$2&gt;Inputs!$G$11,0,Inputs!$G$38*(S$15+S$17+S$19+S$21)))</f>
        <v>-79582.645128122706</v>
      </c>
      <c r="T34" s="55">
        <f>-IF(Inputs!$G$26="simple",0,IF(T$2&gt;Inputs!$G$11,0,Inputs!$G$38*(T$15+T$17+T$19+T$21)))</f>
        <v>-79184.73190248209</v>
      </c>
      <c r="U34" s="55">
        <f>-IF(Inputs!$G$26="simple",0,IF(U$2&gt;Inputs!$G$11,0,Inputs!$G$38*(U$15+U$17+U$19+U$21)))</f>
        <v>-78788.808242969681</v>
      </c>
      <c r="V34" s="55">
        <f>-IF(Inputs!$G$26="simple",0,IF(V$2&gt;Inputs!$G$11,0,Inputs!$G$38*(V$15+V$17+V$19+V$21)))</f>
        <v>-78394.864201754841</v>
      </c>
      <c r="W34" s="55">
        <f>-IF(Inputs!$G$26="simple",0,IF(W$2&gt;Inputs!$G$11,0,Inputs!$G$38*(W$15+W$17+W$19+W$21)))</f>
        <v>-78002.88988074605</v>
      </c>
      <c r="X34" s="55">
        <f>-IF(Inputs!$G$26="simple",0,IF(X$2&gt;Inputs!$G$11,0,Inputs!$G$38*(X$15+X$17+X$19+X$21)))</f>
        <v>-77612.875431342327</v>
      </c>
      <c r="Y34" s="55">
        <f>-IF(Inputs!$G$26="simple",0,IF(Y$2&gt;Inputs!$G$11,0,Inputs!$G$38*(Y$15+Y$17+Y$19+Y$21)))</f>
        <v>-77224.8110541856</v>
      </c>
      <c r="Z34" s="55">
        <f>-IF(Inputs!$G$26="simple",0,IF(Z$2&gt;Inputs!$G$11,0,Inputs!$G$38*(Z$15+Z$17+Z$19+Z$21)))</f>
        <v>-76838.68699891468</v>
      </c>
      <c r="AA34" s="55">
        <f>-IF(Inputs!$G$26="simple",0,IF(AA$2&gt;Inputs!$G$11,0,Inputs!$G$38*(AA$15+AA$17+AA$19+AA$21)))</f>
        <v>0</v>
      </c>
      <c r="AB34" s="55">
        <f>-IF(Inputs!$G$26="simple",0,IF(AB$2&gt;Inputs!$G$11,0,Inputs!$G$38*(AB$15+AB$17+AB$19+AB$21)))</f>
        <v>0</v>
      </c>
      <c r="AC34" s="55">
        <f>-IF(Inputs!$G$26="simple",0,IF(AC$2&gt;Inputs!$G$11,0,Inputs!$G$38*(AC$15+AC$17+AC$19+AC$21)))</f>
        <v>0</v>
      </c>
      <c r="AD34" s="55">
        <f>-IF(Inputs!$G$26="simple",0,IF(AD$2&gt;Inputs!$G$11,0,Inputs!$G$38*(AD$15+AD$17+AD$19+AD$21)))</f>
        <v>0</v>
      </c>
      <c r="AE34" s="55">
        <f>-IF(Inputs!$G$26="simple",0,IF(AE$2&gt;Inputs!$G$11,0,Inputs!$G$38*(AE$15+AE$17+AE$19+AE$21)))</f>
        <v>0</v>
      </c>
      <c r="AF34" s="55">
        <f>-IF(Inputs!$G$26="simple",0,IF(AF$2&gt;Inputs!$G$11,0,Inputs!$G$38*(AF$15+AF$17+AF$19+AF$21)))</f>
        <v>0</v>
      </c>
      <c r="AG34" s="55">
        <f>-IF(Inputs!$G$26="simple",0,IF(AG$2&gt;Inputs!$G$11,0,Inputs!$G$38*(AG$15+AG$17+AG$19+AG$21)))</f>
        <v>0</v>
      </c>
      <c r="AH34" s="55">
        <f>-IF(Inputs!$G$26="simple",0,IF(AH$2&gt;Inputs!$G$11,0,Inputs!$G$38*(AH$15+AH$17+AH$19+AH$21)))</f>
        <v>0</v>
      </c>
      <c r="AI34" s="55">
        <f>-IF(Inputs!$G$26="simple",0,IF(AI$2&gt;Inputs!$G$11,0,Inputs!$G$38*(AI$15+AI$17+AI$19+AI$21)))</f>
        <v>0</v>
      </c>
      <c r="AJ34" s="55">
        <f>-IF(Inputs!$G$26="simple",0,IF(AJ$2&gt;Inputs!$G$11,0,Inputs!$G$38*(AJ$15+AJ$17+AJ$19+AJ$21)))</f>
        <v>0</v>
      </c>
    </row>
    <row r="35" spans="2:36" s="30" customFormat="1" ht="15.75">
      <c r="B35" s="45" t="s">
        <v>119</v>
      </c>
      <c r="C35" s="45"/>
      <c r="D35" s="45"/>
      <c r="E35" s="83" t="s">
        <v>0</v>
      </c>
      <c r="F35" s="35"/>
      <c r="G35" s="46">
        <f>SUM(G28:G34)</f>
        <v>-1015316.48</v>
      </c>
      <c r="H35" s="46">
        <f t="shared" ref="H35:AJ35" si="5">SUM(H28:H34)</f>
        <v>-1028435.8176000001</v>
      </c>
      <c r="I35" s="46">
        <f t="shared" si="5"/>
        <v>-1041774.85272</v>
      </c>
      <c r="J35" s="46">
        <f t="shared" si="5"/>
        <v>-1055337.1330060991</v>
      </c>
      <c r="K35" s="46">
        <f t="shared" si="5"/>
        <v>-1069126.2654985585</v>
      </c>
      <c r="L35" s="46">
        <f t="shared" si="5"/>
        <v>-1083145.917642202</v>
      </c>
      <c r="M35" s="46">
        <f t="shared" si="5"/>
        <v>-1097399.8183144093</v>
      </c>
      <c r="N35" s="46">
        <f t="shared" si="5"/>
        <v>-1111891.7588710091</v>
      </c>
      <c r="O35" s="46">
        <f t="shared" si="5"/>
        <v>-1126625.5942103942</v>
      </c>
      <c r="P35" s="46">
        <f t="shared" si="5"/>
        <v>-1141605.2438561823</v>
      </c>
      <c r="Q35" s="46">
        <f t="shared" si="5"/>
        <v>-1156834.693058749</v>
      </c>
      <c r="R35" s="46">
        <f t="shared" si="5"/>
        <v>-1172317.9939159758</v>
      </c>
      <c r="S35" s="46">
        <f t="shared" si="5"/>
        <v>-1188059.2665135474</v>
      </c>
      <c r="T35" s="46">
        <f t="shared" si="5"/>
        <v>-1204062.7000851512</v>
      </c>
      <c r="U35" s="46">
        <f t="shared" si="5"/>
        <v>-1220332.5541929344</v>
      </c>
      <c r="V35" s="46">
        <f t="shared" si="5"/>
        <v>-1236873.1599285754</v>
      </c>
      <c r="W35" s="46">
        <f t="shared" si="5"/>
        <v>-1253688.9211353413</v>
      </c>
      <c r="X35" s="46">
        <f t="shared" si="5"/>
        <v>-1270784.3156515053</v>
      </c>
      <c r="Y35" s="46">
        <f t="shared" si="5"/>
        <v>-1288163.8965755005</v>
      </c>
      <c r="Z35" s="46">
        <f t="shared" si="5"/>
        <v>-1305832.2935532064</v>
      </c>
      <c r="AA35" s="46">
        <f t="shared" si="5"/>
        <v>0</v>
      </c>
      <c r="AB35" s="46">
        <f t="shared" si="5"/>
        <v>0</v>
      </c>
      <c r="AC35" s="46">
        <f t="shared" si="5"/>
        <v>0</v>
      </c>
      <c r="AD35" s="46">
        <f t="shared" si="5"/>
        <v>0</v>
      </c>
      <c r="AE35" s="46">
        <f t="shared" si="5"/>
        <v>0</v>
      </c>
      <c r="AF35" s="46">
        <f t="shared" si="5"/>
        <v>0</v>
      </c>
      <c r="AG35" s="46">
        <f t="shared" si="5"/>
        <v>0</v>
      </c>
      <c r="AH35" s="46">
        <f t="shared" si="5"/>
        <v>0</v>
      </c>
      <c r="AI35" s="46">
        <f t="shared" si="5"/>
        <v>0</v>
      </c>
      <c r="AJ35" s="46">
        <f t="shared" si="5"/>
        <v>0</v>
      </c>
    </row>
    <row r="36" spans="2:36" s="30" customFormat="1" ht="15.75" hidden="1">
      <c r="B36" s="45"/>
      <c r="C36" s="45"/>
      <c r="D36" s="45"/>
      <c r="E36" s="83"/>
      <c r="F36" s="35"/>
      <c r="G36" s="46">
        <f>IF(G35=0,"",G35)</f>
        <v>-1015316.48</v>
      </c>
      <c r="H36" s="46">
        <f t="shared" ref="H36:AJ36" si="6">IF(H35=0,"",H35)</f>
        <v>-1028435.8176000001</v>
      </c>
      <c r="I36" s="46">
        <f t="shared" si="6"/>
        <v>-1041774.85272</v>
      </c>
      <c r="J36" s="46">
        <f t="shared" si="6"/>
        <v>-1055337.1330060991</v>
      </c>
      <c r="K36" s="46">
        <f t="shared" si="6"/>
        <v>-1069126.2654985585</v>
      </c>
      <c r="L36" s="46">
        <f t="shared" si="6"/>
        <v>-1083145.917642202</v>
      </c>
      <c r="M36" s="46">
        <f t="shared" si="6"/>
        <v>-1097399.8183144093</v>
      </c>
      <c r="N36" s="46">
        <f t="shared" si="6"/>
        <v>-1111891.7588710091</v>
      </c>
      <c r="O36" s="46">
        <f t="shared" si="6"/>
        <v>-1126625.5942103942</v>
      </c>
      <c r="P36" s="46">
        <f t="shared" si="6"/>
        <v>-1141605.2438561823</v>
      </c>
      <c r="Q36" s="46">
        <f t="shared" si="6"/>
        <v>-1156834.693058749</v>
      </c>
      <c r="R36" s="46">
        <f t="shared" si="6"/>
        <v>-1172317.9939159758</v>
      </c>
      <c r="S36" s="46">
        <f t="shared" si="6"/>
        <v>-1188059.2665135474</v>
      </c>
      <c r="T36" s="46">
        <f t="shared" si="6"/>
        <v>-1204062.7000851512</v>
      </c>
      <c r="U36" s="46">
        <f t="shared" si="6"/>
        <v>-1220332.5541929344</v>
      </c>
      <c r="V36" s="46">
        <f t="shared" si="6"/>
        <v>-1236873.1599285754</v>
      </c>
      <c r="W36" s="46">
        <f t="shared" si="6"/>
        <v>-1253688.9211353413</v>
      </c>
      <c r="X36" s="46">
        <f t="shared" si="6"/>
        <v>-1270784.3156515053</v>
      </c>
      <c r="Y36" s="46">
        <f t="shared" si="6"/>
        <v>-1288163.8965755005</v>
      </c>
      <c r="Z36" s="46">
        <f t="shared" si="6"/>
        <v>-1305832.2935532064</v>
      </c>
      <c r="AA36" s="46" t="str">
        <f t="shared" si="6"/>
        <v/>
      </c>
      <c r="AB36" s="46" t="str">
        <f t="shared" si="6"/>
        <v/>
      </c>
      <c r="AC36" s="46" t="str">
        <f t="shared" si="6"/>
        <v/>
      </c>
      <c r="AD36" s="46" t="str">
        <f t="shared" si="6"/>
        <v/>
      </c>
      <c r="AE36" s="46" t="str">
        <f t="shared" si="6"/>
        <v/>
      </c>
      <c r="AF36" s="46" t="str">
        <f t="shared" si="6"/>
        <v/>
      </c>
      <c r="AG36" s="46" t="str">
        <f t="shared" si="6"/>
        <v/>
      </c>
      <c r="AH36" s="46" t="str">
        <f t="shared" si="6"/>
        <v/>
      </c>
      <c r="AI36" s="46" t="str">
        <f t="shared" si="6"/>
        <v/>
      </c>
      <c r="AJ36" s="46" t="str">
        <f t="shared" si="6"/>
        <v/>
      </c>
    </row>
    <row r="37" spans="2:36" s="30" customFormat="1">
      <c r="B37" s="47" t="s">
        <v>119</v>
      </c>
      <c r="C37" s="47"/>
      <c r="D37" s="47"/>
      <c r="E37" s="81" t="s">
        <v>53</v>
      </c>
      <c r="F37" s="48"/>
      <c r="G37" s="701">
        <f>IF(G$2&gt;Inputs!$G$11,0,G35*100/G5)</f>
        <v>-3.6219908675799086</v>
      </c>
      <c r="H37" s="701">
        <f>IF(H$2&gt;Inputs!$G$11,0,H35*100/H5)</f>
        <v>-3.6872282990293939</v>
      </c>
      <c r="I37" s="701">
        <f>IF(I$2&gt;Inputs!$G$11,0,I35*100/I5)</f>
        <v>-3.7538215558068444</v>
      </c>
      <c r="J37" s="701">
        <f>IF(J$2&gt;Inputs!$G$11,0,J35*100/J5)</f>
        <v>-3.8217994424445796</v>
      </c>
      <c r="K37" s="701">
        <f>IF(K$2&gt;Inputs!$G$11,0,K35*100/K5)</f>
        <v>-3.8911913840118992</v>
      </c>
      <c r="L37" s="701">
        <f>IF(L$2&gt;Inputs!$G$11,0,L35*100/L5)</f>
        <v>-3.9620274396527799</v>
      </c>
      <c r="M37" s="701">
        <f>IF(M$2&gt;Inputs!$G$11,0,M35*100/M5)</f>
        <v>-4.0343383164227067</v>
      </c>
      <c r="N37" s="701">
        <f>IF(N$2&gt;Inputs!$G$11,0,N35*100/N5)</f>
        <v>-4.1081553834313018</v>
      </c>
      <c r="O37" s="701">
        <f>IF(O$2&gt;Inputs!$G$11,0,O35*100/O5)</f>
        <v>-4.1835106862976321</v>
      </c>
      <c r="P37" s="701">
        <f>IF(P$2&gt;Inputs!$G$11,0,P35*100/P5)</f>
        <v>-4.2604369619251754</v>
      </c>
      <c r="Q37" s="701">
        <f>IF(Q$2&gt;Inputs!$G$11,0,Q35*100/Q5)</f>
        <v>-4.3389676536036133</v>
      </c>
      <c r="R37" s="701">
        <f>IF(R$2&gt;Inputs!$G$11,0,R35*100/R5)</f>
        <v>-4.4191369264447875</v>
      </c>
      <c r="S37" s="701">
        <f>IF(S$2&gt;Inputs!$G$11,0,S35*100/S5)</f>
        <v>-4.5009796831602786</v>
      </c>
      <c r="T37" s="701">
        <f>IF(T$2&gt;Inputs!$G$11,0,T35*100/T5)</f>
        <v>-4.5845315801883002</v>
      </c>
      <c r="U37" s="701">
        <f>IF(U$2&gt;Inputs!$G$11,0,U35*100/U5)</f>
        <v>-4.6698290441777326</v>
      </c>
      <c r="V37" s="701">
        <f>IF(V$2&gt;Inputs!$G$11,0,V35*100/V5)</f>
        <v>-4.7569092888372895</v>
      </c>
      <c r="W37" s="701">
        <f>IF(W$2&gt;Inputs!$G$11,0,W35*100/W5)</f>
        <v>-4.8458103321580444</v>
      </c>
      <c r="X37" s="701">
        <f>IF(X$2&gt;Inputs!$G$11,0,X35*100/X5)</f>
        <v>-4.9365710140176722</v>
      </c>
      <c r="Y37" s="701">
        <f>IF(Y$2&gt;Inputs!$G$11,0,Y35*100/Y5)</f>
        <v>-5.0292310141749841</v>
      </c>
      <c r="Z37" s="701">
        <f>IF(Z$2&gt;Inputs!$G$11,0,Z35*100/Z5)</f>
        <v>-5.1238308706635332</v>
      </c>
      <c r="AA37" s="701">
        <f>IF(AA$2&gt;Inputs!$G$11,0,AA35*100/AA5)</f>
        <v>0</v>
      </c>
      <c r="AB37" s="701">
        <f>IF(AB$2&gt;Inputs!$G$11,0,AB35*100/AB5)</f>
        <v>0</v>
      </c>
      <c r="AC37" s="701">
        <f>IF(AC$2&gt;Inputs!$G$11,0,AC35*100/AC5)</f>
        <v>0</v>
      </c>
      <c r="AD37" s="701">
        <f>IF(AD$2&gt;Inputs!$G$11,0,AD35*100/AD5)</f>
        <v>0</v>
      </c>
      <c r="AE37" s="701">
        <f>IF(AE$2&gt;Inputs!$G$11,0,AE35*100/AE5)</f>
        <v>0</v>
      </c>
      <c r="AF37" s="701">
        <f>IF(AF$2&gt;Inputs!$G$11,0,AF35*100/AF5)</f>
        <v>0</v>
      </c>
      <c r="AG37" s="701">
        <f>IF(AG$2&gt;Inputs!$G$11,0,AG35*100/AG5)</f>
        <v>0</v>
      </c>
      <c r="AH37" s="701">
        <f>IF(AH$2&gt;Inputs!$G$11,0,AH35*100/AH5)</f>
        <v>0</v>
      </c>
      <c r="AI37" s="701">
        <f>IF(AI$2&gt;Inputs!$G$11,0,AI35*100/AI5)</f>
        <v>0</v>
      </c>
      <c r="AJ37" s="701">
        <f>IF(AJ$2&gt;Inputs!$G$11,0,AJ35*100/AJ5)</f>
        <v>0</v>
      </c>
    </row>
    <row r="38" spans="2:36" s="30" customFormat="1">
      <c r="E38" s="81"/>
    </row>
    <row r="39" spans="2:36" s="30" customFormat="1" ht="15.75">
      <c r="B39" s="35" t="s">
        <v>120</v>
      </c>
      <c r="C39" s="35"/>
      <c r="D39" s="35"/>
      <c r="E39" s="78" t="s">
        <v>0</v>
      </c>
      <c r="F39" s="32"/>
      <c r="G39" s="46">
        <f t="shared" ref="G39:AJ39" si="7">G23+G35</f>
        <v>1821030.619319343</v>
      </c>
      <c r="H39" s="46">
        <f t="shared" si="7"/>
        <v>1794200.2017193427</v>
      </c>
      <c r="I39" s="46">
        <f t="shared" si="7"/>
        <v>1767220.5169993434</v>
      </c>
      <c r="J39" s="46">
        <f t="shared" si="7"/>
        <v>1740087.6653612442</v>
      </c>
      <c r="K39" s="46">
        <f t="shared" si="7"/>
        <v>1712797.6893735449</v>
      </c>
      <c r="L39" s="46">
        <f t="shared" si="7"/>
        <v>1685346.5729521376</v>
      </c>
      <c r="M39" s="46">
        <f t="shared" si="7"/>
        <v>1657730.2403235552</v>
      </c>
      <c r="N39" s="46">
        <f t="shared" si="7"/>
        <v>1629944.5549703622</v>
      </c>
      <c r="O39" s="46">
        <f t="shared" si="7"/>
        <v>1601985.318558367</v>
      </c>
      <c r="P39" s="46">
        <f t="shared" si="7"/>
        <v>1573848.2698453316</v>
      </c>
      <c r="Q39" s="46">
        <f t="shared" si="7"/>
        <v>1545529.083570854</v>
      </c>
      <c r="R39" s="46">
        <f t="shared" si="7"/>
        <v>1517023.369327076</v>
      </c>
      <c r="S39" s="46">
        <f t="shared" si="7"/>
        <v>1488326.6704098857</v>
      </c>
      <c r="T39" s="46">
        <f t="shared" si="7"/>
        <v>1459434.4626502616</v>
      </c>
      <c r="U39" s="46">
        <f t="shared" si="7"/>
        <v>1430342.1532253979</v>
      </c>
      <c r="V39" s="46">
        <f t="shared" si="7"/>
        <v>1395898.4564164022</v>
      </c>
      <c r="W39" s="46">
        <f t="shared" si="7"/>
        <v>1361245.2614764841</v>
      </c>
      <c r="X39" s="46">
        <f t="shared" si="7"/>
        <v>1331524.3853135291</v>
      </c>
      <c r="Y39" s="46">
        <f t="shared" si="7"/>
        <v>1301584.3251509767</v>
      </c>
      <c r="Z39" s="46">
        <f t="shared" si="7"/>
        <v>1267094.949704095</v>
      </c>
      <c r="AA39" s="46">
        <f t="shared" si="7"/>
        <v>3750</v>
      </c>
      <c r="AB39" s="46">
        <f t="shared" si="7"/>
        <v>0</v>
      </c>
      <c r="AC39" s="46">
        <f t="shared" si="7"/>
        <v>0</v>
      </c>
      <c r="AD39" s="46">
        <f t="shared" si="7"/>
        <v>0</v>
      </c>
      <c r="AE39" s="46">
        <f t="shared" si="7"/>
        <v>0</v>
      </c>
      <c r="AF39" s="46">
        <f t="shared" si="7"/>
        <v>0</v>
      </c>
      <c r="AG39" s="46">
        <f t="shared" si="7"/>
        <v>0</v>
      </c>
      <c r="AH39" s="46">
        <f t="shared" si="7"/>
        <v>0</v>
      </c>
      <c r="AI39" s="46">
        <f t="shared" si="7"/>
        <v>0</v>
      </c>
      <c r="AJ39" s="46">
        <f t="shared" si="7"/>
        <v>0</v>
      </c>
    </row>
    <row r="40" spans="2:36" s="30" customFormat="1" ht="15.75">
      <c r="B40" s="35"/>
      <c r="C40" s="35"/>
      <c r="D40" s="35"/>
      <c r="E40" s="78" t="s">
        <v>270</v>
      </c>
      <c r="F40" s="84" t="s">
        <v>205</v>
      </c>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row>
    <row r="41" spans="2:36" s="32" customFormat="1">
      <c r="B41" s="49" t="s">
        <v>151</v>
      </c>
      <c r="C41" s="49"/>
      <c r="D41" s="49"/>
      <c r="E41" s="50">
        <f>IF(OR(Inputs!$G$47=0,Inputs!$G$47=""),"N/A",AVERAGE(G41:AJ41))</f>
        <v>1.1682343565409208</v>
      </c>
      <c r="F41" s="50">
        <f>IF(OR(Inputs!$G$47=0,Inputs!$G$47=""),"N/A",MIN(G41:AJ41))</f>
        <v>1.0239788383465478</v>
      </c>
      <c r="G41" s="50">
        <f>IF(OR(Inputs!$G$47=0,Inputs!$G$47=""),"N/A",IF(G$2&gt;Inputs!$G$48,"N/A",(G39+SUM(G47:G48))/-G85))</f>
        <v>1.3086473945042798</v>
      </c>
      <c r="H41" s="50">
        <f>IF(OR(Inputs!$G$47=0,Inputs!$G$47=""),"N/A",IF(H$2&gt;Inputs!$G$48,"N/A",(H39+SUM(H47:H48))/-H85))</f>
        <v>1.2890978636065225</v>
      </c>
      <c r="I41" s="50">
        <f>IF(OR(Inputs!$G$47=0,Inputs!$G$47=""),"N/A",IF(I$2&gt;Inputs!$G$48,"N/A",(I39+SUM(I47:I48))/-I85))</f>
        <v>1.2694395717413454</v>
      </c>
      <c r="J41" s="50">
        <f>IF(OR(Inputs!$G$47=0,Inputs!$G$47=""),"N/A",IF(J$2&gt;Inputs!$G$48,"N/A",(J39+SUM(J47:J48))/-J85))</f>
        <v>1.24966967738669</v>
      </c>
      <c r="K41" s="50">
        <f>IF(OR(Inputs!$G$47=0,Inputs!$G$47=""),"N/A",IF(K$2&gt;Inputs!$G$48,"N/A",(K39+SUM(K47:K48))/-K85))</f>
        <v>1.2297852970268934</v>
      </c>
      <c r="L41" s="50">
        <f>IF(OR(Inputs!$G$47=0,Inputs!$G$47=""),"N/A",IF(L$2&gt;Inputs!$G$48,"N/A",(L39+SUM(L47:L48))/-L85))</f>
        <v>1.20978350441006</v>
      </c>
      <c r="M41" s="50">
        <f>IF(OR(Inputs!$G$47=0,Inputs!$G$47=""),"N/A",IF(M$2&gt;Inputs!$G$48,"N/A",(M39+SUM(M47:M48))/-M85))</f>
        <v>1.1896613297926506</v>
      </c>
      <c r="N41" s="50">
        <f>IF(OR(Inputs!$G$47=0,Inputs!$G$47=""),"N/A",IF(N$2&gt;Inputs!$G$48,"N/A",(N39+SUM(N47:N48))/-N85))</f>
        <v>1.1694157591710583</v>
      </c>
      <c r="O41" s="50">
        <f>IF(OR(Inputs!$G$47=0,Inputs!$G$47=""),"N/A",IF(O$2&gt;Inputs!$G$48,"N/A",(O39+SUM(O47:O48))/-O85))</f>
        <v>1.1490437334999408</v>
      </c>
      <c r="P41" s="50">
        <f>IF(OR(Inputs!$G$47=0,Inputs!$G$47=""),"N/A",IF(P$2&gt;Inputs!$G$48,"N/A",(P39+SUM(P47:P48))/-P85))</f>
        <v>1.1285421478970694</v>
      </c>
      <c r="Q41" s="50">
        <f>IF(OR(Inputs!$G$47=0,Inputs!$G$47=""),"N/A",IF(Q$2&gt;Inputs!$G$48,"N/A",(Q39+SUM(Q47:Q48))/-Q85))</f>
        <v>1.1079078508344606</v>
      </c>
      <c r="R41" s="50">
        <f>IF(OR(Inputs!$G$47=0,Inputs!$G$47=""),"N/A",IF(R$2&gt;Inputs!$G$48,"N/A",(R39+SUM(R47:R48))/-R85))</f>
        <v>1.0871376433155371</v>
      </c>
      <c r="S41" s="50">
        <f>IF(OR(Inputs!$G$47=0,Inputs!$G$47=""),"N/A",IF(S$2&gt;Inputs!$G$48,"N/A",(S39+SUM(S47:S48))/-S85))</f>
        <v>1.0662282780380747</v>
      </c>
      <c r="T41" s="50">
        <f>IF(OR(Inputs!$G$47=0,Inputs!$G$47=""),"N/A",IF(T$2&gt;Inputs!$G$48,"N/A",(T39+SUM(T47:T48))/-T85))</f>
        <v>1.0451764585426824</v>
      </c>
      <c r="U41" s="50">
        <f>IF(OR(Inputs!$G$47=0,Inputs!$G$47=""),"N/A",IF(U$2&gt;Inputs!$G$48,"N/A",(U39+SUM(U47:U48))/-U85))</f>
        <v>1.0239788383465478</v>
      </c>
      <c r="V41" s="50" t="str">
        <f>IF(OR(Inputs!$G$47=0,Inputs!$G$47=""),"N/A",IF(V$2&gt;Inputs!$G$48,"N/A",(V39+SUM(V47:V48))/-V85))</f>
        <v>N/A</v>
      </c>
      <c r="W41" s="50" t="str">
        <f>IF(OR(Inputs!$G$47=0,Inputs!$G$47=""),"N/A",IF(W$2&gt;Inputs!$G$48,"N/A",(W39+SUM(W47:W48))/-W85))</f>
        <v>N/A</v>
      </c>
      <c r="X41" s="50" t="str">
        <f>IF(OR(Inputs!$G$47=0,Inputs!$G$47=""),"N/A",IF(X$2&gt;Inputs!$G$48,"N/A",(X39+SUM(X47:X48))/-X85))</f>
        <v>N/A</v>
      </c>
      <c r="Y41" s="50" t="str">
        <f>IF(OR(Inputs!$G$47=0,Inputs!$G$47=""),"N/A",IF(Y$2&gt;Inputs!$G$48,"N/A",(Y39+SUM(Y47:Y48))/-Y85))</f>
        <v>N/A</v>
      </c>
      <c r="Z41" s="50" t="str">
        <f>IF(OR(Inputs!$G$47=0,Inputs!$G$47=""),"N/A",IF(Z$2&gt;Inputs!$G$48,"N/A",(Z39+SUM(Z47:Z48))/-Z85))</f>
        <v>N/A</v>
      </c>
      <c r="AA41" s="50" t="str">
        <f>IF(OR(Inputs!$G$47=0,Inputs!$G$47=""),"N/A",IF(AA$2&gt;Inputs!$G$48,"N/A",(AA39+SUM(AA47:AA48))/-AA85))</f>
        <v>N/A</v>
      </c>
      <c r="AB41" s="50" t="str">
        <f>IF(OR(Inputs!$G$47=0,Inputs!$G$47=""),"N/A",IF(AB$2&gt;Inputs!$G$48,"N/A",(AB39+SUM(AB47:AB48))/-AB85))</f>
        <v>N/A</v>
      </c>
      <c r="AC41" s="50" t="str">
        <f>IF(OR(Inputs!$G$47=0,Inputs!$G$47=""),"N/A",IF(AC$2&gt;Inputs!$G$48,"N/A",(AC39+SUM(AC47:AC48))/-AC85))</f>
        <v>N/A</v>
      </c>
      <c r="AD41" s="50" t="str">
        <f>IF(OR(Inputs!$G$47=0,Inputs!$G$47=""),"N/A",IF(AD$2&gt;Inputs!$G$48,"N/A",(AD39+SUM(AD47:AD48))/-AD85))</f>
        <v>N/A</v>
      </c>
      <c r="AE41" s="50" t="str">
        <f>IF(OR(Inputs!$G$47=0,Inputs!$G$47=""),"N/A",IF(AE$2&gt;Inputs!$G$48,"N/A",(AE39+SUM(AE47:AE48))/-AE85))</f>
        <v>N/A</v>
      </c>
      <c r="AF41" s="50" t="str">
        <f>IF(OR(Inputs!$G$47=0,Inputs!$G$47=""),"N/A",IF(AF$2&gt;Inputs!$G$48,"N/A",(AF39+SUM(AF47:AF48))/-AF85))</f>
        <v>N/A</v>
      </c>
      <c r="AG41" s="50" t="str">
        <f>IF(OR(Inputs!$G$47=0,Inputs!$G$47=""),"N/A",IF(AG$2&gt;Inputs!$G$48,"N/A",(AG39+SUM(AG47:AG48))/-AG85))</f>
        <v>N/A</v>
      </c>
      <c r="AH41" s="50" t="str">
        <f>IF(OR(Inputs!$G$47=0,Inputs!$G$47=""),"N/A",IF(AH$2&gt;Inputs!$G$48,"N/A",(AH39+SUM(AH47:AH48))/-AH85))</f>
        <v>N/A</v>
      </c>
      <c r="AI41" s="50" t="str">
        <f>IF(OR(Inputs!$G$47=0,Inputs!$G$47=""),"N/A",IF(AI$2&gt;Inputs!$G$48,"N/A",(AI39+SUM(AI47:AI48))/-AI85))</f>
        <v>N/A</v>
      </c>
      <c r="AJ41" s="50" t="str">
        <f>IF(OR(Inputs!$G$47=0,Inputs!$G$47=""),"N/A",IF(AJ$2&gt;Inputs!$G$48,"N/A",(AJ39+SUM(AJ47:AJ48))/-AJ85))</f>
        <v>N/A</v>
      </c>
    </row>
    <row r="42" spans="2:36" s="32" customFormat="1">
      <c r="B42" s="49" t="s">
        <v>301</v>
      </c>
      <c r="C42" s="49"/>
      <c r="D42" s="49"/>
      <c r="E42" s="84"/>
      <c r="F42" s="50"/>
      <c r="G42" s="424" t="str">
        <f>IF(G41=$F$41,G2,"")</f>
        <v/>
      </c>
      <c r="H42" s="424" t="str">
        <f t="shared" ref="H42:AJ42" si="8">IF(H41=$F$41,H2,"")</f>
        <v/>
      </c>
      <c r="I42" s="424" t="str">
        <f t="shared" si="8"/>
        <v/>
      </c>
      <c r="J42" s="424" t="str">
        <f t="shared" si="8"/>
        <v/>
      </c>
      <c r="K42" s="424" t="str">
        <f t="shared" si="8"/>
        <v/>
      </c>
      <c r="L42" s="424" t="str">
        <f t="shared" si="8"/>
        <v/>
      </c>
      <c r="M42" s="424" t="str">
        <f t="shared" si="8"/>
        <v/>
      </c>
      <c r="N42" s="424" t="str">
        <f t="shared" si="8"/>
        <v/>
      </c>
      <c r="O42" s="424" t="str">
        <f t="shared" si="8"/>
        <v/>
      </c>
      <c r="P42" s="424" t="str">
        <f t="shared" si="8"/>
        <v/>
      </c>
      <c r="Q42" s="424" t="str">
        <f t="shared" si="8"/>
        <v/>
      </c>
      <c r="R42" s="424" t="str">
        <f t="shared" si="8"/>
        <v/>
      </c>
      <c r="S42" s="424" t="str">
        <f t="shared" si="8"/>
        <v/>
      </c>
      <c r="T42" s="424" t="str">
        <f t="shared" si="8"/>
        <v/>
      </c>
      <c r="U42" s="424">
        <f t="shared" si="8"/>
        <v>15</v>
      </c>
      <c r="V42" s="424" t="str">
        <f t="shared" si="8"/>
        <v/>
      </c>
      <c r="W42" s="424" t="str">
        <f t="shared" si="8"/>
        <v/>
      </c>
      <c r="X42" s="424" t="str">
        <f t="shared" si="8"/>
        <v/>
      </c>
      <c r="Y42" s="424" t="str">
        <f t="shared" si="8"/>
        <v/>
      </c>
      <c r="Z42" s="424" t="str">
        <f t="shared" si="8"/>
        <v/>
      </c>
      <c r="AA42" s="424" t="str">
        <f t="shared" si="8"/>
        <v/>
      </c>
      <c r="AB42" s="424" t="str">
        <f t="shared" si="8"/>
        <v/>
      </c>
      <c r="AC42" s="424" t="str">
        <f t="shared" si="8"/>
        <v/>
      </c>
      <c r="AD42" s="424" t="str">
        <f t="shared" si="8"/>
        <v/>
      </c>
      <c r="AE42" s="424" t="str">
        <f t="shared" si="8"/>
        <v/>
      </c>
      <c r="AF42" s="424" t="str">
        <f t="shared" si="8"/>
        <v/>
      </c>
      <c r="AG42" s="424" t="str">
        <f t="shared" si="8"/>
        <v/>
      </c>
      <c r="AH42" s="424" t="str">
        <f t="shared" si="8"/>
        <v/>
      </c>
      <c r="AI42" s="424" t="str">
        <f t="shared" si="8"/>
        <v/>
      </c>
      <c r="AJ42" s="424" t="str">
        <f t="shared" si="8"/>
        <v/>
      </c>
    </row>
    <row r="43" spans="2:36" s="30" customFormat="1">
      <c r="B43" s="40" t="s">
        <v>125</v>
      </c>
      <c r="C43" s="40"/>
      <c r="D43" s="40"/>
      <c r="E43" s="82"/>
      <c r="F43" s="40"/>
      <c r="G43" s="44">
        <f>G86</f>
        <v>-875000.00000000012</v>
      </c>
      <c r="H43" s="44">
        <f t="shared" ref="H43:AJ43" si="9">H86</f>
        <v>-840179.70338661934</v>
      </c>
      <c r="I43" s="44">
        <f t="shared" si="9"/>
        <v>-802921.98601030197</v>
      </c>
      <c r="J43" s="44">
        <f t="shared" si="9"/>
        <v>-763056.22841764253</v>
      </c>
      <c r="K43" s="44">
        <f t="shared" si="9"/>
        <v>-720399.8677934967</v>
      </c>
      <c r="L43" s="44">
        <f t="shared" si="9"/>
        <v>-674757.5619256607</v>
      </c>
      <c r="M43" s="44">
        <f t="shared" si="9"/>
        <v>-625920.2946470764</v>
      </c>
      <c r="N43" s="44">
        <f t="shared" si="9"/>
        <v>-573664.41865899076</v>
      </c>
      <c r="O43" s="44">
        <f t="shared" si="9"/>
        <v>-517750.63135173963</v>
      </c>
      <c r="P43" s="44">
        <f t="shared" si="9"/>
        <v>-457922.87893298035</v>
      </c>
      <c r="Q43" s="44">
        <f t="shared" si="9"/>
        <v>-393907.18384490826</v>
      </c>
      <c r="R43" s="44">
        <f t="shared" si="9"/>
        <v>-325410.39010067127</v>
      </c>
      <c r="S43" s="44">
        <f t="shared" si="9"/>
        <v>-252118.82079433775</v>
      </c>
      <c r="T43" s="44">
        <f t="shared" si="9"/>
        <v>-173696.84163656042</v>
      </c>
      <c r="U43" s="44">
        <f t="shared" si="9"/>
        <v>-89785.323937739071</v>
      </c>
      <c r="V43" s="44">
        <f t="shared" si="9"/>
        <v>0</v>
      </c>
      <c r="W43" s="44">
        <f t="shared" si="9"/>
        <v>0</v>
      </c>
      <c r="X43" s="44">
        <f t="shared" si="9"/>
        <v>0</v>
      </c>
      <c r="Y43" s="44">
        <f t="shared" si="9"/>
        <v>0</v>
      </c>
      <c r="Z43" s="44">
        <f t="shared" si="9"/>
        <v>0</v>
      </c>
      <c r="AA43" s="44">
        <f t="shared" si="9"/>
        <v>0</v>
      </c>
      <c r="AB43" s="44">
        <f t="shared" si="9"/>
        <v>0</v>
      </c>
      <c r="AC43" s="44">
        <f t="shared" si="9"/>
        <v>0</v>
      </c>
      <c r="AD43" s="44">
        <f t="shared" si="9"/>
        <v>0</v>
      </c>
      <c r="AE43" s="44">
        <f t="shared" si="9"/>
        <v>0</v>
      </c>
      <c r="AF43" s="44">
        <f t="shared" si="9"/>
        <v>0</v>
      </c>
      <c r="AG43" s="44">
        <f t="shared" si="9"/>
        <v>0</v>
      </c>
      <c r="AH43" s="44">
        <f t="shared" si="9"/>
        <v>0</v>
      </c>
      <c r="AI43" s="44">
        <f t="shared" si="9"/>
        <v>0</v>
      </c>
      <c r="AJ43" s="44">
        <f t="shared" si="9"/>
        <v>0</v>
      </c>
    </row>
    <row r="44" spans="2:36" s="30" customFormat="1" ht="15.75">
      <c r="B44" s="51" t="s">
        <v>72</v>
      </c>
      <c r="C44" s="51"/>
      <c r="D44" s="51"/>
      <c r="E44" s="84"/>
      <c r="F44" s="51"/>
      <c r="G44" s="52">
        <f>G39+G43</f>
        <v>946030.61931934289</v>
      </c>
      <c r="H44" s="52">
        <f t="shared" ref="H44:AJ44" si="10">H39+H43</f>
        <v>954020.49833272339</v>
      </c>
      <c r="I44" s="52">
        <f t="shared" si="10"/>
        <v>964298.53098904144</v>
      </c>
      <c r="J44" s="52">
        <f t="shared" si="10"/>
        <v>977031.4369436017</v>
      </c>
      <c r="K44" s="52">
        <f t="shared" si="10"/>
        <v>992397.82158004818</v>
      </c>
      <c r="L44" s="52">
        <f t="shared" si="10"/>
        <v>1010589.0110264769</v>
      </c>
      <c r="M44" s="52">
        <f t="shared" si="10"/>
        <v>1031809.9456764788</v>
      </c>
      <c r="N44" s="52">
        <f t="shared" si="10"/>
        <v>1056280.1363113713</v>
      </c>
      <c r="O44" s="52">
        <f t="shared" si="10"/>
        <v>1084234.6872066273</v>
      </c>
      <c r="P44" s="52">
        <f t="shared" si="10"/>
        <v>1115925.3909123512</v>
      </c>
      <c r="Q44" s="52">
        <f t="shared" si="10"/>
        <v>1151621.8997259457</v>
      </c>
      <c r="R44" s="52">
        <f t="shared" si="10"/>
        <v>1191612.9792264048</v>
      </c>
      <c r="S44" s="52">
        <f t="shared" si="10"/>
        <v>1236207.849615548</v>
      </c>
      <c r="T44" s="52">
        <f t="shared" si="10"/>
        <v>1285737.6210137012</v>
      </c>
      <c r="U44" s="52">
        <f t="shared" si="10"/>
        <v>1340556.8292876589</v>
      </c>
      <c r="V44" s="52">
        <f t="shared" si="10"/>
        <v>1395898.4564164022</v>
      </c>
      <c r="W44" s="52">
        <f t="shared" si="10"/>
        <v>1361245.2614764841</v>
      </c>
      <c r="X44" s="52">
        <f t="shared" si="10"/>
        <v>1331524.3853135291</v>
      </c>
      <c r="Y44" s="52">
        <f t="shared" si="10"/>
        <v>1301584.3251509767</v>
      </c>
      <c r="Z44" s="52">
        <f t="shared" si="10"/>
        <v>1267094.949704095</v>
      </c>
      <c r="AA44" s="52">
        <f t="shared" si="10"/>
        <v>3750</v>
      </c>
      <c r="AB44" s="52">
        <f t="shared" si="10"/>
        <v>0</v>
      </c>
      <c r="AC44" s="52">
        <f t="shared" si="10"/>
        <v>0</v>
      </c>
      <c r="AD44" s="52">
        <f t="shared" si="10"/>
        <v>0</v>
      </c>
      <c r="AE44" s="52">
        <f t="shared" si="10"/>
        <v>0</v>
      </c>
      <c r="AF44" s="52">
        <f t="shared" si="10"/>
        <v>0</v>
      </c>
      <c r="AG44" s="52">
        <f t="shared" si="10"/>
        <v>0</v>
      </c>
      <c r="AH44" s="52">
        <f t="shared" si="10"/>
        <v>0</v>
      </c>
      <c r="AI44" s="52">
        <f t="shared" si="10"/>
        <v>0</v>
      </c>
      <c r="AJ44" s="52">
        <f t="shared" si="10"/>
        <v>0</v>
      </c>
    </row>
    <row r="45" spans="2:36" s="30" customFormat="1">
      <c r="B45" s="32"/>
      <c r="C45" s="32"/>
      <c r="D45" s="32"/>
      <c r="E45" s="84"/>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row>
    <row r="46" spans="2:36" s="30" customFormat="1">
      <c r="B46" s="37" t="s">
        <v>124</v>
      </c>
      <c r="C46" s="37"/>
      <c r="D46" s="37"/>
      <c r="E46" s="78"/>
      <c r="F46" s="37"/>
      <c r="G46" s="43">
        <f>G87</f>
        <v>-497432.80876258144</v>
      </c>
      <c r="H46" s="43">
        <f t="shared" ref="H46:AJ46" si="11">H87</f>
        <v>-532253.10537596222</v>
      </c>
      <c r="I46" s="43">
        <f t="shared" si="11"/>
        <v>-569510.82275227958</v>
      </c>
      <c r="J46" s="43">
        <f t="shared" si="11"/>
        <v>-609376.58034493902</v>
      </c>
      <c r="K46" s="43">
        <f t="shared" si="11"/>
        <v>-652032.94096908486</v>
      </c>
      <c r="L46" s="43">
        <f t="shared" si="11"/>
        <v>-697675.24683692085</v>
      </c>
      <c r="M46" s="43">
        <f t="shared" si="11"/>
        <v>-746512.51411550515</v>
      </c>
      <c r="N46" s="43">
        <f t="shared" si="11"/>
        <v>-798768.39010359079</v>
      </c>
      <c r="O46" s="43">
        <f t="shared" si="11"/>
        <v>-854682.17741084192</v>
      </c>
      <c r="P46" s="43">
        <f t="shared" si="11"/>
        <v>-914509.9298296012</v>
      </c>
      <c r="Q46" s="43">
        <f t="shared" si="11"/>
        <v>-978525.6249176733</v>
      </c>
      <c r="R46" s="43">
        <f t="shared" si="11"/>
        <v>-1047022.4186619103</v>
      </c>
      <c r="S46" s="43">
        <f t="shared" si="11"/>
        <v>-1120313.9879682439</v>
      </c>
      <c r="T46" s="43">
        <f t="shared" si="11"/>
        <v>-1198735.9671260212</v>
      </c>
      <c r="U46" s="43">
        <f t="shared" si="11"/>
        <v>-1282647.4848248425</v>
      </c>
      <c r="V46" s="43">
        <f t="shared" si="11"/>
        <v>0</v>
      </c>
      <c r="W46" s="43">
        <f t="shared" si="11"/>
        <v>0</v>
      </c>
      <c r="X46" s="43">
        <f t="shared" si="11"/>
        <v>0</v>
      </c>
      <c r="Y46" s="43">
        <f t="shared" si="11"/>
        <v>0</v>
      </c>
      <c r="Z46" s="43">
        <f t="shared" si="11"/>
        <v>0</v>
      </c>
      <c r="AA46" s="43">
        <f t="shared" si="11"/>
        <v>0</v>
      </c>
      <c r="AB46" s="43">
        <f t="shared" si="11"/>
        <v>0</v>
      </c>
      <c r="AC46" s="43">
        <f t="shared" si="11"/>
        <v>0</v>
      </c>
      <c r="AD46" s="43">
        <f t="shared" si="11"/>
        <v>0</v>
      </c>
      <c r="AE46" s="43">
        <f t="shared" si="11"/>
        <v>0</v>
      </c>
      <c r="AF46" s="43">
        <f t="shared" si="11"/>
        <v>0</v>
      </c>
      <c r="AG46" s="43">
        <f t="shared" si="11"/>
        <v>0</v>
      </c>
      <c r="AH46" s="43">
        <f t="shared" si="11"/>
        <v>0</v>
      </c>
      <c r="AI46" s="43">
        <f t="shared" si="11"/>
        <v>0</v>
      </c>
      <c r="AJ46" s="43">
        <f t="shared" si="11"/>
        <v>0</v>
      </c>
    </row>
    <row r="47" spans="2:36" s="39" customFormat="1">
      <c r="B47" s="37" t="s">
        <v>199</v>
      </c>
      <c r="C47" s="37"/>
      <c r="D47" s="37"/>
      <c r="E47" s="78"/>
      <c r="F47" s="37"/>
      <c r="G47" s="43">
        <f>-G209</f>
        <v>-25000</v>
      </c>
      <c r="H47" s="43">
        <f t="shared" ref="H47:AJ47" si="12">-H209</f>
        <v>-25000</v>
      </c>
      <c r="I47" s="43">
        <f t="shared" si="12"/>
        <v>-25000</v>
      </c>
      <c r="J47" s="43">
        <f t="shared" si="12"/>
        <v>-25000</v>
      </c>
      <c r="K47" s="43">
        <f t="shared" si="12"/>
        <v>-25000</v>
      </c>
      <c r="L47" s="43">
        <f t="shared" si="12"/>
        <v>-25000</v>
      </c>
      <c r="M47" s="43">
        <f t="shared" si="12"/>
        <v>-25000</v>
      </c>
      <c r="N47" s="43">
        <f t="shared" si="12"/>
        <v>-25000</v>
      </c>
      <c r="O47" s="43">
        <f t="shared" si="12"/>
        <v>-25000</v>
      </c>
      <c r="P47" s="43">
        <f t="shared" si="12"/>
        <v>-25000</v>
      </c>
      <c r="Q47" s="43">
        <f t="shared" si="12"/>
        <v>-25000</v>
      </c>
      <c r="R47" s="43">
        <f t="shared" si="12"/>
        <v>-25000</v>
      </c>
      <c r="S47" s="43">
        <f t="shared" si="12"/>
        <v>-25000</v>
      </c>
      <c r="T47" s="43">
        <f t="shared" si="12"/>
        <v>-25000</v>
      </c>
      <c r="U47" s="43">
        <f t="shared" si="12"/>
        <v>-25000</v>
      </c>
      <c r="V47" s="43">
        <f t="shared" si="12"/>
        <v>661216.40438129078</v>
      </c>
      <c r="W47" s="43">
        <f t="shared" si="12"/>
        <v>-25000</v>
      </c>
      <c r="X47" s="43">
        <f t="shared" si="12"/>
        <v>-25000</v>
      </c>
      <c r="Y47" s="43">
        <f t="shared" si="12"/>
        <v>-25000</v>
      </c>
      <c r="Z47" s="43">
        <f t="shared" si="12"/>
        <v>551690.21690823347</v>
      </c>
      <c r="AA47" s="43">
        <f t="shared" si="12"/>
        <v>0</v>
      </c>
      <c r="AB47" s="43">
        <f t="shared" si="12"/>
        <v>0</v>
      </c>
      <c r="AC47" s="43">
        <f t="shared" si="12"/>
        <v>0</v>
      </c>
      <c r="AD47" s="43">
        <f t="shared" si="12"/>
        <v>0</v>
      </c>
      <c r="AE47" s="43">
        <f t="shared" si="12"/>
        <v>0</v>
      </c>
      <c r="AF47" s="43">
        <f t="shared" si="12"/>
        <v>0</v>
      </c>
      <c r="AG47" s="43">
        <f t="shared" si="12"/>
        <v>0</v>
      </c>
      <c r="AH47" s="43">
        <f t="shared" si="12"/>
        <v>0</v>
      </c>
      <c r="AI47" s="43">
        <f t="shared" si="12"/>
        <v>0</v>
      </c>
      <c r="AJ47" s="43">
        <f t="shared" si="12"/>
        <v>0</v>
      </c>
    </row>
    <row r="48" spans="2:36" s="39" customFormat="1">
      <c r="B48" s="40" t="s">
        <v>200</v>
      </c>
      <c r="C48" s="40"/>
      <c r="D48" s="40"/>
      <c r="E48" s="82"/>
      <c r="F48" s="40"/>
      <c r="G48" s="44">
        <f>MIN(SUM(G201:G205),0)</f>
        <v>0</v>
      </c>
      <c r="H48" s="44">
        <f t="shared" ref="H48:AJ48" si="13">MIN(SUM(H201:H205),0)</f>
        <v>0</v>
      </c>
      <c r="I48" s="44">
        <f t="shared" si="13"/>
        <v>0</v>
      </c>
      <c r="J48" s="44">
        <f t="shared" si="13"/>
        <v>0</v>
      </c>
      <c r="K48" s="44">
        <f t="shared" si="13"/>
        <v>0</v>
      </c>
      <c r="L48" s="44">
        <f t="shared" si="13"/>
        <v>0</v>
      </c>
      <c r="M48" s="44">
        <f t="shared" si="13"/>
        <v>0</v>
      </c>
      <c r="N48" s="44">
        <f t="shared" si="13"/>
        <v>0</v>
      </c>
      <c r="O48" s="44">
        <f t="shared" si="13"/>
        <v>0</v>
      </c>
      <c r="P48" s="44">
        <f t="shared" si="13"/>
        <v>0</v>
      </c>
      <c r="Q48" s="44">
        <f t="shared" si="13"/>
        <v>0</v>
      </c>
      <c r="R48" s="44">
        <f t="shared" si="13"/>
        <v>0</v>
      </c>
      <c r="S48" s="44">
        <f t="shared" si="13"/>
        <v>0</v>
      </c>
      <c r="T48" s="44">
        <f t="shared" si="13"/>
        <v>0</v>
      </c>
      <c r="U48" s="44">
        <f t="shared" si="13"/>
        <v>0</v>
      </c>
      <c r="V48" s="44">
        <f t="shared" si="13"/>
        <v>0</v>
      </c>
      <c r="W48" s="44">
        <f t="shared" si="13"/>
        <v>0</v>
      </c>
      <c r="X48" s="44">
        <f t="shared" si="13"/>
        <v>0</v>
      </c>
      <c r="Y48" s="44">
        <f t="shared" si="13"/>
        <v>0</v>
      </c>
      <c r="Z48" s="44">
        <f t="shared" si="13"/>
        <v>0</v>
      </c>
      <c r="AA48" s="44">
        <f t="shared" si="13"/>
        <v>0</v>
      </c>
      <c r="AB48" s="44">
        <f t="shared" si="13"/>
        <v>0</v>
      </c>
      <c r="AC48" s="44">
        <f t="shared" si="13"/>
        <v>0</v>
      </c>
      <c r="AD48" s="44">
        <f t="shared" si="13"/>
        <v>0</v>
      </c>
      <c r="AE48" s="44">
        <f t="shared" si="13"/>
        <v>0</v>
      </c>
      <c r="AF48" s="44">
        <f t="shared" si="13"/>
        <v>0</v>
      </c>
      <c r="AG48" s="44">
        <f t="shared" si="13"/>
        <v>0</v>
      </c>
      <c r="AH48" s="44">
        <f t="shared" si="13"/>
        <v>0</v>
      </c>
      <c r="AI48" s="44">
        <f t="shared" si="13"/>
        <v>0</v>
      </c>
      <c r="AJ48" s="44">
        <f t="shared" si="13"/>
        <v>0</v>
      </c>
    </row>
    <row r="49" spans="1:36" s="30" customFormat="1" ht="15.75">
      <c r="A49" s="32"/>
      <c r="B49" s="53" t="s">
        <v>73</v>
      </c>
      <c r="C49" s="53"/>
      <c r="D49" s="53"/>
      <c r="E49" s="334"/>
      <c r="F49" s="334"/>
      <c r="G49" s="46">
        <f>G44+SUM(G46:G48)</f>
        <v>423597.81055676145</v>
      </c>
      <c r="H49" s="46">
        <f t="shared" ref="H49:AJ49" si="14">H44+SUM(H46:H48)</f>
        <v>396767.39295676118</v>
      </c>
      <c r="I49" s="46">
        <f t="shared" si="14"/>
        <v>369787.70823676186</v>
      </c>
      <c r="J49" s="46">
        <f t="shared" si="14"/>
        <v>342654.85659866268</v>
      </c>
      <c r="K49" s="46">
        <f t="shared" si="14"/>
        <v>315364.88061096333</v>
      </c>
      <c r="L49" s="46">
        <f t="shared" si="14"/>
        <v>287913.76418955601</v>
      </c>
      <c r="M49" s="46">
        <f t="shared" si="14"/>
        <v>260297.43156097364</v>
      </c>
      <c r="N49" s="46">
        <f t="shared" si="14"/>
        <v>232511.74620778055</v>
      </c>
      <c r="O49" s="46">
        <f t="shared" si="14"/>
        <v>204552.50979578542</v>
      </c>
      <c r="P49" s="46">
        <f t="shared" si="14"/>
        <v>176415.46108275</v>
      </c>
      <c r="Q49" s="46">
        <f t="shared" si="14"/>
        <v>148096.27480827237</v>
      </c>
      <c r="R49" s="46">
        <f t="shared" si="14"/>
        <v>119590.56056449446</v>
      </c>
      <c r="S49" s="46">
        <f t="shared" si="14"/>
        <v>90893.861647304147</v>
      </c>
      <c r="T49" s="46">
        <f t="shared" si="14"/>
        <v>62001.653887680033</v>
      </c>
      <c r="U49" s="46">
        <f t="shared" si="14"/>
        <v>32909.344462816371</v>
      </c>
      <c r="V49" s="46">
        <f t="shared" si="14"/>
        <v>2057114.860797693</v>
      </c>
      <c r="W49" s="46">
        <f t="shared" si="14"/>
        <v>1336245.2614764841</v>
      </c>
      <c r="X49" s="46">
        <f t="shared" si="14"/>
        <v>1306524.3853135291</v>
      </c>
      <c r="Y49" s="46">
        <f t="shared" si="14"/>
        <v>1276584.3251509767</v>
      </c>
      <c r="Z49" s="46">
        <f t="shared" si="14"/>
        <v>1818785.1666123285</v>
      </c>
      <c r="AA49" s="46">
        <f t="shared" si="14"/>
        <v>3750</v>
      </c>
      <c r="AB49" s="46">
        <f t="shared" si="14"/>
        <v>0</v>
      </c>
      <c r="AC49" s="46">
        <f t="shared" si="14"/>
        <v>0</v>
      </c>
      <c r="AD49" s="46">
        <f t="shared" si="14"/>
        <v>0</v>
      </c>
      <c r="AE49" s="46">
        <f t="shared" si="14"/>
        <v>0</v>
      </c>
      <c r="AF49" s="46">
        <f t="shared" si="14"/>
        <v>0</v>
      </c>
      <c r="AG49" s="46">
        <f t="shared" si="14"/>
        <v>0</v>
      </c>
      <c r="AH49" s="46">
        <f t="shared" si="14"/>
        <v>0</v>
      </c>
      <c r="AI49" s="46">
        <f t="shared" si="14"/>
        <v>0</v>
      </c>
      <c r="AJ49" s="46">
        <f t="shared" si="14"/>
        <v>0</v>
      </c>
    </row>
    <row r="50" spans="1:36" s="30" customFormat="1" ht="15.75">
      <c r="B50" s="35"/>
      <c r="C50" s="35"/>
      <c r="D50" s="35"/>
      <c r="G50" s="54"/>
    </row>
    <row r="51" spans="1:36" s="30" customFormat="1" ht="15.75">
      <c r="B51" s="31" t="s">
        <v>74</v>
      </c>
      <c r="C51" s="31"/>
      <c r="D51" s="31"/>
      <c r="F51" s="89"/>
      <c r="G51" s="54"/>
    </row>
    <row r="52" spans="1:36" s="30" customFormat="1">
      <c r="B52" s="32" t="s">
        <v>274</v>
      </c>
      <c r="C52" s="32"/>
      <c r="D52" s="32"/>
      <c r="F52" s="54">
        <f>-(Inputs!$G$22-Inputs!$G$65-$F$82)</f>
        <v>-12500000</v>
      </c>
      <c r="G52" s="54">
        <v>0</v>
      </c>
      <c r="H52" s="54">
        <v>0</v>
      </c>
      <c r="I52" s="54">
        <v>0</v>
      </c>
      <c r="J52" s="54">
        <v>0</v>
      </c>
      <c r="K52" s="54">
        <v>0</v>
      </c>
      <c r="L52" s="54">
        <v>0</v>
      </c>
      <c r="M52" s="54">
        <v>0</v>
      </c>
      <c r="N52" s="54">
        <v>0</v>
      </c>
      <c r="O52" s="54">
        <v>0</v>
      </c>
      <c r="P52" s="54">
        <v>0</v>
      </c>
      <c r="Q52" s="54">
        <v>0</v>
      </c>
      <c r="R52" s="54">
        <v>0</v>
      </c>
      <c r="S52" s="54">
        <v>0</v>
      </c>
      <c r="T52" s="54">
        <v>0</v>
      </c>
      <c r="U52" s="54">
        <v>0</v>
      </c>
      <c r="V52" s="54">
        <v>0</v>
      </c>
      <c r="W52" s="54">
        <v>0</v>
      </c>
      <c r="X52" s="54">
        <v>0</v>
      </c>
      <c r="Y52" s="54">
        <v>0</v>
      </c>
      <c r="Z52" s="54">
        <v>0</v>
      </c>
      <c r="AA52" s="54">
        <v>0</v>
      </c>
      <c r="AB52" s="54">
        <v>0</v>
      </c>
      <c r="AC52" s="54">
        <v>0</v>
      </c>
      <c r="AD52" s="54">
        <v>0</v>
      </c>
      <c r="AE52" s="54">
        <v>0</v>
      </c>
      <c r="AF52" s="54">
        <v>0</v>
      </c>
      <c r="AG52" s="54">
        <v>0</v>
      </c>
      <c r="AH52" s="54">
        <v>0</v>
      </c>
      <c r="AI52" s="54">
        <v>0</v>
      </c>
      <c r="AJ52" s="54">
        <v>0</v>
      </c>
    </row>
    <row r="53" spans="1:36" s="30" customFormat="1">
      <c r="B53" s="41" t="s">
        <v>73</v>
      </c>
      <c r="C53" s="41"/>
      <c r="D53" s="41"/>
      <c r="E53" s="41"/>
      <c r="F53" s="41"/>
      <c r="G53" s="55">
        <f>G49</f>
        <v>423597.81055676145</v>
      </c>
      <c r="H53" s="55">
        <f t="shared" ref="H53:AJ53" si="15">H49</f>
        <v>396767.39295676118</v>
      </c>
      <c r="I53" s="55">
        <f t="shared" si="15"/>
        <v>369787.70823676186</v>
      </c>
      <c r="J53" s="55">
        <f t="shared" si="15"/>
        <v>342654.85659866268</v>
      </c>
      <c r="K53" s="55">
        <f t="shared" si="15"/>
        <v>315364.88061096333</v>
      </c>
      <c r="L53" s="55">
        <f t="shared" si="15"/>
        <v>287913.76418955601</v>
      </c>
      <c r="M53" s="55">
        <f t="shared" si="15"/>
        <v>260297.43156097364</v>
      </c>
      <c r="N53" s="55">
        <f t="shared" si="15"/>
        <v>232511.74620778055</v>
      </c>
      <c r="O53" s="55">
        <f t="shared" si="15"/>
        <v>204552.50979578542</v>
      </c>
      <c r="P53" s="55">
        <f t="shared" si="15"/>
        <v>176415.46108275</v>
      </c>
      <c r="Q53" s="55">
        <f t="shared" si="15"/>
        <v>148096.27480827237</v>
      </c>
      <c r="R53" s="55">
        <f t="shared" si="15"/>
        <v>119590.56056449446</v>
      </c>
      <c r="S53" s="55">
        <f t="shared" si="15"/>
        <v>90893.861647304147</v>
      </c>
      <c r="T53" s="55">
        <f t="shared" si="15"/>
        <v>62001.653887680033</v>
      </c>
      <c r="U53" s="55">
        <f t="shared" si="15"/>
        <v>32909.344462816371</v>
      </c>
      <c r="V53" s="55">
        <f t="shared" si="15"/>
        <v>2057114.860797693</v>
      </c>
      <c r="W53" s="55">
        <f t="shared" si="15"/>
        <v>1336245.2614764841</v>
      </c>
      <c r="X53" s="55">
        <f t="shared" si="15"/>
        <v>1306524.3853135291</v>
      </c>
      <c r="Y53" s="55">
        <f t="shared" si="15"/>
        <v>1276584.3251509767</v>
      </c>
      <c r="Z53" s="55">
        <f t="shared" si="15"/>
        <v>1818785.1666123285</v>
      </c>
      <c r="AA53" s="55">
        <f t="shared" si="15"/>
        <v>3750</v>
      </c>
      <c r="AB53" s="55">
        <f t="shared" si="15"/>
        <v>0</v>
      </c>
      <c r="AC53" s="55">
        <f t="shared" si="15"/>
        <v>0</v>
      </c>
      <c r="AD53" s="55">
        <f t="shared" si="15"/>
        <v>0</v>
      </c>
      <c r="AE53" s="55">
        <f t="shared" si="15"/>
        <v>0</v>
      </c>
      <c r="AF53" s="55">
        <f t="shared" si="15"/>
        <v>0</v>
      </c>
      <c r="AG53" s="55">
        <f t="shared" si="15"/>
        <v>0</v>
      </c>
      <c r="AH53" s="55">
        <f t="shared" si="15"/>
        <v>0</v>
      </c>
      <c r="AI53" s="55">
        <f t="shared" si="15"/>
        <v>0</v>
      </c>
      <c r="AJ53" s="55">
        <f t="shared" si="15"/>
        <v>0</v>
      </c>
    </row>
    <row r="54" spans="1:36" s="30" customFormat="1" ht="15.75">
      <c r="B54" s="53" t="s">
        <v>126</v>
      </c>
      <c r="C54" s="53"/>
      <c r="D54" s="53"/>
      <c r="E54" s="397"/>
      <c r="F54" s="54">
        <f t="shared" ref="F54:AJ54" si="16">SUM(F52:F53)</f>
        <v>-12500000</v>
      </c>
      <c r="G54" s="54">
        <f t="shared" si="16"/>
        <v>423597.81055676145</v>
      </c>
      <c r="H54" s="54">
        <f t="shared" si="16"/>
        <v>396767.39295676118</v>
      </c>
      <c r="I54" s="54">
        <f t="shared" si="16"/>
        <v>369787.70823676186</v>
      </c>
      <c r="J54" s="54">
        <f t="shared" si="16"/>
        <v>342654.85659866268</v>
      </c>
      <c r="K54" s="54">
        <f t="shared" si="16"/>
        <v>315364.88061096333</v>
      </c>
      <c r="L54" s="54">
        <f t="shared" si="16"/>
        <v>287913.76418955601</v>
      </c>
      <c r="M54" s="54">
        <f t="shared" si="16"/>
        <v>260297.43156097364</v>
      </c>
      <c r="N54" s="54">
        <f t="shared" si="16"/>
        <v>232511.74620778055</v>
      </c>
      <c r="O54" s="54">
        <f t="shared" si="16"/>
        <v>204552.50979578542</v>
      </c>
      <c r="P54" s="54">
        <f t="shared" si="16"/>
        <v>176415.46108275</v>
      </c>
      <c r="Q54" s="54">
        <f t="shared" si="16"/>
        <v>148096.27480827237</v>
      </c>
      <c r="R54" s="54">
        <f t="shared" si="16"/>
        <v>119590.56056449446</v>
      </c>
      <c r="S54" s="54">
        <f t="shared" si="16"/>
        <v>90893.861647304147</v>
      </c>
      <c r="T54" s="54">
        <f t="shared" si="16"/>
        <v>62001.653887680033</v>
      </c>
      <c r="U54" s="54">
        <f t="shared" si="16"/>
        <v>32909.344462816371</v>
      </c>
      <c r="V54" s="54">
        <f t="shared" si="16"/>
        <v>2057114.860797693</v>
      </c>
      <c r="W54" s="54">
        <f t="shared" si="16"/>
        <v>1336245.2614764841</v>
      </c>
      <c r="X54" s="54">
        <f t="shared" si="16"/>
        <v>1306524.3853135291</v>
      </c>
      <c r="Y54" s="54">
        <f t="shared" si="16"/>
        <v>1276584.3251509767</v>
      </c>
      <c r="Z54" s="54">
        <f t="shared" si="16"/>
        <v>1818785.1666123285</v>
      </c>
      <c r="AA54" s="54">
        <f t="shared" si="16"/>
        <v>3750</v>
      </c>
      <c r="AB54" s="54">
        <f t="shared" si="16"/>
        <v>0</v>
      </c>
      <c r="AC54" s="54">
        <f t="shared" si="16"/>
        <v>0</v>
      </c>
      <c r="AD54" s="54">
        <f t="shared" si="16"/>
        <v>0</v>
      </c>
      <c r="AE54" s="54">
        <f t="shared" si="16"/>
        <v>0</v>
      </c>
      <c r="AF54" s="54">
        <f t="shared" si="16"/>
        <v>0</v>
      </c>
      <c r="AG54" s="54">
        <f t="shared" si="16"/>
        <v>0</v>
      </c>
      <c r="AH54" s="54">
        <f t="shared" si="16"/>
        <v>0</v>
      </c>
      <c r="AI54" s="54">
        <f t="shared" si="16"/>
        <v>0</v>
      </c>
      <c r="AJ54" s="54">
        <f t="shared" si="16"/>
        <v>0</v>
      </c>
    </row>
    <row r="55" spans="1:36" s="30" customFormat="1">
      <c r="B55" s="56" t="s">
        <v>75</v>
      </c>
      <c r="C55" s="56"/>
      <c r="D55" s="56"/>
      <c r="E55" s="54"/>
      <c r="F55" s="87"/>
      <c r="G55" s="380" t="str">
        <f>IF(ISERROR(IRR($F54:G54)),"NA",IRR($F54:G54))</f>
        <v>NA</v>
      </c>
      <c r="H55" s="380" t="str">
        <f>IF(ISERROR(IRR($F54:H54)),"NA",IRR($F54:H54))</f>
        <v>NA</v>
      </c>
      <c r="I55" s="380" t="str">
        <f>IF(ISERROR(IRR($F54:I54)),"NA",IRR($F54:I54))</f>
        <v>NA</v>
      </c>
      <c r="J55" s="380" t="str">
        <f>IF(ISERROR(IRR($F54:J54)),"NA",IRR($F54:J54))</f>
        <v>NA</v>
      </c>
      <c r="K55" s="380" t="str">
        <f>IF(ISERROR(IRR($F54:K54)),"NA",IRR($F54:K54))</f>
        <v>NA</v>
      </c>
      <c r="L55" s="380" t="str">
        <f>IF(ISERROR(IRR($F54:L54)),"NA",IRR($F54:L54))</f>
        <v>NA</v>
      </c>
      <c r="M55" s="380" t="str">
        <f>IF(ISERROR(IRR($F54:M54)),"NA",IRR($F54:M54))</f>
        <v>NA</v>
      </c>
      <c r="N55" s="380" t="str">
        <f>IF(ISERROR(IRR($F54:N54)),"NA",IRR($F54:N54))</f>
        <v>NA</v>
      </c>
      <c r="O55" s="380" t="str">
        <f>IF(ISERROR(IRR($F54:O54)),"NA",IRR($F54:O54))</f>
        <v>NA</v>
      </c>
      <c r="P55" s="380" t="str">
        <f>IF(ISERROR(IRR($F54:P54)),"NA",IRR($F54:P54))</f>
        <v>NA</v>
      </c>
      <c r="Q55" s="380" t="str">
        <f>IF(ISERROR(IRR($F54:Q54)),"NA",IRR($F54:Q54))</f>
        <v>NA</v>
      </c>
      <c r="R55" s="380" t="str">
        <f>IF(ISERROR(IRR($F54:R54)),"NA",IRR($F54:R54))</f>
        <v>NA</v>
      </c>
      <c r="S55" s="380" t="str">
        <f>IF(ISERROR(IRR($F54:S54)),"NA",IRR($F54:S54))</f>
        <v>NA</v>
      </c>
      <c r="T55" s="380" t="str">
        <f>IF(ISERROR(IRR($F54:T54)),"NA",IRR($F54:T54))</f>
        <v>NA</v>
      </c>
      <c r="U55" s="380" t="str">
        <f>IF(ISERROR(IRR($F54:U54)),"NA",IRR($F54:U54))</f>
        <v>NA</v>
      </c>
      <c r="V55" s="380" t="str">
        <f>IF(ISERROR(IRR($F54:V54)),"NA",IRR($F54:V54))</f>
        <v>NA</v>
      </c>
      <c r="W55" s="380">
        <f>IF(ISERROR(IRR($F54:W54)),"NA",IRR($F54:W54))</f>
        <v>-4.9367249908246202E-2</v>
      </c>
      <c r="X55" s="380">
        <f>IF(ISERROR(IRR($F54:X54)),"NA",IRR($F54:X54))</f>
        <v>-3.2966791375376774E-2</v>
      </c>
      <c r="Y55" s="380">
        <f>IF(ISERROR(IRR($F54:Y54)),"NA",IRR($F54:Y54))</f>
        <v>-2.0686880588843135E-2</v>
      </c>
      <c r="Z55" s="380">
        <f>IF(ISERROR(IRR($F54:Z54)),"NA",IRR($F54:Z54))</f>
        <v>-7.2790903927873992E-3</v>
      </c>
      <c r="AA55" s="380">
        <f>IF(ISERROR(IRR($F54:AA54)),"NA",IRR($F54:AA54))</f>
        <v>-7.2550688865983537E-3</v>
      </c>
      <c r="AB55" s="380">
        <f>IF(ISERROR(IRR($F54:AB54)),"NA",IRR($F54:AB54))</f>
        <v>-7.2550688865983537E-3</v>
      </c>
      <c r="AC55" s="380">
        <f>IF(ISERROR(IRR($F54:AC54)),"NA",IRR($F54:AC54))</f>
        <v>-7.2550688865983537E-3</v>
      </c>
      <c r="AD55" s="380">
        <f>IF(ISERROR(IRR($F54:AD54)),"NA",IRR($F54:AD54))</f>
        <v>-7.2550688865983537E-3</v>
      </c>
      <c r="AE55" s="380">
        <f>IF(ISERROR(IRR($F54:AE54)),"NA",IRR($F54:AE54))</f>
        <v>-7.2550688865983537E-3</v>
      </c>
      <c r="AF55" s="380">
        <f>IF(ISERROR(IRR($F54:AF54)),"NA",IRR($F54:AF54))</f>
        <v>-7.2550688865983537E-3</v>
      </c>
      <c r="AG55" s="380">
        <f>IF(ISERROR(IRR($F54:AG54)),"NA",IRR($F54:AG54))</f>
        <v>-7.2550688865983537E-3</v>
      </c>
      <c r="AH55" s="380">
        <f>IF(ISERROR(IRR($F54:AH54)),"NA",IRR($F54:AH54))</f>
        <v>-7.2550688865983537E-3</v>
      </c>
      <c r="AI55" s="380">
        <f>IF(ISERROR(IRR($F54:AI54)),"NA",IRR($F54:AI54))</f>
        <v>-7.2550688865983537E-3</v>
      </c>
      <c r="AJ55" s="380">
        <f>IF(ISERROR(IRR($F54:AJ54)),"NA",IRR($F54:AJ54))</f>
        <v>-7.2550688865983537E-3</v>
      </c>
    </row>
    <row r="56" spans="1:36" s="30" customFormat="1">
      <c r="B56" s="56"/>
      <c r="C56" s="56"/>
      <c r="D56" s="56"/>
      <c r="E56" s="54"/>
      <c r="F56" s="87"/>
      <c r="G56" s="57"/>
      <c r="H56" s="57"/>
      <c r="I56" s="57"/>
      <c r="J56" s="57"/>
      <c r="K56" s="57"/>
      <c r="L56" s="57"/>
      <c r="M56" s="57"/>
      <c r="N56" s="57"/>
      <c r="O56" s="57"/>
      <c r="P56" s="57"/>
      <c r="Q56" s="57"/>
      <c r="R56" s="57"/>
      <c r="S56" s="57"/>
      <c r="T56" s="57"/>
      <c r="U56" s="57"/>
      <c r="V56" s="57"/>
      <c r="W56" s="57"/>
      <c r="X56" s="57"/>
      <c r="Y56" s="57"/>
      <c r="Z56" s="57"/>
      <c r="AA56" s="57"/>
      <c r="AB56" s="57"/>
      <c r="AC56" s="57"/>
      <c r="AD56" s="57"/>
      <c r="AE56" s="57"/>
      <c r="AF56" s="57"/>
      <c r="AG56" s="57"/>
      <c r="AH56" s="57"/>
      <c r="AI56" s="57"/>
      <c r="AJ56" s="57"/>
    </row>
    <row r="57" spans="1:36" s="30" customFormat="1">
      <c r="B57" s="389" t="s">
        <v>158</v>
      </c>
      <c r="C57" s="389"/>
      <c r="D57" s="389"/>
      <c r="E57" s="41"/>
      <c r="F57" s="342"/>
      <c r="G57" s="55">
        <f t="shared" ref="G57:AJ57" si="17">-G142</f>
        <v>-12770914.0625</v>
      </c>
      <c r="H57" s="55">
        <f t="shared" si="17"/>
        <v>-3258261.0887500001</v>
      </c>
      <c r="I57" s="55">
        <f t="shared" si="17"/>
        <v>-1964213.0225</v>
      </c>
      <c r="J57" s="55">
        <f t="shared" si="17"/>
        <v>-1187145.5162499999</v>
      </c>
      <c r="K57" s="55">
        <f t="shared" si="17"/>
        <v>-1185407.115</v>
      </c>
      <c r="L57" s="55">
        <f t="shared" si="17"/>
        <v>-602448.91249999998</v>
      </c>
      <c r="M57" s="55">
        <f t="shared" si="17"/>
        <v>-20119.927499999998</v>
      </c>
      <c r="N57" s="55">
        <f t="shared" si="17"/>
        <v>-19726.935000000001</v>
      </c>
      <c r="O57" s="55">
        <f t="shared" si="17"/>
        <v>-19678.616249999999</v>
      </c>
      <c r="P57" s="55">
        <f t="shared" si="17"/>
        <v>-19661.436249999999</v>
      </c>
      <c r="Q57" s="55">
        <f t="shared" si="17"/>
        <v>-19678.616249999999</v>
      </c>
      <c r="R57" s="55">
        <f t="shared" si="17"/>
        <v>-19661.436249999999</v>
      </c>
      <c r="S57" s="55">
        <f t="shared" si="17"/>
        <v>-19678.616249999999</v>
      </c>
      <c r="T57" s="55">
        <f t="shared" si="17"/>
        <v>-19661.436249999999</v>
      </c>
      <c r="U57" s="55">
        <f t="shared" si="17"/>
        <v>-19678.616249999999</v>
      </c>
      <c r="V57" s="55">
        <f t="shared" si="17"/>
        <v>-14910.092499999999</v>
      </c>
      <c r="W57" s="55">
        <f t="shared" si="17"/>
        <v>-10159.8225</v>
      </c>
      <c r="X57" s="55">
        <f t="shared" si="17"/>
        <v>-10158.748749999999</v>
      </c>
      <c r="Y57" s="55">
        <f t="shared" si="17"/>
        <v>-10159.8225</v>
      </c>
      <c r="Z57" s="55">
        <f t="shared" si="17"/>
        <v>-10158.748749999999</v>
      </c>
      <c r="AA57" s="55">
        <f t="shared" si="17"/>
        <v>0</v>
      </c>
      <c r="AB57" s="55">
        <f t="shared" si="17"/>
        <v>0</v>
      </c>
      <c r="AC57" s="55">
        <f t="shared" si="17"/>
        <v>0</v>
      </c>
      <c r="AD57" s="55">
        <f t="shared" si="17"/>
        <v>0</v>
      </c>
      <c r="AE57" s="55">
        <f t="shared" si="17"/>
        <v>0</v>
      </c>
      <c r="AF57" s="55">
        <f t="shared" si="17"/>
        <v>0</v>
      </c>
      <c r="AG57" s="55">
        <f t="shared" si="17"/>
        <v>0</v>
      </c>
      <c r="AH57" s="55">
        <f t="shared" si="17"/>
        <v>0</v>
      </c>
      <c r="AI57" s="55">
        <f t="shared" si="17"/>
        <v>0</v>
      </c>
      <c r="AJ57" s="55">
        <f t="shared" si="17"/>
        <v>0</v>
      </c>
    </row>
    <row r="58" spans="1:36" s="30" customFormat="1" ht="15.75">
      <c r="B58" s="35" t="s">
        <v>294</v>
      </c>
      <c r="C58" s="35"/>
      <c r="D58" s="35"/>
      <c r="F58" s="88"/>
      <c r="G58" s="86">
        <f>IF(Inputs!$G$69="No",0,(G$44+G$57))</f>
        <v>-11824883.443180658</v>
      </c>
      <c r="H58" s="86">
        <f>IF(Inputs!$G$69="No",0,(H$44+H$57))</f>
        <v>-2304240.5904172766</v>
      </c>
      <c r="I58" s="86">
        <f>IF(Inputs!$G$69="No",0,(I$44+I$57))</f>
        <v>-999914.49151095853</v>
      </c>
      <c r="J58" s="86">
        <f>IF(Inputs!$G$69="No",0,(J$44+J$57))</f>
        <v>-210114.07930639817</v>
      </c>
      <c r="K58" s="86">
        <f>IF(Inputs!$G$69="No",0,(K$44+K$57))</f>
        <v>-193009.29341995181</v>
      </c>
      <c r="L58" s="86">
        <f>IF(Inputs!$G$69="No",0,(L$44+L$57))</f>
        <v>408140.09852647688</v>
      </c>
      <c r="M58" s="86">
        <f>IF(Inputs!$G$69="No",0,(M$44+M$57))</f>
        <v>1011690.0181764788</v>
      </c>
      <c r="N58" s="86">
        <f>IF(Inputs!$G$69="No",0,(N$44+N$57))</f>
        <v>1036553.2013113713</v>
      </c>
      <c r="O58" s="86">
        <f>IF(Inputs!$G$69="No",0,(O$44+O$57))</f>
        <v>1064556.0709566274</v>
      </c>
      <c r="P58" s="86">
        <f>IF(Inputs!$G$69="No",0,(P$44+P$57))</f>
        <v>1096263.9546623512</v>
      </c>
      <c r="Q58" s="86">
        <f>IF(Inputs!$G$69="No",0,(Q$44+Q$57))</f>
        <v>1131943.2834759457</v>
      </c>
      <c r="R58" s="86">
        <f>IF(Inputs!$G$69="No",0,(R$44+R$57))</f>
        <v>1171951.5429764048</v>
      </c>
      <c r="S58" s="86">
        <f>IF(Inputs!$G$69="No",0,(S$44+S$57))</f>
        <v>1216529.2333655481</v>
      </c>
      <c r="T58" s="86">
        <f>IF(Inputs!$G$69="No",0,(T$44+T$57))</f>
        <v>1266076.1847637012</v>
      </c>
      <c r="U58" s="86">
        <f>IF(Inputs!$G$69="No",0,(U$44+U$57))</f>
        <v>1320878.2130376589</v>
      </c>
      <c r="V58" s="86">
        <f>IF(Inputs!$G$69="No",0,(V$44+V$57))</f>
        <v>1380988.3639164022</v>
      </c>
      <c r="W58" s="86">
        <f>IF(Inputs!$G$69="No",0,(W$44+W$57))</f>
        <v>1351085.4389764841</v>
      </c>
      <c r="X58" s="86">
        <f>IF(Inputs!$G$69="No",0,(X$44+X$57))</f>
        <v>1321365.636563529</v>
      </c>
      <c r="Y58" s="86">
        <f>IF(Inputs!$G$69="No",0,(Y$44+Y$57))</f>
        <v>1291424.5026509766</v>
      </c>
      <c r="Z58" s="86">
        <f>IF(Inputs!$G$69="No",0,(Z$44+Z$57))</f>
        <v>1256936.200954095</v>
      </c>
      <c r="AA58" s="86">
        <f>IF(Inputs!$G$69="No",0,(AA$44+AA$57))</f>
        <v>3750</v>
      </c>
      <c r="AB58" s="86">
        <f>IF(Inputs!$G$69="No",0,(AB$44+AB$57))</f>
        <v>0</v>
      </c>
      <c r="AC58" s="86">
        <f>IF(Inputs!$G$69="No",0,(AC$44+AC$57))</f>
        <v>0</v>
      </c>
      <c r="AD58" s="86">
        <f>IF(Inputs!$G$69="No",0,(AD$44+AD$57))</f>
        <v>0</v>
      </c>
      <c r="AE58" s="86">
        <f>IF(Inputs!$G$69="No",0,(AE$44+AE$57))</f>
        <v>0</v>
      </c>
      <c r="AF58" s="86">
        <f>IF(Inputs!$G$69="No",0,(AF$44+AF$57))</f>
        <v>0</v>
      </c>
      <c r="AG58" s="86">
        <f>IF(Inputs!$G$69="No",0,(AG$44+AG$57))</f>
        <v>0</v>
      </c>
      <c r="AH58" s="86">
        <f>IF(Inputs!$G$69="No",0,(AH$44+AH$57))</f>
        <v>0</v>
      </c>
      <c r="AI58" s="86">
        <f>IF(Inputs!$G$69="No",0,(AI$44+AI$57))</f>
        <v>0</v>
      </c>
      <c r="AJ58" s="86">
        <f>IF(Inputs!$G$69="No",0,(AJ$44+AJ$57))</f>
        <v>0</v>
      </c>
    </row>
    <row r="59" spans="1:36" s="30" customFormat="1" ht="15.75">
      <c r="B59" s="53"/>
      <c r="C59" s="53"/>
      <c r="D59" s="53"/>
      <c r="F59" s="88"/>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row>
    <row r="60" spans="1:36" s="30" customFormat="1" ht="15.75">
      <c r="B60" s="35" t="s">
        <v>295</v>
      </c>
      <c r="C60" s="35"/>
      <c r="D60" s="35"/>
      <c r="F60" s="343" t="str">
        <f>Inputs!G71</f>
        <v>As Generated</v>
      </c>
      <c r="G60" s="86">
        <f t="shared" ref="G60:AJ60" si="18">IF($F$60="as generated",G$58,G$157)</f>
        <v>-11824883.443180658</v>
      </c>
      <c r="H60" s="86">
        <f t="shared" si="18"/>
        <v>-2304240.5904172766</v>
      </c>
      <c r="I60" s="86">
        <f t="shared" si="18"/>
        <v>-999914.49151095853</v>
      </c>
      <c r="J60" s="86">
        <f t="shared" si="18"/>
        <v>-210114.07930639817</v>
      </c>
      <c r="K60" s="86">
        <f t="shared" si="18"/>
        <v>-193009.29341995181</v>
      </c>
      <c r="L60" s="86">
        <f t="shared" si="18"/>
        <v>408140.09852647688</v>
      </c>
      <c r="M60" s="86">
        <f t="shared" si="18"/>
        <v>1011690.0181764788</v>
      </c>
      <c r="N60" s="86">
        <f t="shared" si="18"/>
        <v>1036553.2013113713</v>
      </c>
      <c r="O60" s="86">
        <f t="shared" si="18"/>
        <v>1064556.0709566274</v>
      </c>
      <c r="P60" s="86">
        <f t="shared" si="18"/>
        <v>1096263.9546623512</v>
      </c>
      <c r="Q60" s="86">
        <f t="shared" si="18"/>
        <v>1131943.2834759457</v>
      </c>
      <c r="R60" s="86">
        <f t="shared" si="18"/>
        <v>1171951.5429764048</v>
      </c>
      <c r="S60" s="86">
        <f t="shared" si="18"/>
        <v>1216529.2333655481</v>
      </c>
      <c r="T60" s="86">
        <f t="shared" si="18"/>
        <v>1266076.1847637012</v>
      </c>
      <c r="U60" s="86">
        <f t="shared" si="18"/>
        <v>1320878.2130376589</v>
      </c>
      <c r="V60" s="86">
        <f t="shared" si="18"/>
        <v>1380988.3639164022</v>
      </c>
      <c r="W60" s="86">
        <f t="shared" si="18"/>
        <v>1351085.4389764841</v>
      </c>
      <c r="X60" s="86">
        <f t="shared" si="18"/>
        <v>1321365.636563529</v>
      </c>
      <c r="Y60" s="86">
        <f t="shared" si="18"/>
        <v>1291424.5026509766</v>
      </c>
      <c r="Z60" s="86">
        <f t="shared" si="18"/>
        <v>1256936.200954095</v>
      </c>
      <c r="AA60" s="86">
        <f t="shared" si="18"/>
        <v>3750</v>
      </c>
      <c r="AB60" s="86">
        <f t="shared" si="18"/>
        <v>0</v>
      </c>
      <c r="AC60" s="86">
        <f t="shared" si="18"/>
        <v>0</v>
      </c>
      <c r="AD60" s="86">
        <f t="shared" si="18"/>
        <v>0</v>
      </c>
      <c r="AE60" s="86">
        <f t="shared" si="18"/>
        <v>0</v>
      </c>
      <c r="AF60" s="86">
        <f t="shared" si="18"/>
        <v>0</v>
      </c>
      <c r="AG60" s="86">
        <f t="shared" si="18"/>
        <v>0</v>
      </c>
      <c r="AH60" s="86">
        <f t="shared" si="18"/>
        <v>0</v>
      </c>
      <c r="AI60" s="86">
        <f t="shared" si="18"/>
        <v>0</v>
      </c>
      <c r="AJ60" s="86">
        <f t="shared" si="18"/>
        <v>0</v>
      </c>
    </row>
    <row r="61" spans="1:36" s="30" customFormat="1" ht="15.75">
      <c r="B61" s="35" t="s">
        <v>296</v>
      </c>
      <c r="C61" s="35"/>
      <c r="D61" s="35"/>
      <c r="F61" s="343" t="str">
        <f>Inputs!G73</f>
        <v>As Generated</v>
      </c>
      <c r="G61" s="86">
        <f t="shared" ref="G61:AJ61" si="19">IF($F$61="as generated",G$58,G$165)</f>
        <v>-11824883.443180658</v>
      </c>
      <c r="H61" s="86">
        <f t="shared" si="19"/>
        <v>-2304240.5904172766</v>
      </c>
      <c r="I61" s="86">
        <f t="shared" si="19"/>
        <v>-999914.49151095853</v>
      </c>
      <c r="J61" s="86">
        <f t="shared" si="19"/>
        <v>-210114.07930639817</v>
      </c>
      <c r="K61" s="86">
        <f t="shared" si="19"/>
        <v>-193009.29341995181</v>
      </c>
      <c r="L61" s="86">
        <f t="shared" si="19"/>
        <v>408140.09852647688</v>
      </c>
      <c r="M61" s="86">
        <f t="shared" si="19"/>
        <v>1011690.0181764788</v>
      </c>
      <c r="N61" s="86">
        <f t="shared" si="19"/>
        <v>1036553.2013113713</v>
      </c>
      <c r="O61" s="86">
        <f t="shared" si="19"/>
        <v>1064556.0709566274</v>
      </c>
      <c r="P61" s="86">
        <f t="shared" si="19"/>
        <v>1096263.9546623512</v>
      </c>
      <c r="Q61" s="86">
        <f t="shared" si="19"/>
        <v>1131943.2834759457</v>
      </c>
      <c r="R61" s="86">
        <f t="shared" si="19"/>
        <v>1171951.5429764048</v>
      </c>
      <c r="S61" s="86">
        <f t="shared" si="19"/>
        <v>1216529.2333655481</v>
      </c>
      <c r="T61" s="86">
        <f t="shared" si="19"/>
        <v>1266076.1847637012</v>
      </c>
      <c r="U61" s="86">
        <f t="shared" si="19"/>
        <v>1320878.2130376589</v>
      </c>
      <c r="V61" s="86">
        <f t="shared" si="19"/>
        <v>1380988.3639164022</v>
      </c>
      <c r="W61" s="86">
        <f t="shared" si="19"/>
        <v>1351085.4389764841</v>
      </c>
      <c r="X61" s="86">
        <f t="shared" si="19"/>
        <v>1321365.636563529</v>
      </c>
      <c r="Y61" s="86">
        <f t="shared" si="19"/>
        <v>1291424.5026509766</v>
      </c>
      <c r="Z61" s="86">
        <f t="shared" si="19"/>
        <v>1256936.200954095</v>
      </c>
      <c r="AA61" s="86">
        <f t="shared" si="19"/>
        <v>3750</v>
      </c>
      <c r="AB61" s="86">
        <f t="shared" si="19"/>
        <v>0</v>
      </c>
      <c r="AC61" s="86">
        <f t="shared" si="19"/>
        <v>0</v>
      </c>
      <c r="AD61" s="86">
        <f t="shared" si="19"/>
        <v>0</v>
      </c>
      <c r="AE61" s="86">
        <f t="shared" si="19"/>
        <v>0</v>
      </c>
      <c r="AF61" s="86">
        <f t="shared" si="19"/>
        <v>0</v>
      </c>
      <c r="AG61" s="86">
        <f t="shared" si="19"/>
        <v>0</v>
      </c>
      <c r="AH61" s="86">
        <f t="shared" si="19"/>
        <v>0</v>
      </c>
      <c r="AI61" s="86">
        <f t="shared" si="19"/>
        <v>0</v>
      </c>
      <c r="AJ61" s="86">
        <f t="shared" si="19"/>
        <v>0</v>
      </c>
    </row>
    <row r="62" spans="1:36" s="30" customFormat="1">
      <c r="B62" s="341"/>
      <c r="C62" s="341"/>
      <c r="D62" s="341"/>
      <c r="F62" s="88"/>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row>
    <row r="63" spans="1:36" s="39" customFormat="1">
      <c r="B63" s="37" t="s">
        <v>142</v>
      </c>
      <c r="C63" s="37"/>
      <c r="D63" s="37"/>
      <c r="E63" s="334"/>
      <c r="G63" s="86">
        <f>IF(Inputs!$G$69="No",0,-(G$60+G$64)*Inputs!$G$70)</f>
        <v>3786918.9226786052</v>
      </c>
      <c r="H63" s="86">
        <f>IF(Inputs!$G$69="No",0,-(H$60+H$64)*Inputs!$G$70)</f>
        <v>737933.04908113286</v>
      </c>
      <c r="I63" s="86">
        <f>IF(Inputs!$G$69="No",0,-(I$60+I$64)*Inputs!$G$70)</f>
        <v>320222.61590638448</v>
      </c>
      <c r="J63" s="86">
        <f>IF(Inputs!$G$69="No",0,-(J$60+J$64)*Inputs!$G$70)</f>
        <v>67289.033897874004</v>
      </c>
      <c r="K63" s="86">
        <f>IF(Inputs!$G$69="No",0,-(K$60+K$64)*Inputs!$G$70)</f>
        <v>61811.226217739553</v>
      </c>
      <c r="L63" s="86">
        <f>IF(Inputs!$G$69="No",0,-(L$60+L$64)*Inputs!$G$70)</f>
        <v>-130706.86655310422</v>
      </c>
      <c r="M63" s="86">
        <f>IF(Inputs!$G$69="No",0,-(M$60+M$64)*Inputs!$G$70)</f>
        <v>-323993.72832101729</v>
      </c>
      <c r="N63" s="86">
        <f>IF(Inputs!$G$69="No",0,-(N$60+N$64)*Inputs!$G$70)</f>
        <v>-331956.16271996661</v>
      </c>
      <c r="O63" s="86">
        <f>IF(Inputs!$G$69="No",0,-(O$60+O$64)*Inputs!$G$70)</f>
        <v>-340924.08172385988</v>
      </c>
      <c r="P63" s="86">
        <f>IF(Inputs!$G$69="No",0,-(P$60+P$64)*Inputs!$G$70)</f>
        <v>-351078.53148061794</v>
      </c>
      <c r="Q63" s="86">
        <f>IF(Inputs!$G$69="No",0,-(Q$60+Q$64)*Inputs!$G$70)</f>
        <v>-362504.83653317159</v>
      </c>
      <c r="R63" s="86">
        <f>IF(Inputs!$G$69="No",0,-(R$60+R$64)*Inputs!$G$70)</f>
        <v>-375317.4816381936</v>
      </c>
      <c r="S63" s="86">
        <f>IF(Inputs!$G$69="No",0,-(S$60+S$64)*Inputs!$G$70)</f>
        <v>-389593.48698531679</v>
      </c>
      <c r="T63" s="86">
        <f>IF(Inputs!$G$69="No",0,-(T$60+T$64)*Inputs!$G$70)</f>
        <v>-405460.89817057527</v>
      </c>
      <c r="U63" s="86">
        <f>IF(Inputs!$G$69="No",0,-(U$60+U$64)*Inputs!$G$70)</f>
        <v>-423011.24772531021</v>
      </c>
      <c r="V63" s="86">
        <f>IF(Inputs!$G$69="No",0,-(V$60+V$64)*Inputs!$G$70)</f>
        <v>-442261.52354422776</v>
      </c>
      <c r="W63" s="86">
        <f>IF(Inputs!$G$69="No",0,-(W$60+W$64)*Inputs!$G$70)</f>
        <v>-432685.11183221906</v>
      </c>
      <c r="X63" s="86">
        <f>IF(Inputs!$G$69="No",0,-(X$60+X$64)*Inputs!$G$70)</f>
        <v>-423167.34510947019</v>
      </c>
      <c r="Y63" s="86">
        <f>IF(Inputs!$G$69="No",0,-(Y$60+Y$64)*Inputs!$G$70)</f>
        <v>-413578.69697397522</v>
      </c>
      <c r="Z63" s="86">
        <f>IF(Inputs!$G$69="No",0,-(Z$60+Z$64)*Inputs!$G$70)</f>
        <v>-402533.81835554895</v>
      </c>
      <c r="AA63" s="86">
        <f>IF(Inputs!$G$69="No",0,-(AA$60+AA$64)*Inputs!$G$70)</f>
        <v>-1200.9375</v>
      </c>
      <c r="AB63" s="86">
        <f>IF(Inputs!$G$69="No",0,-(AB$60+AB$64)*Inputs!$G$70)</f>
        <v>0</v>
      </c>
      <c r="AC63" s="86">
        <f>IF(Inputs!$G$69="No",0,-(AC$60+AC$64)*Inputs!$G$70)</f>
        <v>0</v>
      </c>
      <c r="AD63" s="86">
        <f>IF(Inputs!$G$69="No",0,-(AD$60+AD$64)*Inputs!$G$70)</f>
        <v>0</v>
      </c>
      <c r="AE63" s="86">
        <f>IF(Inputs!$G$69="No",0,-(AE$60+AE$64)*Inputs!$G$70)</f>
        <v>0</v>
      </c>
      <c r="AF63" s="86">
        <f>IF(Inputs!$G$69="No",0,-(AF$60+AF$64)*Inputs!$G$70)</f>
        <v>0</v>
      </c>
      <c r="AG63" s="86">
        <f>IF(Inputs!$G$69="No",0,-(AG$60+AG$64)*Inputs!$G$70)</f>
        <v>0</v>
      </c>
      <c r="AH63" s="86">
        <f>IF(Inputs!$G$69="No",0,-(AH$60+AH$64)*Inputs!$G$70)</f>
        <v>0</v>
      </c>
      <c r="AI63" s="86">
        <f>IF(Inputs!$G$69="No",0,-(AI$60+AI$64)*Inputs!$G$70)</f>
        <v>0</v>
      </c>
      <c r="AJ63" s="86">
        <f>IF(Inputs!$G$69="No",0,-(AJ$60+AJ$64)*Inputs!$G$70)</f>
        <v>0</v>
      </c>
    </row>
    <row r="64" spans="1:36" s="39" customFormat="1">
      <c r="B64" s="37" t="s">
        <v>191</v>
      </c>
      <c r="C64" s="37"/>
      <c r="D64" s="37"/>
      <c r="G64" s="86">
        <f>IF(Inputs!$G$69="No",0,-(G$61-IF(AND(Inputs!$Q$34="Cash",Inputs!$Q$36="No"),'Cash Flow'!G$21,0))*Inputs!$G$72)</f>
        <v>1005115.092670356</v>
      </c>
      <c r="H64" s="86">
        <f>IF(Inputs!$G$69="No",0,-(H$61-IF(AND(Inputs!$Q$34="Cash",Inputs!$Q$36="No"),'Cash Flow'!H$21,0))*Inputs!$G$72)</f>
        <v>195860.45018546854</v>
      </c>
      <c r="I64" s="86">
        <f>IF(Inputs!$G$69="No",0,-(I$61-IF(AND(Inputs!$Q$34="Cash",Inputs!$Q$36="No"),'Cash Flow'!I$21,0))*Inputs!$G$72)</f>
        <v>84992.73177843148</v>
      </c>
      <c r="J64" s="86">
        <f>IF(Inputs!$G$69="No",0,-(J$61-IF(AND(Inputs!$Q$34="Cash",Inputs!$Q$36="No"),'Cash Flow'!J$21,0))*Inputs!$G$72)</f>
        <v>17859.696741043845</v>
      </c>
      <c r="K64" s="86">
        <f>IF(Inputs!$G$69="No",0,-(K$61-IF(AND(Inputs!$Q$34="Cash",Inputs!$Q$36="No"),'Cash Flow'!K$21,0))*Inputs!$G$72)</f>
        <v>16405.789940695904</v>
      </c>
      <c r="L64" s="86">
        <f>IF(Inputs!$G$69="No",0,-(L$61-IF(AND(Inputs!$Q$34="Cash",Inputs!$Q$36="No"),'Cash Flow'!L$21,0))*Inputs!$G$72)</f>
        <v>-34691.908374750536</v>
      </c>
      <c r="M64" s="86">
        <f>IF(Inputs!$G$69="No",0,-(M$61-IF(AND(Inputs!$Q$34="Cash",Inputs!$Q$36="No"),'Cash Flow'!M$21,0))*Inputs!$G$72)</f>
        <v>-85993.651545000699</v>
      </c>
      <c r="N64" s="86">
        <f>IF(Inputs!$G$69="No",0,-(N$61-IF(AND(Inputs!$Q$34="Cash",Inputs!$Q$36="No"),'Cash Flow'!N$21,0))*Inputs!$G$72)</f>
        <v>-88107.022111466562</v>
      </c>
      <c r="O64" s="86">
        <f>IF(Inputs!$G$69="No",0,-(O$61-IF(AND(Inputs!$Q$34="Cash",Inputs!$Q$36="No"),'Cash Flow'!O$21,0))*Inputs!$G$72)</f>
        <v>-90487.266031313338</v>
      </c>
      <c r="P64" s="86">
        <f>IF(Inputs!$G$69="No",0,-(P$61-IF(AND(Inputs!$Q$34="Cash",Inputs!$Q$36="No"),'Cash Flow'!P$21,0))*Inputs!$G$72)</f>
        <v>-93182.436146299849</v>
      </c>
      <c r="Q64" s="86">
        <f>IF(Inputs!$G$69="No",0,-(Q$61-IF(AND(Inputs!$Q$34="Cash",Inputs!$Q$36="No"),'Cash Flow'!Q$21,0))*Inputs!$G$72)</f>
        <v>-96215.179095455387</v>
      </c>
      <c r="R64" s="86">
        <f>IF(Inputs!$G$69="No",0,-(R$61-IF(AND(Inputs!$Q$34="Cash",Inputs!$Q$36="No"),'Cash Flow'!R$21,0))*Inputs!$G$72)</f>
        <v>-99615.881152994407</v>
      </c>
      <c r="S64" s="86">
        <f>IF(Inputs!$G$69="No",0,-(S$61-IF(AND(Inputs!$Q$34="Cash",Inputs!$Q$36="No"),'Cash Flow'!S$21,0))*Inputs!$G$72)</f>
        <v>-103404.9848360716</v>
      </c>
      <c r="T64" s="86">
        <f>IF(Inputs!$G$69="No",0,-(T$61-IF(AND(Inputs!$Q$34="Cash",Inputs!$Q$36="No"),'Cash Flow'!T$21,0))*Inputs!$G$72)</f>
        <v>-107616.47570491461</v>
      </c>
      <c r="U64" s="86">
        <f>IF(Inputs!$G$69="No",0,-(U$61-IF(AND(Inputs!$Q$34="Cash",Inputs!$Q$36="No"),'Cash Flow'!U$21,0))*Inputs!$G$72)</f>
        <v>-112274.64810820101</v>
      </c>
      <c r="V64" s="86">
        <f>IF(Inputs!$G$69="No",0,-(V$61-IF(AND(Inputs!$Q$34="Cash",Inputs!$Q$36="No"),'Cash Flow'!V$21,0))*Inputs!$G$72)</f>
        <v>-117384.01093289419</v>
      </c>
      <c r="W64" s="86">
        <f>IF(Inputs!$G$69="No",0,-(W$61-IF(AND(Inputs!$Q$34="Cash",Inputs!$Q$36="No"),'Cash Flow'!W$21,0))*Inputs!$G$72)</f>
        <v>-114842.26231300116</v>
      </c>
      <c r="X64" s="86">
        <f>IF(Inputs!$G$69="No",0,-(X$61-IF(AND(Inputs!$Q$34="Cash",Inputs!$Q$36="No"),'Cash Flow'!X$21,0))*Inputs!$G$72)</f>
        <v>-112316.07910789998</v>
      </c>
      <c r="Y64" s="86">
        <f>IF(Inputs!$G$69="No",0,-(Y$61-IF(AND(Inputs!$Q$34="Cash",Inputs!$Q$36="No"),'Cash Flow'!Y$21,0))*Inputs!$G$72)</f>
        <v>-109771.08272533302</v>
      </c>
      <c r="Z64" s="86">
        <f>IF(Inputs!$G$69="No",0,-(Z$61-IF(AND(Inputs!$Q$34="Cash",Inputs!$Q$36="No"),'Cash Flow'!Z$21,0))*Inputs!$G$72)</f>
        <v>-106839.57708109808</v>
      </c>
      <c r="AA64" s="86">
        <f>IF(Inputs!$G$69="No",0,-(AA$61-IF(AND(Inputs!$Q$34="Cash",Inputs!$Q$36="No"),'Cash Flow'!AA$21,0))*Inputs!$G$72)</f>
        <v>-318.75</v>
      </c>
      <c r="AB64" s="86">
        <f>IF(Inputs!$G$69="No",0,-(AB$61-IF(AND(Inputs!$Q$34="Cash",Inputs!$Q$36="No"),'Cash Flow'!AB$21,0))*Inputs!$G$72)</f>
        <v>0</v>
      </c>
      <c r="AC64" s="86">
        <f>IF(Inputs!$G$69="No",0,-(AC$61-IF(AND(Inputs!$Q$34="Cash",Inputs!$Q$36="No"),'Cash Flow'!AC$21,0))*Inputs!$G$72)</f>
        <v>0</v>
      </c>
      <c r="AD64" s="86">
        <f>IF(Inputs!$G$69="No",0,-(AD$61-IF(AND(Inputs!$Q$34="Cash",Inputs!$Q$36="No"),'Cash Flow'!AD$21,0))*Inputs!$G$72)</f>
        <v>0</v>
      </c>
      <c r="AE64" s="86">
        <f>IF(Inputs!$G$69="No",0,-(AE$61-IF(AND(Inputs!$Q$34="Cash",Inputs!$Q$36="No"),'Cash Flow'!AE$21,0))*Inputs!$G$72)</f>
        <v>0</v>
      </c>
      <c r="AF64" s="86">
        <f>IF(Inputs!$G$69="No",0,-(AF$61-IF(AND(Inputs!$Q$34="Cash",Inputs!$Q$36="No"),'Cash Flow'!AF$21,0))*Inputs!$G$72)</f>
        <v>0</v>
      </c>
      <c r="AG64" s="86">
        <f>IF(Inputs!$G$69="No",0,-(AG$61-IF(AND(Inputs!$Q$34="Cash",Inputs!$Q$36="No"),'Cash Flow'!AG$21,0))*Inputs!$G$72)</f>
        <v>0</v>
      </c>
      <c r="AH64" s="86">
        <f>IF(Inputs!$G$69="No",0,-(AH$61-IF(AND(Inputs!$Q$34="Cash",Inputs!$Q$36="No"),'Cash Flow'!AH$21,0))*Inputs!$G$72)</f>
        <v>0</v>
      </c>
      <c r="AI64" s="86">
        <f>IF(Inputs!$G$69="No",0,-(AI$61-IF(AND(Inputs!$Q$34="Cash",Inputs!$Q$36="No"),'Cash Flow'!AI$21,0))*Inputs!$G$72)</f>
        <v>0</v>
      </c>
      <c r="AJ64" s="86">
        <f>IF(Inputs!$G$69="No",0,-(AJ$61-IF(AND(Inputs!$Q$34="Cash",Inputs!$Q$36="No"),'Cash Flow'!AJ$21,0))*Inputs!$G$72)</f>
        <v>0</v>
      </c>
    </row>
    <row r="65" spans="2:36" s="30" customFormat="1">
      <c r="B65" s="37" t="s">
        <v>280</v>
      </c>
      <c r="C65" s="37"/>
      <c r="D65" s="37"/>
      <c r="E65" s="334"/>
      <c r="F65" s="39"/>
      <c r="G65" s="43">
        <f>IF(AND(Inputs!$Q$18="Cost-Based",Inputs!$Q$19="Cash Grant",G$2=1),Inputs!$Q$21,IF(Inputs!$G$71="as generated",'Cash Flow'!G$172,-G$179))</f>
        <v>7050000</v>
      </c>
      <c r="H65" s="43">
        <f>IF(AND(Inputs!$Q$18="Cost-Based",Inputs!$Q$19="Cash Grant",H$2=1),Inputs!$Q$21,IF(Inputs!$G$71="as generated",'Cash Flow'!H$172,-H$179))</f>
        <v>0</v>
      </c>
      <c r="I65" s="43">
        <f>IF(AND(Inputs!$Q$18="Cost-Based",Inputs!$Q$19="Cash Grant",I$2=1),Inputs!$Q$21,IF(Inputs!$G$71="as generated",'Cash Flow'!I$172,-I$179))</f>
        <v>0</v>
      </c>
      <c r="J65" s="43">
        <f>IF(AND(Inputs!$Q$18="Cost-Based",Inputs!$Q$19="Cash Grant",J$2=1),Inputs!$Q$21,IF(Inputs!$G$71="as generated",'Cash Flow'!J$172,-J$179))</f>
        <v>0</v>
      </c>
      <c r="K65" s="43">
        <f>IF(AND(Inputs!$Q$18="Cost-Based",Inputs!$Q$19="Cash Grant",K$2=1),Inputs!$Q$21,IF(Inputs!$G$71="as generated",'Cash Flow'!K$172,-K$179))</f>
        <v>0</v>
      </c>
      <c r="L65" s="43">
        <f>IF(AND(Inputs!$Q$18="Cost-Based",Inputs!$Q$19="Cash Grant",L$2=1),Inputs!$Q$21,IF(Inputs!$G$71="as generated",'Cash Flow'!L$172,-L$179))</f>
        <v>0</v>
      </c>
      <c r="M65" s="43">
        <f>IF(AND(Inputs!$Q$18="Cost-Based",Inputs!$Q$19="Cash Grant",M$2=1),Inputs!$Q$21,IF(Inputs!$G$71="as generated",'Cash Flow'!M$172,-M$179))</f>
        <v>0</v>
      </c>
      <c r="N65" s="43">
        <f>IF(AND(Inputs!$Q$18="Cost-Based",Inputs!$Q$19="Cash Grant",N$2=1),Inputs!$Q$21,IF(Inputs!$G$71="as generated",'Cash Flow'!N$172,-N$179))</f>
        <v>0</v>
      </c>
      <c r="O65" s="43">
        <f>IF(AND(Inputs!$Q$18="Cost-Based",Inputs!$Q$19="Cash Grant",O$2=1),Inputs!$Q$21,IF(Inputs!$G$71="as generated",'Cash Flow'!O$172,-O$179))</f>
        <v>0</v>
      </c>
      <c r="P65" s="43">
        <f>IF(AND(Inputs!$Q$18="Cost-Based",Inputs!$Q$19="Cash Grant",P$2=1),Inputs!$Q$21,IF(Inputs!$G$71="as generated",'Cash Flow'!P$172,-P$179))</f>
        <v>0</v>
      </c>
      <c r="Q65" s="43">
        <f>IF(AND(Inputs!$Q$18="Cost-Based",Inputs!$Q$19="Cash Grant",Q$2=1),Inputs!$Q$21,IF(Inputs!$G$71="as generated",'Cash Flow'!Q$172,-Q$179))</f>
        <v>0</v>
      </c>
      <c r="R65" s="43">
        <f>IF(AND(Inputs!$Q$18="Cost-Based",Inputs!$Q$19="Cash Grant",R$2=1),Inputs!$Q$21,IF(Inputs!$G$71="as generated",'Cash Flow'!R$172,-R$179))</f>
        <v>0</v>
      </c>
      <c r="S65" s="43">
        <f>IF(AND(Inputs!$Q$18="Cost-Based",Inputs!$Q$19="Cash Grant",S$2=1),Inputs!$Q$21,IF(Inputs!$G$71="as generated",'Cash Flow'!S$172,-S$179))</f>
        <v>0</v>
      </c>
      <c r="T65" s="43">
        <f>IF(AND(Inputs!$Q$18="Cost-Based",Inputs!$Q$19="Cash Grant",T$2=1),Inputs!$Q$21,IF(Inputs!$G$71="as generated",'Cash Flow'!T$172,-T$179))</f>
        <v>0</v>
      </c>
      <c r="U65" s="43">
        <f>IF(AND(Inputs!$Q$18="Cost-Based",Inputs!$Q$19="Cash Grant",U$2=1),Inputs!$Q$21,IF(Inputs!$G$71="as generated",'Cash Flow'!U$172,-U$179))</f>
        <v>0</v>
      </c>
      <c r="V65" s="43">
        <f>IF(AND(Inputs!$Q$18="Cost-Based",Inputs!$Q$19="Cash Grant",V$2=1),Inputs!$Q$21,IF(Inputs!$G$71="as generated",'Cash Flow'!V$172,-V$179))</f>
        <v>0</v>
      </c>
      <c r="W65" s="43">
        <f>IF(AND(Inputs!$Q$18="Cost-Based",Inputs!$Q$19="Cash Grant",W$2=1),Inputs!$Q$21,IF(Inputs!$G$71="as generated",'Cash Flow'!W$172,-W$179))</f>
        <v>0</v>
      </c>
      <c r="X65" s="43">
        <f>IF(AND(Inputs!$Q$18="Cost-Based",Inputs!$Q$19="Cash Grant",X$2=1),Inputs!$Q$21,IF(Inputs!$G$71="as generated",'Cash Flow'!X$172,-X$179))</f>
        <v>0</v>
      </c>
      <c r="Y65" s="43">
        <f>IF(AND(Inputs!$Q$18="Cost-Based",Inputs!$Q$19="Cash Grant",Y$2=1),Inputs!$Q$21,IF(Inputs!$G$71="as generated",'Cash Flow'!Y$172,-Y$179))</f>
        <v>0</v>
      </c>
      <c r="Z65" s="43">
        <f>IF(AND(Inputs!$Q$18="Cost-Based",Inputs!$Q$19="Cash Grant",Z$2=1),Inputs!$Q$21,IF(Inputs!$G$71="as generated",'Cash Flow'!Z$172,-Z$179))</f>
        <v>0</v>
      </c>
      <c r="AA65" s="43">
        <f>IF(AND(Inputs!$Q$18="Cost-Based",Inputs!$Q$19="Cash Grant",AA$2=1),Inputs!$Q$21,IF(Inputs!$G$71="as generated",'Cash Flow'!AA$172,-AA$179))</f>
        <v>0</v>
      </c>
      <c r="AB65" s="43">
        <f>IF(AND(Inputs!$Q$18="Cost-Based",Inputs!$Q$19="Cash Grant",AB$2=1),Inputs!$Q$21,IF(Inputs!$G$71="as generated",'Cash Flow'!AB$172,-AB$179))</f>
        <v>0</v>
      </c>
      <c r="AC65" s="43">
        <f>IF(AND(Inputs!$Q$18="Cost-Based",Inputs!$Q$19="Cash Grant",AC$2=1),Inputs!$Q$21,IF(Inputs!$G$71="as generated",'Cash Flow'!AC$172,-AC$179))</f>
        <v>0</v>
      </c>
      <c r="AD65" s="43">
        <f>IF(AND(Inputs!$Q$18="Cost-Based",Inputs!$Q$19="Cash Grant",AD$2=1),Inputs!$Q$21,IF(Inputs!$G$71="as generated",'Cash Flow'!AD$172,-AD$179))</f>
        <v>0</v>
      </c>
      <c r="AE65" s="43">
        <f>IF(AND(Inputs!$Q$18="Cost-Based",Inputs!$Q$19="Cash Grant",AE$2=1),Inputs!$Q$21,IF(Inputs!$G$71="as generated",'Cash Flow'!AE$172,-AE$179))</f>
        <v>0</v>
      </c>
      <c r="AF65" s="43">
        <f>IF(AND(Inputs!$Q$18="Cost-Based",Inputs!$Q$19="Cash Grant",AF$2=1),Inputs!$Q$21,IF(Inputs!$G$71="as generated",'Cash Flow'!AF$172,-AF$179))</f>
        <v>0</v>
      </c>
      <c r="AG65" s="43">
        <f>IF(AND(Inputs!$Q$18="Cost-Based",Inputs!$Q$19="Cash Grant",AG$2=1),Inputs!$Q$21,IF(Inputs!$G$71="as generated",'Cash Flow'!AG$172,-AG$179))</f>
        <v>0</v>
      </c>
      <c r="AH65" s="43">
        <f>IF(AND(Inputs!$Q$18="Cost-Based",Inputs!$Q$19="Cash Grant",AH$2=1),Inputs!$Q$21,IF(Inputs!$G$71="as generated",'Cash Flow'!AH$172,-AH$179))</f>
        <v>0</v>
      </c>
      <c r="AI65" s="43">
        <f>IF(AND(Inputs!$Q$18="Cost-Based",Inputs!$Q$19="Cash Grant",AI$2=1),Inputs!$Q$21,IF(Inputs!$G$71="as generated",'Cash Flow'!AI$172,-AI$179))</f>
        <v>0</v>
      </c>
      <c r="AJ65" s="43">
        <f>IF(AND(Inputs!$Q$18="Cost-Based",Inputs!$Q$19="Cash Grant",AJ$2=1),Inputs!$Q$21,IF(Inputs!$G$71="as generated",'Cash Flow'!AJ$172,-AJ$179))</f>
        <v>0</v>
      </c>
    </row>
    <row r="66" spans="2:36" s="30" customFormat="1">
      <c r="B66" s="40" t="s">
        <v>145</v>
      </c>
      <c r="C66" s="40"/>
      <c r="D66" s="40"/>
      <c r="E66" s="335"/>
      <c r="F66" s="41"/>
      <c r="G66" s="44">
        <f>IF(Inputs!$G$73="as generated",'Cash Flow'!G$186,-G$193)</f>
        <v>0</v>
      </c>
      <c r="H66" s="44">
        <f>IF(Inputs!$G$73="as generated",'Cash Flow'!H$186,-H$193)</f>
        <v>0</v>
      </c>
      <c r="I66" s="44">
        <f>IF(Inputs!$G$73="as generated",'Cash Flow'!I$186,-I$193)</f>
        <v>0</v>
      </c>
      <c r="J66" s="44">
        <f>IF(Inputs!$G$73="as generated",'Cash Flow'!J$186,-J$193)</f>
        <v>0</v>
      </c>
      <c r="K66" s="44">
        <f>IF(Inputs!$G$73="as generated",'Cash Flow'!K$186,-K$193)</f>
        <v>0</v>
      </c>
      <c r="L66" s="44">
        <f>IF(Inputs!$G$73="as generated",'Cash Flow'!L$186,-L$193)</f>
        <v>0</v>
      </c>
      <c r="M66" s="44">
        <f>IF(Inputs!$G$73="as generated",'Cash Flow'!M$186,-M$193)</f>
        <v>0</v>
      </c>
      <c r="N66" s="44">
        <f>IF(Inputs!$G$73="as generated",'Cash Flow'!N$186,-N$193)</f>
        <v>0</v>
      </c>
      <c r="O66" s="44">
        <f>IF(Inputs!$G$73="as generated",'Cash Flow'!O$186,-O$193)</f>
        <v>0</v>
      </c>
      <c r="P66" s="44">
        <f>IF(Inputs!$G$73="as generated",'Cash Flow'!P$186,-P$193)</f>
        <v>0</v>
      </c>
      <c r="Q66" s="44">
        <f>IF(Inputs!$G$73="as generated",'Cash Flow'!Q$186,-Q$193)</f>
        <v>0</v>
      </c>
      <c r="R66" s="44">
        <f>IF(Inputs!$G$73="as generated",'Cash Flow'!R$186,-R$193)</f>
        <v>0</v>
      </c>
      <c r="S66" s="44">
        <f>IF(Inputs!$G$73="as generated",'Cash Flow'!S$186,-S$193)</f>
        <v>0</v>
      </c>
      <c r="T66" s="44">
        <f>IF(Inputs!$G$73="as generated",'Cash Flow'!T$186,-T$193)</f>
        <v>0</v>
      </c>
      <c r="U66" s="44">
        <f>IF(Inputs!$G$73="as generated",'Cash Flow'!U$186,-U$193)</f>
        <v>0</v>
      </c>
      <c r="V66" s="44">
        <f>IF(Inputs!$G$73="as generated",'Cash Flow'!V$186,-V$193)</f>
        <v>0</v>
      </c>
      <c r="W66" s="44">
        <f>IF(Inputs!$G$73="as generated",'Cash Flow'!W$186,-W$193)</f>
        <v>0</v>
      </c>
      <c r="X66" s="44">
        <f>IF(Inputs!$G$73="as generated",'Cash Flow'!X$186,-X$193)</f>
        <v>0</v>
      </c>
      <c r="Y66" s="44">
        <f>IF(Inputs!$G$73="as generated",'Cash Flow'!Y$186,-Y$193)</f>
        <v>0</v>
      </c>
      <c r="Z66" s="44">
        <f>IF(Inputs!$G$73="as generated",'Cash Flow'!Z$186,-Z$193)</f>
        <v>0</v>
      </c>
      <c r="AA66" s="44">
        <f>IF(Inputs!$G$73="as generated",'Cash Flow'!AA$186,-AA$193)</f>
        <v>0</v>
      </c>
      <c r="AB66" s="44">
        <f>IF(Inputs!$G$73="as generated",'Cash Flow'!AB$186,-AB$193)</f>
        <v>0</v>
      </c>
      <c r="AC66" s="44">
        <f>IF(Inputs!$G$73="as generated",'Cash Flow'!AC$186,-AC$193)</f>
        <v>0</v>
      </c>
      <c r="AD66" s="44">
        <f>IF(Inputs!$G$73="as generated",'Cash Flow'!AD$186,-AD$193)</f>
        <v>0</v>
      </c>
      <c r="AE66" s="44">
        <f>IF(Inputs!$G$73="as generated",'Cash Flow'!AE$186,-AE$193)</f>
        <v>0</v>
      </c>
      <c r="AF66" s="44">
        <f>IF(Inputs!$G$73="as generated",'Cash Flow'!AF$186,-AF$193)</f>
        <v>0</v>
      </c>
      <c r="AG66" s="44">
        <f>IF(Inputs!$G$73="as generated",'Cash Flow'!AG$186,-AG$193)</f>
        <v>0</v>
      </c>
      <c r="AH66" s="44">
        <f>IF(Inputs!$G$73="as generated",'Cash Flow'!AH$186,-AH$193)</f>
        <v>0</v>
      </c>
      <c r="AI66" s="44">
        <f>IF(Inputs!$G$73="as generated",'Cash Flow'!AI$186,-AI$193)</f>
        <v>0</v>
      </c>
      <c r="AJ66" s="44">
        <f>IF(Inputs!$G$73="as generated",'Cash Flow'!AJ$186,-AJ$193)</f>
        <v>0</v>
      </c>
    </row>
    <row r="67" spans="2:36" s="30" customFormat="1" ht="15.75">
      <c r="B67" s="35" t="s">
        <v>144</v>
      </c>
      <c r="C67" s="35"/>
      <c r="D67" s="35"/>
      <c r="E67" s="54"/>
      <c r="F67" s="46">
        <f t="shared" ref="F67:AJ67" si="20">F54+SUM(F63:F66)</f>
        <v>-12500000</v>
      </c>
      <c r="G67" s="46">
        <f>G54+SUM(G63:G66)</f>
        <v>12265631.825905723</v>
      </c>
      <c r="H67" s="46">
        <f t="shared" si="20"/>
        <v>1330560.8922233626</v>
      </c>
      <c r="I67" s="46">
        <f t="shared" si="20"/>
        <v>775003.05592157785</v>
      </c>
      <c r="J67" s="46">
        <f t="shared" si="20"/>
        <v>427803.58723758056</v>
      </c>
      <c r="K67" s="46">
        <f t="shared" si="20"/>
        <v>393581.89676939882</v>
      </c>
      <c r="L67" s="46">
        <f t="shared" si="20"/>
        <v>122514.98926170124</v>
      </c>
      <c r="M67" s="46">
        <f t="shared" si="20"/>
        <v>-149689.94830504432</v>
      </c>
      <c r="N67" s="46">
        <f t="shared" si="20"/>
        <v>-187551.43862365262</v>
      </c>
      <c r="O67" s="46">
        <f t="shared" si="20"/>
        <v>-226858.83795938781</v>
      </c>
      <c r="P67" s="46">
        <f t="shared" si="20"/>
        <v>-267845.50654416776</v>
      </c>
      <c r="Q67" s="46">
        <f t="shared" si="20"/>
        <v>-310623.74082035461</v>
      </c>
      <c r="R67" s="46">
        <f t="shared" si="20"/>
        <v>-355342.80222669354</v>
      </c>
      <c r="S67" s="46">
        <f t="shared" si="20"/>
        <v>-402104.61017408426</v>
      </c>
      <c r="T67" s="46">
        <f t="shared" si="20"/>
        <v>-451075.71998780983</v>
      </c>
      <c r="U67" s="46">
        <f t="shared" si="20"/>
        <v>-502376.55137069488</v>
      </c>
      <c r="V67" s="46">
        <f t="shared" si="20"/>
        <v>1497469.3263205711</v>
      </c>
      <c r="W67" s="46">
        <f t="shared" si="20"/>
        <v>788717.88733126386</v>
      </c>
      <c r="X67" s="46">
        <f t="shared" si="20"/>
        <v>771040.96109615895</v>
      </c>
      <c r="Y67" s="46">
        <f t="shared" si="20"/>
        <v>753234.54545166844</v>
      </c>
      <c r="Z67" s="46">
        <f t="shared" si="20"/>
        <v>1309411.7711756816</v>
      </c>
      <c r="AA67" s="46">
        <f t="shared" si="20"/>
        <v>2230.3125</v>
      </c>
      <c r="AB67" s="46">
        <f t="shared" si="20"/>
        <v>0</v>
      </c>
      <c r="AC67" s="46">
        <f t="shared" si="20"/>
        <v>0</v>
      </c>
      <c r="AD67" s="46">
        <f t="shared" si="20"/>
        <v>0</v>
      </c>
      <c r="AE67" s="46">
        <f t="shared" si="20"/>
        <v>0</v>
      </c>
      <c r="AF67" s="46">
        <f t="shared" si="20"/>
        <v>0</v>
      </c>
      <c r="AG67" s="46">
        <f t="shared" si="20"/>
        <v>0</v>
      </c>
      <c r="AH67" s="46">
        <f t="shared" si="20"/>
        <v>0</v>
      </c>
      <c r="AI67" s="46">
        <f t="shared" si="20"/>
        <v>0</v>
      </c>
      <c r="AJ67" s="46">
        <f t="shared" si="20"/>
        <v>0</v>
      </c>
    </row>
    <row r="68" spans="2:36" s="30" customFormat="1" ht="15.75">
      <c r="B68" s="56" t="s">
        <v>143</v>
      </c>
      <c r="C68" s="56"/>
      <c r="D68" s="56"/>
      <c r="E68" s="54"/>
      <c r="F68" s="46"/>
      <c r="G68" s="380">
        <f>IF(ISERROR(IRR($F67:G67)),"NA",IRR($F67:G67))</f>
        <v>-1.874945392754214E-2</v>
      </c>
      <c r="H68" s="380">
        <f>IF(ISERROR(IRR($F67:H67)),"NA",IRR($F67:H67))</f>
        <v>7.9826452532454309E-2</v>
      </c>
      <c r="I68" s="380">
        <f>IF(ISERROR(IRR($F67:I67)),"NA",IRR($F67:I67))</f>
        <v>0.12487709969502711</v>
      </c>
      <c r="J68" s="380">
        <f>IF(ISERROR(IRR($F67:J67)),"NA",IRR($F67:J67))</f>
        <v>0.1444328974738025</v>
      </c>
      <c r="K68" s="380">
        <f>IF(ISERROR(IRR($F67:K67)),"NA",IRR($F67:K67))</f>
        <v>0.15875006817526949</v>
      </c>
      <c r="L68" s="380">
        <f>IF(ISERROR(IRR($F67:L67)),"NA",IRR($F67:L67))</f>
        <v>0.16237348196518683</v>
      </c>
      <c r="M68" s="380">
        <f>IF(ISERROR(IRR($F67:M67)),"NA",IRR($F67:M67))</f>
        <v>0.15854917231508087</v>
      </c>
      <c r="N68" s="380">
        <f>IF(ISERROR(IRR($F67:N67)),"NA",IRR($F67:N67))</f>
        <v>0.15422935650551153</v>
      </c>
      <c r="O68" s="380">
        <f>IF(ISERROR(IRR($F67:O67)),"NA",IRR($F67:O67))</f>
        <v>0.14943445510544609</v>
      </c>
      <c r="P68" s="380">
        <f>IF(ISERROR(IRR($F67:P67)),"NA",IRR($F67:P67))</f>
        <v>0.14413077340896241</v>
      </c>
      <c r="Q68" s="380">
        <f>IF(ISERROR(IRR($F67:Q67)),"NA",IRR($F67:Q67))</f>
        <v>0.13822171791392118</v>
      </c>
      <c r="R68" s="380">
        <f>IF(ISERROR(IRR($F67:R67)),"NA",IRR($F67:R67))</f>
        <v>0.13151398482214524</v>
      </c>
      <c r="S68" s="380">
        <f>IF(ISERROR(IRR($F67:S67)),"NA",IRR($F67:S67))</f>
        <v>0.12363281116472125</v>
      </c>
      <c r="T68" s="380">
        <f>IF(ISERROR(IRR($F67:T67)),"NA",IRR($F67:T67))</f>
        <v>0.11376340959850803</v>
      </c>
      <c r="U68" s="380">
        <f>IF(ISERROR(IRR($F67:U67)),"NA",IRR($F67:U67))</f>
        <v>9.9514156730814388E-2</v>
      </c>
      <c r="V68" s="380">
        <f>IF(ISERROR(IRR($F67:V67)),"NA",IRR($F67:V67))</f>
        <v>0.12865441768322278</v>
      </c>
      <c r="W68" s="380">
        <f>IF(ISERROR(IRR($F67:W67)),"NA",IRR($F67:W67))</f>
        <v>0.13665321408003195</v>
      </c>
      <c r="X68" s="380">
        <f>IF(ISERROR(IRR($F67:X67)),"NA",IRR($F67:X67))</f>
        <v>0.14231737642480249</v>
      </c>
      <c r="Y68" s="380">
        <f>IF(ISERROR(IRR($F67:Y67)),"NA",IRR($F67:Y67))</f>
        <v>0.14651693508654215</v>
      </c>
      <c r="Z68" s="380">
        <f>IF(ISERROR(IRR($F67:Z67)),"NA",IRR($F67:Z67))</f>
        <v>0.1520218252936682</v>
      </c>
      <c r="AA68" s="380">
        <f>IF(ISERROR(IRR($F67:AA67)),"NA",IRR($F67:AA67))</f>
        <v>0.15202932846326717</v>
      </c>
      <c r="AB68" s="380">
        <f>IF(ISERROR(IRR($F67:AB67)),"NA",IRR($F67:AB67))</f>
        <v>0.15202932846326717</v>
      </c>
      <c r="AC68" s="380">
        <f>IF(ISERROR(IRR($F67:AC67)),"NA",IRR($F67:AC67))</f>
        <v>0.15202932846326717</v>
      </c>
      <c r="AD68" s="380">
        <f>IF(ISERROR(IRR($F67:AD67)),"NA",IRR($F67:AD67))</f>
        <v>0.15202932846326717</v>
      </c>
      <c r="AE68" s="380">
        <f>IF(ISERROR(IRR($F67:AE67)),"NA",IRR($F67:AE67))</f>
        <v>0.15202932846326717</v>
      </c>
      <c r="AF68" s="380">
        <f>IF(ISERROR(IRR($F67:AF67)),"NA",IRR($F67:AF67))</f>
        <v>0.15202932846326717</v>
      </c>
      <c r="AG68" s="380">
        <f>IF(ISERROR(IRR($F67:AG67)),"NA",IRR($F67:AG67))</f>
        <v>0.15202932846326717</v>
      </c>
      <c r="AH68" s="380">
        <f>IF(ISERROR(IRR($F67:AH67)),"NA",IRR($F67:AH67))</f>
        <v>0.15202932846326717</v>
      </c>
      <c r="AI68" s="380">
        <f>IF(ISERROR(IRR($F67:AI67)),"NA",IRR($F67:AI67))</f>
        <v>0.15202932846326717</v>
      </c>
      <c r="AJ68" s="380">
        <f>IF(ISERROR(IRR($F67:AJ67)),"NA",IRR($F67:AJ67))</f>
        <v>0.15202932846326717</v>
      </c>
    </row>
    <row r="69" spans="2:36" s="30" customFormat="1" ht="16.5" thickBot="1">
      <c r="B69" s="35"/>
      <c r="C69" s="35"/>
      <c r="D69" s="35"/>
      <c r="E69" s="58"/>
      <c r="F69" s="396"/>
      <c r="G69" s="396"/>
      <c r="H69" s="396"/>
      <c r="I69" s="396"/>
      <c r="J69" s="396"/>
      <c r="K69" s="396"/>
      <c r="L69" s="396"/>
      <c r="M69" s="396"/>
      <c r="N69" s="46"/>
      <c r="O69" s="46"/>
      <c r="P69" s="46"/>
      <c r="Q69" s="46"/>
      <c r="R69" s="46"/>
      <c r="S69" s="46"/>
      <c r="T69" s="46"/>
      <c r="U69" s="46"/>
      <c r="V69" s="46"/>
      <c r="W69" s="46"/>
      <c r="X69" s="46"/>
      <c r="Y69" s="46"/>
      <c r="Z69" s="46"/>
      <c r="AA69" s="46"/>
      <c r="AB69" s="46"/>
      <c r="AC69" s="46"/>
      <c r="AD69" s="46"/>
      <c r="AE69" s="46"/>
      <c r="AF69" s="46"/>
      <c r="AG69" s="46"/>
      <c r="AH69" s="46"/>
      <c r="AI69" s="46"/>
      <c r="AJ69" s="46"/>
    </row>
    <row r="70" spans="2:36" s="30" customFormat="1" ht="16.5" thickBot="1">
      <c r="B70" s="783" t="s">
        <v>387</v>
      </c>
      <c r="C70" s="784"/>
      <c r="D70" s="513">
        <f>IRR(F54:AJ54)</f>
        <v>-7.2550688865983537E-3</v>
      </c>
      <c r="F70" s="46"/>
      <c r="G70" s="468" t="s">
        <v>194</v>
      </c>
      <c r="H70" s="477"/>
      <c r="I70" s="477"/>
      <c r="J70" s="478"/>
      <c r="K70" s="477"/>
      <c r="L70" s="46"/>
      <c r="O70" s="46"/>
      <c r="P70" s="46"/>
      <c r="Q70" s="46"/>
      <c r="R70" s="46"/>
      <c r="S70" s="46"/>
      <c r="T70" s="46"/>
      <c r="U70" s="46"/>
      <c r="V70" s="46"/>
      <c r="W70" s="46"/>
      <c r="X70" s="46"/>
      <c r="Y70" s="46"/>
      <c r="Z70" s="46"/>
      <c r="AA70" s="46"/>
      <c r="AB70" s="46"/>
      <c r="AC70" s="46"/>
      <c r="AD70" s="46"/>
      <c r="AE70" s="46"/>
      <c r="AF70" s="46"/>
      <c r="AG70" s="46"/>
      <c r="AH70" s="46"/>
      <c r="AI70" s="46"/>
      <c r="AJ70" s="46"/>
    </row>
    <row r="71" spans="2:36" s="30" customFormat="1" ht="16.5" thickBot="1">
      <c r="B71" s="515" t="s">
        <v>388</v>
      </c>
      <c r="C71" s="516"/>
      <c r="D71" s="513">
        <f>IRR(F67:AJ67)</f>
        <v>0.15202932846326717</v>
      </c>
      <c r="F71" s="46"/>
      <c r="G71" s="470" t="s">
        <v>285</v>
      </c>
      <c r="H71" s="479"/>
      <c r="I71" s="475"/>
      <c r="J71" s="476"/>
      <c r="K71" s="476"/>
      <c r="L71" s="46"/>
      <c r="O71" s="46"/>
      <c r="P71" s="46"/>
      <c r="Q71" s="46"/>
      <c r="R71" s="46"/>
      <c r="S71" s="46"/>
      <c r="T71" s="46"/>
      <c r="U71" s="46"/>
      <c r="V71" s="46"/>
      <c r="W71" s="46"/>
      <c r="X71" s="46"/>
      <c r="Y71" s="46"/>
      <c r="Z71" s="46"/>
      <c r="AA71" s="46"/>
      <c r="AB71" s="46"/>
      <c r="AC71" s="46"/>
      <c r="AD71" s="46"/>
      <c r="AE71" s="46"/>
      <c r="AF71" s="46"/>
      <c r="AG71" s="46"/>
      <c r="AH71" s="46"/>
      <c r="AI71" s="46"/>
      <c r="AJ71" s="46"/>
    </row>
    <row r="72" spans="2:36" s="30" customFormat="1" ht="16.5" thickBot="1">
      <c r="B72" s="785">
        <f>Inputs!$G$58</f>
        <v>0.15</v>
      </c>
      <c r="C72" s="786"/>
      <c r="D72" s="514">
        <f>NPV(Inputs!$G$58,'Cash Flow'!F67:AJ67)</f>
        <v>27001.843065267996</v>
      </c>
      <c r="G72" s="469">
        <f>AVERAGE(R213:S213)</f>
        <v>10.050000000000001</v>
      </c>
      <c r="H72" s="479"/>
      <c r="I72" s="475"/>
      <c r="J72" s="480"/>
      <c r="K72" s="475"/>
    </row>
    <row r="73" spans="2:36" s="30" customFormat="1" ht="16.5" thickBot="1">
      <c r="B73" s="59"/>
      <c r="C73" s="59"/>
      <c r="D73" s="59"/>
      <c r="E73" s="60"/>
      <c r="F73" s="349"/>
      <c r="G73" s="333"/>
      <c r="H73" s="349"/>
      <c r="I73" s="349"/>
      <c r="J73" s="349"/>
      <c r="K73" s="349"/>
      <c r="L73" s="349"/>
      <c r="M73" s="349"/>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row>
    <row r="74" spans="2:36" s="30" customFormat="1" ht="15.75">
      <c r="B74" s="61"/>
      <c r="C74" s="61"/>
      <c r="D74" s="61"/>
      <c r="E74" s="62"/>
      <c r="F74" s="62"/>
      <c r="G74" s="63"/>
      <c r="H74" s="62"/>
      <c r="I74" s="62"/>
      <c r="J74" s="62"/>
      <c r="K74" s="62"/>
      <c r="L74" s="62"/>
      <c r="M74" s="62"/>
      <c r="N74" s="62"/>
      <c r="O74" s="62"/>
      <c r="P74" s="62"/>
      <c r="Q74" s="62"/>
      <c r="R74" s="62"/>
      <c r="S74" s="62"/>
      <c r="T74" s="62"/>
      <c r="U74" s="62"/>
      <c r="V74" s="62"/>
      <c r="W74" s="62"/>
      <c r="X74" s="62"/>
      <c r="Y74" s="62"/>
      <c r="Z74" s="62"/>
      <c r="AA74" s="62"/>
      <c r="AB74" s="62"/>
      <c r="AC74" s="62"/>
      <c r="AD74" s="62"/>
      <c r="AE74" s="62"/>
      <c r="AF74" s="62"/>
      <c r="AG74" s="62"/>
      <c r="AH74" s="62"/>
      <c r="AI74" s="62"/>
      <c r="AJ74" s="62"/>
    </row>
    <row r="75" spans="2:36" s="30" customFormat="1">
      <c r="B75" s="64" t="s">
        <v>76</v>
      </c>
      <c r="C75" s="64"/>
      <c r="D75" s="64"/>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row>
    <row r="76" spans="2:36" s="30" customFormat="1" ht="15.75" thickBot="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row>
    <row r="77" spans="2:36" s="30" customFormat="1" ht="15.75">
      <c r="B77" s="261"/>
      <c r="C77" s="261"/>
      <c r="D77" s="261"/>
      <c r="E77" s="261"/>
      <c r="F77" s="276"/>
      <c r="G77" s="286"/>
      <c r="H77" s="287"/>
      <c r="I77" s="261"/>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1"/>
    </row>
    <row r="78" spans="2:36" s="30" customFormat="1" ht="15.75">
      <c r="B78" s="260" t="s">
        <v>84</v>
      </c>
      <c r="C78" s="260"/>
      <c r="D78" s="260"/>
      <c r="E78" s="261"/>
      <c r="F78" s="261"/>
      <c r="G78" s="261"/>
      <c r="H78" s="261"/>
      <c r="I78" s="261"/>
      <c r="J78" s="261"/>
      <c r="K78" s="261"/>
      <c r="L78" s="261"/>
      <c r="M78" s="261"/>
      <c r="N78" s="261"/>
      <c r="O78" s="261"/>
      <c r="P78" s="261"/>
      <c r="Q78" s="261"/>
      <c r="R78" s="261"/>
      <c r="S78" s="261"/>
      <c r="T78" s="261"/>
      <c r="U78" s="261"/>
      <c r="V78" s="261"/>
      <c r="W78" s="261"/>
      <c r="X78" s="261"/>
      <c r="Y78" s="261"/>
      <c r="Z78" s="261"/>
      <c r="AA78" s="261"/>
      <c r="AB78" s="261"/>
      <c r="AC78" s="261"/>
      <c r="AD78" s="261"/>
      <c r="AE78" s="261"/>
      <c r="AF78" s="261"/>
      <c r="AG78" s="261"/>
      <c r="AH78" s="261"/>
      <c r="AI78" s="261"/>
      <c r="AJ78" s="261"/>
    </row>
    <row r="79" spans="2:36" s="30" customFormat="1" ht="15.75">
      <c r="B79" s="288" t="s">
        <v>86</v>
      </c>
      <c r="C79" s="288"/>
      <c r="D79" s="288"/>
      <c r="E79" s="289"/>
      <c r="F79" s="290"/>
      <c r="G79" s="291"/>
      <c r="H79" s="291"/>
      <c r="I79" s="291"/>
      <c r="J79" s="291"/>
      <c r="K79" s="291"/>
      <c r="L79" s="291"/>
      <c r="M79" s="291"/>
      <c r="N79" s="291"/>
      <c r="O79" s="291"/>
      <c r="P79" s="291"/>
      <c r="Q79" s="291"/>
      <c r="R79" s="291"/>
      <c r="S79" s="291"/>
      <c r="T79" s="291"/>
      <c r="U79" s="291"/>
      <c r="V79" s="291"/>
      <c r="W79" s="291"/>
      <c r="X79" s="291"/>
      <c r="Y79" s="291"/>
      <c r="Z79" s="291"/>
      <c r="AA79" s="291"/>
      <c r="AB79" s="291"/>
      <c r="AC79" s="291"/>
      <c r="AD79" s="291"/>
      <c r="AE79" s="291"/>
      <c r="AF79" s="291"/>
      <c r="AG79" s="291"/>
      <c r="AH79" s="291"/>
      <c r="AI79" s="291"/>
      <c r="AJ79" s="291"/>
    </row>
    <row r="80" spans="2:36" s="30" customFormat="1">
      <c r="B80" s="289" t="s">
        <v>87</v>
      </c>
      <c r="C80" s="289"/>
      <c r="D80" s="289"/>
      <c r="E80" s="289"/>
      <c r="F80" s="290">
        <f>IF(Inputs!$G$14="Simple",Inputs!$G$22-Inputs!$G$65,IF(Inputs!$G$14="Intermediate",SUM(Inputs!G16:G19)-Inputs!G65,'Complex Inputs'!C26+'Complex Inputs'!C51+'Complex Inputs'!C76+'Complex Inputs'!C101))</f>
        <v>25000000</v>
      </c>
      <c r="G80" s="291"/>
      <c r="H80" s="291"/>
      <c r="I80" s="291"/>
      <c r="J80" s="291"/>
      <c r="K80" s="291"/>
      <c r="L80" s="291"/>
      <c r="M80" s="291"/>
      <c r="N80" s="291"/>
      <c r="O80" s="291"/>
      <c r="P80" s="291"/>
      <c r="Q80" s="291"/>
      <c r="R80" s="291"/>
      <c r="S80" s="291"/>
      <c r="T80" s="291"/>
      <c r="U80" s="291"/>
      <c r="V80" s="291"/>
      <c r="W80" s="291"/>
      <c r="X80" s="291"/>
      <c r="Y80" s="291"/>
      <c r="Z80" s="291"/>
      <c r="AA80" s="291"/>
      <c r="AB80" s="291"/>
      <c r="AC80" s="291"/>
      <c r="AD80" s="291"/>
      <c r="AE80" s="291"/>
      <c r="AF80" s="291"/>
      <c r="AG80" s="291"/>
      <c r="AH80" s="291"/>
      <c r="AI80" s="291"/>
      <c r="AJ80" s="291"/>
    </row>
    <row r="81" spans="2:36" s="30" customFormat="1">
      <c r="B81" s="289" t="s">
        <v>88</v>
      </c>
      <c r="C81" s="289"/>
      <c r="D81" s="289"/>
      <c r="E81" s="289"/>
      <c r="F81" s="292">
        <f>Inputs!$G$47</f>
        <v>0.5</v>
      </c>
      <c r="G81" s="291"/>
      <c r="H81" s="291"/>
      <c r="I81" s="291"/>
      <c r="J81" s="291"/>
      <c r="K81" s="291"/>
      <c r="L81" s="291"/>
      <c r="M81" s="291"/>
      <c r="N81" s="291"/>
      <c r="O81" s="291"/>
      <c r="P81" s="291"/>
      <c r="Q81" s="291"/>
      <c r="R81" s="291"/>
      <c r="S81" s="291"/>
      <c r="T81" s="291"/>
      <c r="U81" s="291"/>
      <c r="V81" s="291"/>
      <c r="W81" s="291"/>
      <c r="X81" s="291"/>
      <c r="Y81" s="291"/>
      <c r="Z81" s="291"/>
      <c r="AA81" s="291"/>
      <c r="AB81" s="291"/>
      <c r="AC81" s="291"/>
      <c r="AD81" s="291"/>
      <c r="AE81" s="291"/>
      <c r="AF81" s="291"/>
      <c r="AG81" s="291"/>
      <c r="AH81" s="291"/>
      <c r="AI81" s="291"/>
      <c r="AJ81" s="291"/>
    </row>
    <row r="82" spans="2:36" s="30" customFormat="1">
      <c r="B82" s="289" t="s">
        <v>85</v>
      </c>
      <c r="C82" s="289"/>
      <c r="D82" s="289"/>
      <c r="E82" s="289"/>
      <c r="F82" s="293">
        <f>F80*F81</f>
        <v>12500000</v>
      </c>
      <c r="G82" s="291"/>
      <c r="H82" s="291"/>
      <c r="I82" s="291"/>
      <c r="J82" s="291"/>
      <c r="K82" s="291"/>
      <c r="L82" s="291"/>
      <c r="M82" s="291"/>
      <c r="N82" s="291"/>
      <c r="O82" s="291"/>
      <c r="P82" s="291"/>
      <c r="Q82" s="291"/>
      <c r="R82" s="291"/>
      <c r="S82" s="291"/>
      <c r="T82" s="291"/>
      <c r="U82" s="291"/>
      <c r="V82" s="291"/>
      <c r="W82" s="291"/>
      <c r="X82" s="291"/>
      <c r="Y82" s="291"/>
      <c r="Z82" s="291"/>
      <c r="AA82" s="291"/>
      <c r="AB82" s="291"/>
      <c r="AC82" s="291"/>
      <c r="AD82" s="291"/>
      <c r="AE82" s="291"/>
      <c r="AF82" s="291"/>
      <c r="AG82" s="291"/>
      <c r="AH82" s="291"/>
      <c r="AI82" s="291"/>
      <c r="AJ82" s="291"/>
    </row>
    <row r="83" spans="2:36" s="30" customFormat="1">
      <c r="B83" s="294"/>
      <c r="C83" s="294"/>
      <c r="D83" s="294"/>
      <c r="E83" s="294"/>
      <c r="F83" s="295"/>
      <c r="G83" s="291"/>
      <c r="H83" s="291"/>
      <c r="I83" s="291"/>
      <c r="J83" s="291"/>
      <c r="K83" s="291"/>
      <c r="L83" s="291"/>
      <c r="M83" s="291"/>
      <c r="N83" s="291"/>
      <c r="O83" s="291"/>
      <c r="P83" s="291"/>
      <c r="Q83" s="291"/>
      <c r="R83" s="291"/>
      <c r="S83" s="291"/>
      <c r="T83" s="291"/>
      <c r="U83" s="291"/>
      <c r="V83" s="291"/>
      <c r="W83" s="291"/>
      <c r="X83" s="291"/>
      <c r="Y83" s="291"/>
      <c r="Z83" s="291"/>
      <c r="AA83" s="291"/>
      <c r="AB83" s="291"/>
      <c r="AC83" s="291"/>
      <c r="AD83" s="291"/>
      <c r="AE83" s="291"/>
      <c r="AF83" s="291"/>
      <c r="AG83" s="291"/>
      <c r="AH83" s="291"/>
      <c r="AI83" s="291"/>
      <c r="AJ83" s="291"/>
    </row>
    <row r="84" spans="2:36" s="30" customFormat="1" ht="15.75">
      <c r="B84" s="288" t="s">
        <v>123</v>
      </c>
      <c r="C84" s="288"/>
      <c r="D84" s="288"/>
      <c r="E84" s="288"/>
      <c r="F84" s="295"/>
      <c r="G84" s="291"/>
      <c r="H84" s="291"/>
      <c r="I84" s="291"/>
      <c r="J84" s="291"/>
      <c r="K84" s="291"/>
      <c r="L84" s="291"/>
      <c r="M84" s="291"/>
      <c r="N84" s="291"/>
      <c r="O84" s="291"/>
      <c r="P84" s="291"/>
      <c r="Q84" s="291"/>
      <c r="R84" s="291"/>
      <c r="S84" s="291"/>
      <c r="T84" s="291"/>
      <c r="U84" s="291"/>
      <c r="V84" s="291"/>
      <c r="W84" s="291"/>
      <c r="X84" s="291"/>
      <c r="Y84" s="291"/>
      <c r="Z84" s="291"/>
      <c r="AA84" s="291"/>
      <c r="AB84" s="291"/>
      <c r="AC84" s="291"/>
      <c r="AD84" s="291"/>
      <c r="AE84" s="291"/>
      <c r="AF84" s="291"/>
      <c r="AG84" s="291"/>
      <c r="AH84" s="291"/>
      <c r="AI84" s="291"/>
      <c r="AJ84" s="291"/>
    </row>
    <row r="85" spans="2:36" s="30" customFormat="1" ht="15.75">
      <c r="B85" s="296" t="s">
        <v>94</v>
      </c>
      <c r="C85" s="296"/>
      <c r="D85" s="296"/>
      <c r="E85" s="296"/>
      <c r="F85" s="297">
        <v>0</v>
      </c>
      <c r="G85" s="298">
        <f>SUM(G86:G87)</f>
        <v>-1372432.8087625816</v>
      </c>
      <c r="H85" s="298">
        <f t="shared" ref="H85:AJ85" si="21">SUM(H86:H87)</f>
        <v>-1372432.8087625816</v>
      </c>
      <c r="I85" s="298">
        <f t="shared" si="21"/>
        <v>-1372432.8087625816</v>
      </c>
      <c r="J85" s="298">
        <f t="shared" si="21"/>
        <v>-1372432.8087625816</v>
      </c>
      <c r="K85" s="298">
        <f t="shared" si="21"/>
        <v>-1372432.8087625816</v>
      </c>
      <c r="L85" s="298">
        <f t="shared" si="21"/>
        <v>-1372432.8087625816</v>
      </c>
      <c r="M85" s="298">
        <f t="shared" si="21"/>
        <v>-1372432.8087625816</v>
      </c>
      <c r="N85" s="298">
        <f t="shared" si="21"/>
        <v>-1372432.8087625816</v>
      </c>
      <c r="O85" s="298">
        <f t="shared" si="21"/>
        <v>-1372432.8087625816</v>
      </c>
      <c r="P85" s="298">
        <f t="shared" si="21"/>
        <v>-1372432.8087625816</v>
      </c>
      <c r="Q85" s="298">
        <f t="shared" si="21"/>
        <v>-1372432.8087625816</v>
      </c>
      <c r="R85" s="298">
        <f t="shared" si="21"/>
        <v>-1372432.8087625816</v>
      </c>
      <c r="S85" s="298">
        <f t="shared" si="21"/>
        <v>-1372432.8087625816</v>
      </c>
      <c r="T85" s="298">
        <f t="shared" si="21"/>
        <v>-1372432.8087625816</v>
      </c>
      <c r="U85" s="298">
        <f t="shared" si="21"/>
        <v>-1372432.8087625816</v>
      </c>
      <c r="V85" s="298">
        <f t="shared" si="21"/>
        <v>0</v>
      </c>
      <c r="W85" s="298">
        <f t="shared" si="21"/>
        <v>0</v>
      </c>
      <c r="X85" s="298">
        <f t="shared" si="21"/>
        <v>0</v>
      </c>
      <c r="Y85" s="298">
        <f t="shared" si="21"/>
        <v>0</v>
      </c>
      <c r="Z85" s="298">
        <f t="shared" si="21"/>
        <v>0</v>
      </c>
      <c r="AA85" s="298">
        <f t="shared" si="21"/>
        <v>0</v>
      </c>
      <c r="AB85" s="298">
        <f t="shared" si="21"/>
        <v>0</v>
      </c>
      <c r="AC85" s="298">
        <f t="shared" si="21"/>
        <v>0</v>
      </c>
      <c r="AD85" s="298">
        <f t="shared" si="21"/>
        <v>0</v>
      </c>
      <c r="AE85" s="298">
        <f t="shared" si="21"/>
        <v>0</v>
      </c>
      <c r="AF85" s="298">
        <f t="shared" si="21"/>
        <v>0</v>
      </c>
      <c r="AG85" s="298">
        <f t="shared" si="21"/>
        <v>0</v>
      </c>
      <c r="AH85" s="298">
        <f t="shared" si="21"/>
        <v>0</v>
      </c>
      <c r="AI85" s="298">
        <f t="shared" si="21"/>
        <v>0</v>
      </c>
      <c r="AJ85" s="298">
        <f t="shared" si="21"/>
        <v>0</v>
      </c>
    </row>
    <row r="86" spans="2:36" s="39" customFormat="1" ht="15.75">
      <c r="B86" s="299" t="s">
        <v>92</v>
      </c>
      <c r="C86" s="299"/>
      <c r="D86" s="299"/>
      <c r="E86" s="299"/>
      <c r="F86" s="297">
        <v>0</v>
      </c>
      <c r="G86" s="298">
        <f>IF(G$2&gt;Inputs!$G$48,0,IPMT(Inputs!$G$49,G$2,Inputs!$G$48,$F$82))</f>
        <v>-875000.00000000012</v>
      </c>
      <c r="H86" s="298">
        <f>IF(H$2&gt;Inputs!$G$48,0,IPMT(Inputs!$G$49,H$2,Inputs!$G$48,$F$82))</f>
        <v>-840179.70338661934</v>
      </c>
      <c r="I86" s="298">
        <f>IF(I$2&gt;Inputs!$G$48,0,IPMT(Inputs!$G$49,I$2,Inputs!$G$48,$F$82))</f>
        <v>-802921.98601030197</v>
      </c>
      <c r="J86" s="298">
        <f>IF(J$2&gt;Inputs!$G$48,0,IPMT(Inputs!$G$49,J$2,Inputs!$G$48,$F$82))</f>
        <v>-763056.22841764253</v>
      </c>
      <c r="K86" s="298">
        <f>IF(K$2&gt;Inputs!$G$48,0,IPMT(Inputs!$G$49,K$2,Inputs!$G$48,$F$82))</f>
        <v>-720399.8677934967</v>
      </c>
      <c r="L86" s="298">
        <f>IF(L$2&gt;Inputs!$G$48,0,IPMT(Inputs!$G$49,L$2,Inputs!$G$48,$F$82))</f>
        <v>-674757.5619256607</v>
      </c>
      <c r="M86" s="298">
        <f>IF(M$2&gt;Inputs!$G$48,0,IPMT(Inputs!$G$49,M$2,Inputs!$G$48,$F$82))</f>
        <v>-625920.2946470764</v>
      </c>
      <c r="N86" s="298">
        <f>IF(N$2&gt;Inputs!$G$48,0,IPMT(Inputs!$G$49,N$2,Inputs!$G$48,$F$82))</f>
        <v>-573664.41865899076</v>
      </c>
      <c r="O86" s="298">
        <f>IF(O$2&gt;Inputs!$G$48,0,IPMT(Inputs!$G$49,O$2,Inputs!$G$48,$F$82))</f>
        <v>-517750.63135173963</v>
      </c>
      <c r="P86" s="298">
        <f>IF(P$2&gt;Inputs!$G$48,0,IPMT(Inputs!$G$49,P$2,Inputs!$G$48,$F$82))</f>
        <v>-457922.87893298035</v>
      </c>
      <c r="Q86" s="298">
        <f>IF(Q$2&gt;Inputs!$G$48,0,IPMT(Inputs!$G$49,Q$2,Inputs!$G$48,$F$82))</f>
        <v>-393907.18384490826</v>
      </c>
      <c r="R86" s="298">
        <f>IF(R$2&gt;Inputs!$G$48,0,IPMT(Inputs!$G$49,R$2,Inputs!$G$48,$F$82))</f>
        <v>-325410.39010067127</v>
      </c>
      <c r="S86" s="298">
        <f>IF(S$2&gt;Inputs!$G$48,0,IPMT(Inputs!$G$49,S$2,Inputs!$G$48,$F$82))</f>
        <v>-252118.82079433775</v>
      </c>
      <c r="T86" s="298">
        <f>IF(T$2&gt;Inputs!$G$48,0,IPMT(Inputs!$G$49,T$2,Inputs!$G$48,$F$82))</f>
        <v>-173696.84163656042</v>
      </c>
      <c r="U86" s="298">
        <f>IF(U$2&gt;Inputs!$G$48,0,IPMT(Inputs!$G$49,U$2,Inputs!$G$48,$F$82))</f>
        <v>-89785.323937739071</v>
      </c>
      <c r="V86" s="298">
        <f>IF(V$2&gt;Inputs!$G$48,0,IPMT(Inputs!$G$49,V$2,Inputs!$G$48,$F$82))</f>
        <v>0</v>
      </c>
      <c r="W86" s="298">
        <f>IF(W$2&gt;Inputs!$G$48,0,IPMT(Inputs!$G$49,W$2,Inputs!$G$48,$F$82))</f>
        <v>0</v>
      </c>
      <c r="X86" s="298">
        <f>IF(X$2&gt;Inputs!$G$48,0,IPMT(Inputs!$G$49,X$2,Inputs!$G$48,$F$82))</f>
        <v>0</v>
      </c>
      <c r="Y86" s="298">
        <f>IF(Y$2&gt;Inputs!$G$48,0,IPMT(Inputs!$G$49,Y$2,Inputs!$G$48,$F$82))</f>
        <v>0</v>
      </c>
      <c r="Z86" s="298">
        <f>IF(Z$2&gt;Inputs!$G$48,0,IPMT(Inputs!$G$49,Z$2,Inputs!$G$48,$F$82))</f>
        <v>0</v>
      </c>
      <c r="AA86" s="298">
        <f>IF(AA$2&gt;Inputs!$G$48,0,IPMT(Inputs!$G$49,AA$2,Inputs!$G$48,$F$82))</f>
        <v>0</v>
      </c>
      <c r="AB86" s="298">
        <f>IF(AB$2&gt;Inputs!$G$48,0,IPMT(Inputs!$G$49,AB$2,Inputs!$G$48,$F$82))</f>
        <v>0</v>
      </c>
      <c r="AC86" s="298">
        <f>IF(AC$2&gt;Inputs!$G$48,0,IPMT(Inputs!$G$49,AC$2,Inputs!$G$48,$F$82))</f>
        <v>0</v>
      </c>
      <c r="AD86" s="298">
        <f>IF(AD$2&gt;Inputs!$G$48,0,IPMT(Inputs!$G$49,AD$2,Inputs!$G$48,$F$82))</f>
        <v>0</v>
      </c>
      <c r="AE86" s="298">
        <f>IF(AE$2&gt;Inputs!$G$48,0,IPMT(Inputs!$G$49,AE$2,Inputs!$G$48,$F$82))</f>
        <v>0</v>
      </c>
      <c r="AF86" s="298">
        <f>IF(AF$2&gt;Inputs!$G$48,0,IPMT(Inputs!$G$49,AF$2,Inputs!$G$48,$F$82))</f>
        <v>0</v>
      </c>
      <c r="AG86" s="298">
        <f>IF(AG$2&gt;Inputs!$G$48,0,IPMT(Inputs!$G$49,AG$2,Inputs!$G$48,$F$82))</f>
        <v>0</v>
      </c>
      <c r="AH86" s="298">
        <f>IF(AH$2&gt;Inputs!$G$48,0,IPMT(Inputs!$G$49,AH$2,Inputs!$G$48,$F$82))</f>
        <v>0</v>
      </c>
      <c r="AI86" s="298">
        <f>IF(AI$2&gt;Inputs!$G$48,0,IPMT(Inputs!$G$49,AI$2,Inputs!$G$48,$F$82))</f>
        <v>0</v>
      </c>
      <c r="AJ86" s="298">
        <f>IF(AJ$2&gt;Inputs!$G$48,0,IPMT(Inputs!$G$49,AJ$2,Inputs!$G$48,$F$82))</f>
        <v>0</v>
      </c>
    </row>
    <row r="87" spans="2:36" s="30" customFormat="1">
      <c r="B87" s="296" t="s">
        <v>93</v>
      </c>
      <c r="C87" s="296"/>
      <c r="D87" s="296"/>
      <c r="E87" s="296"/>
      <c r="F87" s="300">
        <f>MIN(MAX(0,F85-F86),F$90)</f>
        <v>0</v>
      </c>
      <c r="G87" s="298">
        <f>IF(G$2&gt;Inputs!$G$48,0,PPMT(Inputs!$G$49,G$2,Inputs!$G$48,$F$82))</f>
        <v>-497432.80876258144</v>
      </c>
      <c r="H87" s="298">
        <f>IF(H$2&gt;Inputs!$G$48,0,PPMT(Inputs!$G$49,H$2,Inputs!$G$48,$F$82))</f>
        <v>-532253.10537596222</v>
      </c>
      <c r="I87" s="298">
        <f>IF(I$2&gt;Inputs!$G$48,0,PPMT(Inputs!$G$49,I$2,Inputs!$G$48,$F$82))</f>
        <v>-569510.82275227958</v>
      </c>
      <c r="J87" s="298">
        <f>IF(J$2&gt;Inputs!$G$48,0,PPMT(Inputs!$G$49,J$2,Inputs!$G$48,$F$82))</f>
        <v>-609376.58034493902</v>
      </c>
      <c r="K87" s="298">
        <f>IF(K$2&gt;Inputs!$G$48,0,PPMT(Inputs!$G$49,K$2,Inputs!$G$48,$F$82))</f>
        <v>-652032.94096908486</v>
      </c>
      <c r="L87" s="298">
        <f>IF(L$2&gt;Inputs!$G$48,0,PPMT(Inputs!$G$49,L$2,Inputs!$G$48,$F$82))</f>
        <v>-697675.24683692085</v>
      </c>
      <c r="M87" s="298">
        <f>IF(M$2&gt;Inputs!$G$48,0,PPMT(Inputs!$G$49,M$2,Inputs!$G$48,$F$82))</f>
        <v>-746512.51411550515</v>
      </c>
      <c r="N87" s="298">
        <f>IF(N$2&gt;Inputs!$G$48,0,PPMT(Inputs!$G$49,N$2,Inputs!$G$48,$F$82))</f>
        <v>-798768.39010359079</v>
      </c>
      <c r="O87" s="298">
        <f>IF(O$2&gt;Inputs!$G$48,0,PPMT(Inputs!$G$49,O$2,Inputs!$G$48,$F$82))</f>
        <v>-854682.17741084192</v>
      </c>
      <c r="P87" s="298">
        <f>IF(P$2&gt;Inputs!$G$48,0,PPMT(Inputs!$G$49,P$2,Inputs!$G$48,$F$82))</f>
        <v>-914509.9298296012</v>
      </c>
      <c r="Q87" s="298">
        <f>IF(Q$2&gt;Inputs!$G$48,0,PPMT(Inputs!$G$49,Q$2,Inputs!$G$48,$F$82))</f>
        <v>-978525.6249176733</v>
      </c>
      <c r="R87" s="298">
        <f>IF(R$2&gt;Inputs!$G$48,0,PPMT(Inputs!$G$49,R$2,Inputs!$G$48,$F$82))</f>
        <v>-1047022.4186619103</v>
      </c>
      <c r="S87" s="298">
        <f>IF(S$2&gt;Inputs!$G$48,0,PPMT(Inputs!$G$49,S$2,Inputs!$G$48,$F$82))</f>
        <v>-1120313.9879682439</v>
      </c>
      <c r="T87" s="298">
        <f>IF(T$2&gt;Inputs!$G$48,0,PPMT(Inputs!$G$49,T$2,Inputs!$G$48,$F$82))</f>
        <v>-1198735.9671260212</v>
      </c>
      <c r="U87" s="298">
        <f>IF(U$2&gt;Inputs!$G$48,0,PPMT(Inputs!$G$49,U$2,Inputs!$G$48,$F$82))</f>
        <v>-1282647.4848248425</v>
      </c>
      <c r="V87" s="298">
        <f>IF(V$2&gt;Inputs!$G$48,0,PPMT(Inputs!$G$49,V$2,Inputs!$G$48,$F$82))</f>
        <v>0</v>
      </c>
      <c r="W87" s="298">
        <f>IF(W$2&gt;Inputs!$G$48,0,PPMT(Inputs!$G$49,W$2,Inputs!$G$48,$F$82))</f>
        <v>0</v>
      </c>
      <c r="X87" s="298">
        <f>IF(X$2&gt;Inputs!$G$48,0,PPMT(Inputs!$G$49,X$2,Inputs!$G$48,$F$82))</f>
        <v>0</v>
      </c>
      <c r="Y87" s="298">
        <f>IF(Y$2&gt;Inputs!$G$48,0,PPMT(Inputs!$G$49,Y$2,Inputs!$G$48,$F$82))</f>
        <v>0</v>
      </c>
      <c r="Z87" s="298">
        <f>IF(Z$2&gt;Inputs!$G$48,0,PPMT(Inputs!$G$49,Z$2,Inputs!$G$48,$F$82))</f>
        <v>0</v>
      </c>
      <c r="AA87" s="298">
        <f>IF(AA$2&gt;Inputs!$G$48,0,PPMT(Inputs!$G$49,AA$2,Inputs!$G$48,$F$82))</f>
        <v>0</v>
      </c>
      <c r="AB87" s="298">
        <f>IF(AB$2&gt;Inputs!$G$48,0,PPMT(Inputs!$G$49,AB$2,Inputs!$G$48,$F$82))</f>
        <v>0</v>
      </c>
      <c r="AC87" s="298">
        <f>IF(AC$2&gt;Inputs!$G$48,0,PPMT(Inputs!$G$49,AC$2,Inputs!$G$48,$F$82))</f>
        <v>0</v>
      </c>
      <c r="AD87" s="298">
        <f>IF(AD$2&gt;Inputs!$G$48,0,PPMT(Inputs!$G$49,AD$2,Inputs!$G$48,$F$82))</f>
        <v>0</v>
      </c>
      <c r="AE87" s="298">
        <f>IF(AE$2&gt;Inputs!$G$48,0,PPMT(Inputs!$G$49,AE$2,Inputs!$G$48,$F$82))</f>
        <v>0</v>
      </c>
      <c r="AF87" s="298">
        <f>IF(AF$2&gt;Inputs!$G$48,0,PPMT(Inputs!$G$49,AF$2,Inputs!$G$48,$F$82))</f>
        <v>0</v>
      </c>
      <c r="AG87" s="298">
        <f>IF(AG$2&gt;Inputs!$G$48,0,PPMT(Inputs!$G$49,AG$2,Inputs!$G$48,$F$82))</f>
        <v>0</v>
      </c>
      <c r="AH87" s="298">
        <f>IF(AH$2&gt;Inputs!$G$48,0,PPMT(Inputs!$G$49,AH$2,Inputs!$G$48,$F$82))</f>
        <v>0</v>
      </c>
      <c r="AI87" s="298">
        <f>IF(AI$2&gt;Inputs!$G$48,0,PPMT(Inputs!$G$49,AI$2,Inputs!$G$48,$F$82))</f>
        <v>0</v>
      </c>
      <c r="AJ87" s="298">
        <f>IF(AJ$2&gt;Inputs!$G$48,0,PPMT(Inputs!$G$49,AJ$2,Inputs!$G$48,$F$82))</f>
        <v>0</v>
      </c>
    </row>
    <row r="88" spans="2:36" s="30" customFormat="1" ht="15.75">
      <c r="B88" s="288"/>
      <c r="C88" s="288"/>
      <c r="D88" s="288"/>
      <c r="E88" s="288"/>
      <c r="F88" s="295"/>
      <c r="G88" s="291"/>
      <c r="H88" s="291"/>
      <c r="I88" s="291"/>
      <c r="J88" s="291"/>
      <c r="K88" s="291"/>
      <c r="L88" s="291"/>
      <c r="M88" s="291"/>
      <c r="N88" s="291"/>
      <c r="O88" s="291"/>
      <c r="P88" s="291"/>
      <c r="Q88" s="291"/>
      <c r="R88" s="291"/>
      <c r="S88" s="291"/>
      <c r="T88" s="291"/>
      <c r="U88" s="291"/>
      <c r="V88" s="291"/>
      <c r="W88" s="291"/>
      <c r="X88" s="291"/>
      <c r="Y88" s="291"/>
      <c r="Z88" s="291"/>
      <c r="AA88" s="291"/>
      <c r="AB88" s="291"/>
      <c r="AC88" s="291"/>
      <c r="AD88" s="291"/>
      <c r="AE88" s="291"/>
      <c r="AF88" s="291"/>
      <c r="AG88" s="291"/>
      <c r="AH88" s="291"/>
      <c r="AI88" s="291"/>
      <c r="AJ88" s="291"/>
    </row>
    <row r="89" spans="2:36" s="30" customFormat="1" ht="15.75">
      <c r="B89" s="288" t="s">
        <v>122</v>
      </c>
      <c r="C89" s="288"/>
      <c r="D89" s="288"/>
      <c r="E89" s="289"/>
      <c r="F89" s="301"/>
      <c r="G89" s="301"/>
      <c r="H89" s="301"/>
      <c r="I89" s="301"/>
      <c r="J89" s="301"/>
      <c r="K89" s="301"/>
      <c r="L89" s="301"/>
      <c r="M89" s="301"/>
      <c r="N89" s="301"/>
      <c r="O89" s="301"/>
      <c r="P89" s="301"/>
      <c r="Q89" s="301"/>
      <c r="R89" s="301"/>
      <c r="S89" s="301"/>
      <c r="T89" s="301"/>
      <c r="U89" s="301"/>
      <c r="V89" s="301"/>
      <c r="W89" s="301"/>
      <c r="X89" s="301"/>
      <c r="Y89" s="301"/>
      <c r="Z89" s="301"/>
      <c r="AA89" s="301"/>
      <c r="AB89" s="301"/>
      <c r="AC89" s="301"/>
      <c r="AD89" s="301"/>
      <c r="AE89" s="301"/>
      <c r="AF89" s="301"/>
      <c r="AG89" s="301"/>
      <c r="AH89" s="301"/>
      <c r="AI89" s="301"/>
      <c r="AJ89" s="301"/>
    </row>
    <row r="90" spans="2:36" s="30" customFormat="1" ht="15.75">
      <c r="B90" s="296" t="s">
        <v>89</v>
      </c>
      <c r="C90" s="296"/>
      <c r="D90" s="296"/>
      <c r="E90" s="296"/>
      <c r="F90" s="302">
        <v>0</v>
      </c>
      <c r="G90" s="300">
        <f t="shared" ref="G90:AJ90" si="22">F93</f>
        <v>12500000</v>
      </c>
      <c r="H90" s="300">
        <f t="shared" si="22"/>
        <v>12002567.191237418</v>
      </c>
      <c r="I90" s="300">
        <f t="shared" si="22"/>
        <v>11470314.085861456</v>
      </c>
      <c r="J90" s="300">
        <f t="shared" si="22"/>
        <v>10900803.263109175</v>
      </c>
      <c r="K90" s="300">
        <f t="shared" si="22"/>
        <v>10291426.682764236</v>
      </c>
      <c r="L90" s="300">
        <f t="shared" si="22"/>
        <v>9639393.7417951506</v>
      </c>
      <c r="M90" s="300">
        <f t="shared" si="22"/>
        <v>8941718.4949582294</v>
      </c>
      <c r="N90" s="300">
        <f t="shared" si="22"/>
        <v>8195205.9808427244</v>
      </c>
      <c r="O90" s="300">
        <f t="shared" si="22"/>
        <v>7396437.5907391338</v>
      </c>
      <c r="P90" s="300">
        <f t="shared" si="22"/>
        <v>6541755.4133282918</v>
      </c>
      <c r="Q90" s="300">
        <f t="shared" si="22"/>
        <v>5627245.4834986906</v>
      </c>
      <c r="R90" s="300">
        <f t="shared" si="22"/>
        <v>4648719.8585810177</v>
      </c>
      <c r="S90" s="300">
        <f t="shared" si="22"/>
        <v>3601697.4399191076</v>
      </c>
      <c r="T90" s="300">
        <f t="shared" si="22"/>
        <v>2481383.4519508639</v>
      </c>
      <c r="U90" s="300">
        <f t="shared" si="22"/>
        <v>1282647.4848248428</v>
      </c>
      <c r="V90" s="300">
        <f t="shared" si="22"/>
        <v>0</v>
      </c>
      <c r="W90" s="300">
        <f t="shared" si="22"/>
        <v>0</v>
      </c>
      <c r="X90" s="300">
        <f t="shared" si="22"/>
        <v>0</v>
      </c>
      <c r="Y90" s="300">
        <f t="shared" si="22"/>
        <v>0</v>
      </c>
      <c r="Z90" s="300">
        <f t="shared" si="22"/>
        <v>0</v>
      </c>
      <c r="AA90" s="300">
        <f t="shared" si="22"/>
        <v>0</v>
      </c>
      <c r="AB90" s="300">
        <f t="shared" si="22"/>
        <v>0</v>
      </c>
      <c r="AC90" s="300">
        <f t="shared" si="22"/>
        <v>0</v>
      </c>
      <c r="AD90" s="300">
        <f t="shared" si="22"/>
        <v>0</v>
      </c>
      <c r="AE90" s="300">
        <f t="shared" si="22"/>
        <v>0</v>
      </c>
      <c r="AF90" s="300">
        <f t="shared" si="22"/>
        <v>0</v>
      </c>
      <c r="AG90" s="300">
        <f t="shared" si="22"/>
        <v>0</v>
      </c>
      <c r="AH90" s="300">
        <f t="shared" si="22"/>
        <v>0</v>
      </c>
      <c r="AI90" s="300">
        <f t="shared" si="22"/>
        <v>0</v>
      </c>
      <c r="AJ90" s="300">
        <f t="shared" si="22"/>
        <v>0</v>
      </c>
    </row>
    <row r="91" spans="2:36" s="30" customFormat="1" ht="15.75">
      <c r="B91" s="296" t="s">
        <v>90</v>
      </c>
      <c r="C91" s="296"/>
      <c r="D91" s="296"/>
      <c r="E91" s="296"/>
      <c r="F91" s="300">
        <f>$F$82</f>
        <v>12500000</v>
      </c>
      <c r="G91" s="302">
        <v>0</v>
      </c>
      <c r="H91" s="302">
        <v>0</v>
      </c>
      <c r="I91" s="302">
        <v>0</v>
      </c>
      <c r="J91" s="302">
        <v>0</v>
      </c>
      <c r="K91" s="302">
        <v>0</v>
      </c>
      <c r="L91" s="302">
        <v>0</v>
      </c>
      <c r="M91" s="302">
        <v>0</v>
      </c>
      <c r="N91" s="302">
        <v>0</v>
      </c>
      <c r="O91" s="302">
        <v>0</v>
      </c>
      <c r="P91" s="302">
        <v>0</v>
      </c>
      <c r="Q91" s="302">
        <v>0</v>
      </c>
      <c r="R91" s="302">
        <v>0</v>
      </c>
      <c r="S91" s="302">
        <v>0</v>
      </c>
      <c r="T91" s="302">
        <v>0</v>
      </c>
      <c r="U91" s="302">
        <v>0</v>
      </c>
      <c r="V91" s="302">
        <v>0</v>
      </c>
      <c r="W91" s="302">
        <v>0</v>
      </c>
      <c r="X91" s="302">
        <v>0</v>
      </c>
      <c r="Y91" s="302">
        <v>0</v>
      </c>
      <c r="Z91" s="302">
        <v>0</v>
      </c>
      <c r="AA91" s="302">
        <v>0</v>
      </c>
      <c r="AB91" s="302">
        <v>0</v>
      </c>
      <c r="AC91" s="302">
        <v>0</v>
      </c>
      <c r="AD91" s="302">
        <v>0</v>
      </c>
      <c r="AE91" s="302">
        <v>0</v>
      </c>
      <c r="AF91" s="302">
        <v>0</v>
      </c>
      <c r="AG91" s="302">
        <v>0</v>
      </c>
      <c r="AH91" s="302">
        <v>0</v>
      </c>
      <c r="AI91" s="302">
        <v>0</v>
      </c>
      <c r="AJ91" s="302">
        <v>0</v>
      </c>
    </row>
    <row r="92" spans="2:36" s="30" customFormat="1" ht="15.75">
      <c r="B92" s="296" t="s">
        <v>121</v>
      </c>
      <c r="C92" s="296"/>
      <c r="D92" s="296"/>
      <c r="E92" s="296"/>
      <c r="F92" s="303">
        <v>0</v>
      </c>
      <c r="G92" s="304">
        <f t="shared" ref="G92:AJ92" si="23">G87</f>
        <v>-497432.80876258144</v>
      </c>
      <c r="H92" s="304">
        <f t="shared" si="23"/>
        <v>-532253.10537596222</v>
      </c>
      <c r="I92" s="304">
        <f t="shared" si="23"/>
        <v>-569510.82275227958</v>
      </c>
      <c r="J92" s="304">
        <f t="shared" si="23"/>
        <v>-609376.58034493902</v>
      </c>
      <c r="K92" s="304">
        <f t="shared" si="23"/>
        <v>-652032.94096908486</v>
      </c>
      <c r="L92" s="304">
        <f t="shared" si="23"/>
        <v>-697675.24683692085</v>
      </c>
      <c r="M92" s="304">
        <f t="shared" si="23"/>
        <v>-746512.51411550515</v>
      </c>
      <c r="N92" s="304">
        <f t="shared" si="23"/>
        <v>-798768.39010359079</v>
      </c>
      <c r="O92" s="304">
        <f t="shared" si="23"/>
        <v>-854682.17741084192</v>
      </c>
      <c r="P92" s="304">
        <f t="shared" si="23"/>
        <v>-914509.9298296012</v>
      </c>
      <c r="Q92" s="304">
        <f t="shared" si="23"/>
        <v>-978525.6249176733</v>
      </c>
      <c r="R92" s="304">
        <f t="shared" si="23"/>
        <v>-1047022.4186619103</v>
      </c>
      <c r="S92" s="304">
        <f t="shared" si="23"/>
        <v>-1120313.9879682439</v>
      </c>
      <c r="T92" s="304">
        <f t="shared" si="23"/>
        <v>-1198735.9671260212</v>
      </c>
      <c r="U92" s="304">
        <f t="shared" si="23"/>
        <v>-1282647.4848248425</v>
      </c>
      <c r="V92" s="304">
        <f t="shared" si="23"/>
        <v>0</v>
      </c>
      <c r="W92" s="304">
        <f t="shared" si="23"/>
        <v>0</v>
      </c>
      <c r="X92" s="304">
        <f t="shared" si="23"/>
        <v>0</v>
      </c>
      <c r="Y92" s="304">
        <f t="shared" si="23"/>
        <v>0</v>
      </c>
      <c r="Z92" s="304">
        <f t="shared" si="23"/>
        <v>0</v>
      </c>
      <c r="AA92" s="304">
        <f t="shared" si="23"/>
        <v>0</v>
      </c>
      <c r="AB92" s="304">
        <f t="shared" si="23"/>
        <v>0</v>
      </c>
      <c r="AC92" s="304">
        <f t="shared" si="23"/>
        <v>0</v>
      </c>
      <c r="AD92" s="304">
        <f t="shared" si="23"/>
        <v>0</v>
      </c>
      <c r="AE92" s="304">
        <f t="shared" si="23"/>
        <v>0</v>
      </c>
      <c r="AF92" s="304">
        <f t="shared" si="23"/>
        <v>0</v>
      </c>
      <c r="AG92" s="304">
        <f t="shared" si="23"/>
        <v>0</v>
      </c>
      <c r="AH92" s="304">
        <f t="shared" si="23"/>
        <v>0</v>
      </c>
      <c r="AI92" s="304">
        <f t="shared" si="23"/>
        <v>0</v>
      </c>
      <c r="AJ92" s="304">
        <f t="shared" si="23"/>
        <v>0</v>
      </c>
    </row>
    <row r="93" spans="2:36" s="30" customFormat="1">
      <c r="B93" s="296" t="s">
        <v>91</v>
      </c>
      <c r="C93" s="296"/>
      <c r="D93" s="296"/>
      <c r="E93" s="296"/>
      <c r="F93" s="300">
        <f t="shared" ref="F93:AJ93" si="24">SUM(F90:F92)</f>
        <v>12500000</v>
      </c>
      <c r="G93" s="300">
        <f t="shared" si="24"/>
        <v>12002567.191237418</v>
      </c>
      <c r="H93" s="300">
        <f t="shared" si="24"/>
        <v>11470314.085861456</v>
      </c>
      <c r="I93" s="300">
        <f t="shared" si="24"/>
        <v>10900803.263109175</v>
      </c>
      <c r="J93" s="300">
        <f t="shared" si="24"/>
        <v>10291426.682764236</v>
      </c>
      <c r="K93" s="300">
        <f t="shared" si="24"/>
        <v>9639393.7417951506</v>
      </c>
      <c r="L93" s="300">
        <f t="shared" si="24"/>
        <v>8941718.4949582294</v>
      </c>
      <c r="M93" s="300">
        <f t="shared" si="24"/>
        <v>8195205.9808427244</v>
      </c>
      <c r="N93" s="300">
        <f t="shared" si="24"/>
        <v>7396437.5907391338</v>
      </c>
      <c r="O93" s="300">
        <f t="shared" si="24"/>
        <v>6541755.4133282918</v>
      </c>
      <c r="P93" s="300">
        <f t="shared" si="24"/>
        <v>5627245.4834986906</v>
      </c>
      <c r="Q93" s="300">
        <f t="shared" si="24"/>
        <v>4648719.8585810177</v>
      </c>
      <c r="R93" s="300">
        <f t="shared" si="24"/>
        <v>3601697.4399191076</v>
      </c>
      <c r="S93" s="300">
        <f t="shared" si="24"/>
        <v>2481383.4519508639</v>
      </c>
      <c r="T93" s="300">
        <f t="shared" si="24"/>
        <v>1282647.4848248428</v>
      </c>
      <c r="U93" s="300">
        <f t="shared" si="24"/>
        <v>0</v>
      </c>
      <c r="V93" s="300">
        <f t="shared" si="24"/>
        <v>0</v>
      </c>
      <c r="W93" s="300">
        <f t="shared" si="24"/>
        <v>0</v>
      </c>
      <c r="X93" s="300">
        <f t="shared" si="24"/>
        <v>0</v>
      </c>
      <c r="Y93" s="300">
        <f t="shared" si="24"/>
        <v>0</v>
      </c>
      <c r="Z93" s="300">
        <f t="shared" si="24"/>
        <v>0</v>
      </c>
      <c r="AA93" s="300">
        <f t="shared" si="24"/>
        <v>0</v>
      </c>
      <c r="AB93" s="300">
        <f t="shared" si="24"/>
        <v>0</v>
      </c>
      <c r="AC93" s="300">
        <f t="shared" si="24"/>
        <v>0</v>
      </c>
      <c r="AD93" s="300">
        <f t="shared" si="24"/>
        <v>0</v>
      </c>
      <c r="AE93" s="300">
        <f t="shared" si="24"/>
        <v>0</v>
      </c>
      <c r="AF93" s="300">
        <f t="shared" si="24"/>
        <v>0</v>
      </c>
      <c r="AG93" s="300">
        <f t="shared" si="24"/>
        <v>0</v>
      </c>
      <c r="AH93" s="300">
        <f t="shared" si="24"/>
        <v>0</v>
      </c>
      <c r="AI93" s="300">
        <f t="shared" si="24"/>
        <v>0</v>
      </c>
      <c r="AJ93" s="300">
        <f t="shared" si="24"/>
        <v>0</v>
      </c>
    </row>
    <row r="94" spans="2:36" s="30" customFormat="1" ht="15.75" thickBot="1">
      <c r="B94" s="283"/>
      <c r="C94" s="283"/>
      <c r="D94" s="283"/>
      <c r="E94" s="283"/>
      <c r="F94" s="283"/>
      <c r="G94" s="283"/>
      <c r="H94" s="283"/>
      <c r="I94" s="283"/>
      <c r="J94" s="283"/>
      <c r="K94" s="283"/>
      <c r="L94" s="283"/>
      <c r="M94" s="283"/>
      <c r="N94" s="283"/>
      <c r="O94" s="283"/>
      <c r="P94" s="283"/>
      <c r="Q94" s="283"/>
      <c r="R94" s="283"/>
      <c r="S94" s="283"/>
      <c r="T94" s="283"/>
      <c r="U94" s="283"/>
      <c r="V94" s="283"/>
      <c r="W94" s="283"/>
      <c r="X94" s="283"/>
      <c r="Y94" s="283"/>
      <c r="Z94" s="283"/>
      <c r="AA94" s="283"/>
      <c r="AB94" s="283"/>
      <c r="AC94" s="283"/>
      <c r="AD94" s="283"/>
      <c r="AE94" s="283"/>
      <c r="AF94" s="283"/>
      <c r="AG94" s="283"/>
      <c r="AH94" s="283"/>
      <c r="AI94" s="283"/>
      <c r="AJ94" s="283"/>
    </row>
    <row r="95" spans="2:36">
      <c r="B95" s="305"/>
      <c r="C95" s="305"/>
      <c r="D95" s="305"/>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row>
    <row r="96" spans="2:36" s="30" customFormat="1" ht="15.75">
      <c r="B96" s="260" t="s">
        <v>152</v>
      </c>
      <c r="C96" s="782" t="s">
        <v>366</v>
      </c>
      <c r="D96" s="782"/>
      <c r="E96" s="782"/>
      <c r="F96" s="261"/>
      <c r="G96" s="261"/>
      <c r="H96" s="261"/>
      <c r="I96" s="261"/>
      <c r="J96" s="261"/>
      <c r="K96" s="261"/>
      <c r="L96" s="261"/>
      <c r="M96" s="261"/>
      <c r="N96" s="261"/>
      <c r="O96" s="261"/>
      <c r="P96" s="261"/>
      <c r="Q96" s="261"/>
      <c r="R96" s="261"/>
      <c r="S96" s="261"/>
      <c r="T96" s="261"/>
      <c r="U96" s="261"/>
      <c r="V96" s="261"/>
      <c r="W96" s="261"/>
      <c r="X96" s="261"/>
      <c r="Y96" s="261"/>
      <c r="Z96" s="261"/>
      <c r="AA96" s="261"/>
      <c r="AB96" s="261"/>
      <c r="AC96" s="261"/>
      <c r="AD96" s="261"/>
      <c r="AE96" s="261"/>
      <c r="AF96" s="261"/>
      <c r="AG96" s="261"/>
      <c r="AH96" s="261"/>
      <c r="AI96" s="261"/>
      <c r="AJ96" s="261"/>
    </row>
    <row r="97" spans="2:36" s="30" customFormat="1">
      <c r="B97" s="261" t="s">
        <v>127</v>
      </c>
      <c r="C97" s="262" t="s">
        <v>367</v>
      </c>
      <c r="D97" s="262" t="s">
        <v>368</v>
      </c>
      <c r="E97" s="262" t="s">
        <v>369</v>
      </c>
      <c r="F97" s="262">
        <v>0</v>
      </c>
      <c r="G97" s="262">
        <v>1</v>
      </c>
      <c r="H97" s="262">
        <v>2</v>
      </c>
      <c r="I97" s="262">
        <v>3</v>
      </c>
      <c r="J97" s="262">
        <v>4</v>
      </c>
      <c r="K97" s="262">
        <v>5</v>
      </c>
      <c r="L97" s="262">
        <v>6</v>
      </c>
      <c r="M97" s="262">
        <v>7</v>
      </c>
      <c r="N97" s="262">
        <v>8</v>
      </c>
      <c r="O97" s="262">
        <v>9</v>
      </c>
      <c r="P97" s="262">
        <v>10</v>
      </c>
      <c r="Q97" s="262">
        <v>11</v>
      </c>
      <c r="R97" s="262">
        <v>12</v>
      </c>
      <c r="S97" s="262">
        <v>13</v>
      </c>
      <c r="T97" s="262">
        <v>14</v>
      </c>
      <c r="U97" s="262">
        <v>15</v>
      </c>
      <c r="V97" s="262">
        <v>16</v>
      </c>
      <c r="W97" s="262">
        <v>17</v>
      </c>
      <c r="X97" s="262">
        <v>18</v>
      </c>
      <c r="Y97" s="262">
        <v>19</v>
      </c>
      <c r="Z97" s="262">
        <v>20</v>
      </c>
      <c r="AA97" s="262">
        <v>21</v>
      </c>
      <c r="AB97" s="262">
        <v>22</v>
      </c>
      <c r="AC97" s="262">
        <v>23</v>
      </c>
      <c r="AD97" s="262">
        <v>24</v>
      </c>
      <c r="AE97" s="262">
        <v>25</v>
      </c>
      <c r="AF97" s="262">
        <v>26</v>
      </c>
      <c r="AG97" s="262">
        <v>27</v>
      </c>
      <c r="AH97" s="262">
        <v>28</v>
      </c>
      <c r="AI97" s="262">
        <v>29</v>
      </c>
      <c r="AJ97" s="262">
        <v>30</v>
      </c>
    </row>
    <row r="98" spans="2:36" s="30" customFormat="1" ht="15.75">
      <c r="B98" s="263" t="s">
        <v>128</v>
      </c>
      <c r="C98" s="264" t="s">
        <v>370</v>
      </c>
      <c r="D98" s="264" t="s">
        <v>136</v>
      </c>
      <c r="E98" s="264" t="s">
        <v>370</v>
      </c>
      <c r="F98" s="261"/>
      <c r="G98" s="261"/>
      <c r="H98" s="261"/>
      <c r="I98" s="261"/>
      <c r="J98" s="261"/>
      <c r="K98" s="261"/>
      <c r="L98" s="261"/>
      <c r="M98" s="261"/>
      <c r="N98" s="261"/>
      <c r="O98" s="261"/>
      <c r="P98" s="261"/>
      <c r="Q98" s="261"/>
      <c r="R98" s="261"/>
      <c r="S98" s="261"/>
      <c r="T98" s="261"/>
      <c r="U98" s="261"/>
      <c r="V98" s="261"/>
      <c r="W98" s="261"/>
      <c r="X98" s="261"/>
      <c r="Y98" s="261"/>
      <c r="Z98" s="261"/>
      <c r="AA98" s="261"/>
      <c r="AB98" s="261"/>
      <c r="AC98" s="261"/>
      <c r="AD98" s="261"/>
      <c r="AE98" s="261"/>
      <c r="AF98" s="261"/>
      <c r="AG98" s="261"/>
      <c r="AH98" s="261"/>
      <c r="AI98" s="261"/>
      <c r="AJ98" s="261"/>
    </row>
    <row r="99" spans="2:36" s="30" customFormat="1" ht="15.75">
      <c r="B99" s="261" t="s">
        <v>77</v>
      </c>
      <c r="C99" s="265">
        <f>IF(Inputs!$G$14="Simple",Inputs!$G$22*Inputs!$P$73,IF(Inputs!$G$14="Intermediate",SUMPRODUCT(Inputs!$G$16:$G$20,Inputs!$P$74:$P$78),'Complex Inputs'!$F$121))</f>
        <v>23500000</v>
      </c>
      <c r="D99" s="518">
        <f t="shared" ref="D99:D106" si="25">C99/$C$110</f>
        <v>0.94</v>
      </c>
      <c r="E99" s="265">
        <f>($C$110-$C$112)*IF(Inputs!$P$69="No",1,(1-Inputs!$P$70))*D99</f>
        <v>10093250</v>
      </c>
      <c r="F99" s="266"/>
      <c r="G99" s="267">
        <v>0.2</v>
      </c>
      <c r="H99" s="267">
        <v>0.32</v>
      </c>
      <c r="I99" s="267">
        <v>0.192</v>
      </c>
      <c r="J99" s="267">
        <v>0.1152</v>
      </c>
      <c r="K99" s="267">
        <v>0.1152</v>
      </c>
      <c r="L99" s="267">
        <v>5.7599999999999998E-2</v>
      </c>
      <c r="M99" s="267">
        <v>0</v>
      </c>
      <c r="N99" s="267">
        <v>0</v>
      </c>
      <c r="O99" s="267">
        <v>0</v>
      </c>
      <c r="P99" s="267">
        <v>0</v>
      </c>
      <c r="Q99" s="267">
        <v>0</v>
      </c>
      <c r="R99" s="267">
        <v>0</v>
      </c>
      <c r="S99" s="267">
        <v>0</v>
      </c>
      <c r="T99" s="267">
        <v>0</v>
      </c>
      <c r="U99" s="267">
        <v>0</v>
      </c>
      <c r="V99" s="267">
        <v>0</v>
      </c>
      <c r="W99" s="267">
        <v>0</v>
      </c>
      <c r="X99" s="267">
        <v>0</v>
      </c>
      <c r="Y99" s="267">
        <v>0</v>
      </c>
      <c r="Z99" s="267">
        <v>0</v>
      </c>
      <c r="AA99" s="267">
        <v>0</v>
      </c>
      <c r="AB99" s="267">
        <v>0</v>
      </c>
      <c r="AC99" s="267">
        <v>0</v>
      </c>
      <c r="AD99" s="267">
        <v>0</v>
      </c>
      <c r="AE99" s="267">
        <v>0</v>
      </c>
      <c r="AF99" s="267">
        <v>0</v>
      </c>
      <c r="AG99" s="267">
        <v>0</v>
      </c>
      <c r="AH99" s="267">
        <v>0</v>
      </c>
      <c r="AI99" s="267">
        <v>0</v>
      </c>
      <c r="AJ99" s="267">
        <v>0</v>
      </c>
    </row>
    <row r="100" spans="2:36" s="30" customFormat="1" ht="15.75">
      <c r="B100" s="261" t="s">
        <v>129</v>
      </c>
      <c r="C100" s="265">
        <f>IF(Inputs!$G$14="Simple",Inputs!$G$22*Inputs!$Q$73,IF(Inputs!$G$14="Intermediate",SUMPRODUCT(Inputs!$G$16:$G$20,Inputs!$Q$74:$Q$78),'Complex Inputs'!$G$121))</f>
        <v>0</v>
      </c>
      <c r="D100" s="518">
        <f t="shared" si="25"/>
        <v>0</v>
      </c>
      <c r="E100" s="265">
        <f>($C$110-$C$112)*IF(Inputs!$P$69="No",1,(1-Inputs!$P$70))*D100</f>
        <v>0</v>
      </c>
      <c r="F100" s="261"/>
      <c r="G100" s="267">
        <v>0.1429</v>
      </c>
      <c r="H100" s="267">
        <v>0.24490000000000001</v>
      </c>
      <c r="I100" s="267">
        <v>0.1749</v>
      </c>
      <c r="J100" s="267">
        <v>0.1249</v>
      </c>
      <c r="K100" s="267">
        <v>8.9300000000000004E-2</v>
      </c>
      <c r="L100" s="267">
        <v>8.9200000000000002E-2</v>
      </c>
      <c r="M100" s="267">
        <v>8.9300000000000004E-2</v>
      </c>
      <c r="N100" s="267">
        <v>4.4600000000000001E-2</v>
      </c>
      <c r="O100" s="267">
        <v>0</v>
      </c>
      <c r="P100" s="267">
        <v>0</v>
      </c>
      <c r="Q100" s="267">
        <v>0</v>
      </c>
      <c r="R100" s="267">
        <v>0</v>
      </c>
      <c r="S100" s="267">
        <v>0</v>
      </c>
      <c r="T100" s="267">
        <v>0</v>
      </c>
      <c r="U100" s="267">
        <v>0</v>
      </c>
      <c r="V100" s="267">
        <v>0</v>
      </c>
      <c r="W100" s="267">
        <v>0</v>
      </c>
      <c r="X100" s="267">
        <v>0</v>
      </c>
      <c r="Y100" s="267">
        <v>0</v>
      </c>
      <c r="Z100" s="267">
        <v>0</v>
      </c>
      <c r="AA100" s="267">
        <v>0</v>
      </c>
      <c r="AB100" s="267">
        <v>0</v>
      </c>
      <c r="AC100" s="267">
        <v>0</v>
      </c>
      <c r="AD100" s="267">
        <v>0</v>
      </c>
      <c r="AE100" s="267">
        <v>0</v>
      </c>
      <c r="AF100" s="267">
        <v>0</v>
      </c>
      <c r="AG100" s="267">
        <v>0</v>
      </c>
      <c r="AH100" s="267">
        <v>0</v>
      </c>
      <c r="AI100" s="267">
        <v>0</v>
      </c>
      <c r="AJ100" s="267">
        <v>0</v>
      </c>
    </row>
    <row r="101" spans="2:36" s="30" customFormat="1" ht="15.75">
      <c r="B101" s="261" t="s">
        <v>78</v>
      </c>
      <c r="C101" s="265">
        <f>IF(Inputs!$G$14="Simple",Inputs!$G$22*Inputs!$R$73,IF(Inputs!$G$14="Intermediate",SUMPRODUCT(Inputs!$G$16:$G$20,Inputs!$R$74:$R$78),'Complex Inputs'!$H$121))</f>
        <v>375000</v>
      </c>
      <c r="D101" s="518">
        <f t="shared" si="25"/>
        <v>1.4999999999999999E-2</v>
      </c>
      <c r="E101" s="265">
        <f>($C$110-$C$112)*IF(Inputs!$P$69="No",1,(1-Inputs!$P$70))*D101</f>
        <v>161062.5</v>
      </c>
      <c r="F101" s="261"/>
      <c r="G101" s="267">
        <v>0.05</v>
      </c>
      <c r="H101" s="267">
        <v>9.5000000000000001E-2</v>
      </c>
      <c r="I101" s="267">
        <v>8.5500000000000007E-2</v>
      </c>
      <c r="J101" s="267">
        <v>7.6999999999999999E-2</v>
      </c>
      <c r="K101" s="267">
        <v>6.93E-2</v>
      </c>
      <c r="L101" s="267">
        <v>6.2300000000000001E-2</v>
      </c>
      <c r="M101" s="267">
        <v>5.8999999999999997E-2</v>
      </c>
      <c r="N101" s="267">
        <v>5.8999999999999997E-2</v>
      </c>
      <c r="O101" s="267">
        <v>5.91E-2</v>
      </c>
      <c r="P101" s="267">
        <v>5.8999999999999997E-2</v>
      </c>
      <c r="Q101" s="267">
        <v>5.91E-2</v>
      </c>
      <c r="R101" s="267">
        <v>5.8999999999999997E-2</v>
      </c>
      <c r="S101" s="267">
        <v>5.91E-2</v>
      </c>
      <c r="T101" s="267">
        <v>5.8999999999999997E-2</v>
      </c>
      <c r="U101" s="267">
        <v>5.91E-2</v>
      </c>
      <c r="V101" s="267">
        <v>2.9499999999999998E-2</v>
      </c>
      <c r="W101" s="267">
        <v>0</v>
      </c>
      <c r="X101" s="267">
        <v>0</v>
      </c>
      <c r="Y101" s="267">
        <v>0</v>
      </c>
      <c r="Z101" s="267">
        <v>0</v>
      </c>
      <c r="AA101" s="267">
        <v>0</v>
      </c>
      <c r="AB101" s="267">
        <v>0</v>
      </c>
      <c r="AC101" s="267">
        <v>0</v>
      </c>
      <c r="AD101" s="267">
        <v>0</v>
      </c>
      <c r="AE101" s="267">
        <v>0</v>
      </c>
      <c r="AF101" s="267">
        <v>0</v>
      </c>
      <c r="AG101" s="267">
        <v>0</v>
      </c>
      <c r="AH101" s="267">
        <v>0</v>
      </c>
      <c r="AI101" s="267">
        <v>0</v>
      </c>
      <c r="AJ101" s="267">
        <v>0</v>
      </c>
    </row>
    <row r="102" spans="2:36" s="30" customFormat="1" ht="15.75">
      <c r="B102" s="261" t="s">
        <v>79</v>
      </c>
      <c r="C102" s="265">
        <f>IF(Inputs!$G$14="Simple",Inputs!$G$22*Inputs!$U$73,IF(Inputs!$G$14="Intermediate",SUMPRODUCT(Inputs!$G$16:$G$20,Inputs!$U$74:$U$78),'Complex Inputs'!$I$121))</f>
        <v>250000</v>
      </c>
      <c r="D102" s="518">
        <f t="shared" si="25"/>
        <v>0.01</v>
      </c>
      <c r="E102" s="265">
        <f>($C$110-$C$112)*IF(Inputs!$P$69="No",1,(1-Inputs!$P$70))*D102</f>
        <v>107375</v>
      </c>
      <c r="F102" s="261"/>
      <c r="G102" s="267">
        <v>3.7499999999999999E-2</v>
      </c>
      <c r="H102" s="267">
        <v>7.2190000000000004E-2</v>
      </c>
      <c r="I102" s="267">
        <v>6.6769999999999996E-2</v>
      </c>
      <c r="J102" s="267">
        <v>6.1769999999999999E-2</v>
      </c>
      <c r="K102" s="267">
        <v>5.713E-2</v>
      </c>
      <c r="L102" s="267">
        <v>5.2850000000000001E-2</v>
      </c>
      <c r="M102" s="267">
        <v>4.888E-2</v>
      </c>
      <c r="N102" s="267">
        <v>4.5220000000000003E-2</v>
      </c>
      <c r="O102" s="267">
        <v>4.462E-2</v>
      </c>
      <c r="P102" s="267">
        <v>4.4609999999999997E-2</v>
      </c>
      <c r="Q102" s="267">
        <v>4.462E-2</v>
      </c>
      <c r="R102" s="267">
        <v>4.4609999999999997E-2</v>
      </c>
      <c r="S102" s="267">
        <v>4.462E-2</v>
      </c>
      <c r="T102" s="267">
        <v>4.4609999999999997E-2</v>
      </c>
      <c r="U102" s="267">
        <v>4.462E-2</v>
      </c>
      <c r="V102" s="267">
        <v>4.4609999999999997E-2</v>
      </c>
      <c r="W102" s="267">
        <v>4.462E-2</v>
      </c>
      <c r="X102" s="267">
        <v>4.4609999999999997E-2</v>
      </c>
      <c r="Y102" s="267">
        <v>4.462E-2</v>
      </c>
      <c r="Z102" s="267">
        <v>4.4609999999999997E-2</v>
      </c>
      <c r="AA102" s="267">
        <v>2.231E-2</v>
      </c>
      <c r="AB102" s="267">
        <v>0</v>
      </c>
      <c r="AC102" s="267">
        <v>0</v>
      </c>
      <c r="AD102" s="267">
        <v>0</v>
      </c>
      <c r="AE102" s="267">
        <v>0</v>
      </c>
      <c r="AF102" s="267">
        <v>0</v>
      </c>
      <c r="AG102" s="267">
        <v>0</v>
      </c>
      <c r="AH102" s="267">
        <v>0</v>
      </c>
      <c r="AI102" s="267">
        <v>0</v>
      </c>
      <c r="AJ102" s="267">
        <v>0</v>
      </c>
    </row>
    <row r="103" spans="2:36" s="30" customFormat="1" ht="15.75">
      <c r="B103" s="261" t="s">
        <v>130</v>
      </c>
      <c r="C103" s="265">
        <f>IF(Inputs!$G$14="Simple",Inputs!$G$22*Inputs!$V$73,IF(Inputs!$G$14="Intermediate",SUMPRODUCT(Inputs!$G$16:$G$20,Inputs!$V$74:$V$78),'Complex Inputs'!$J$121))</f>
        <v>0</v>
      </c>
      <c r="D103" s="518">
        <f t="shared" si="25"/>
        <v>0</v>
      </c>
      <c r="E103" s="265">
        <f>($C$110-$C$112)*IF(Inputs!$P$69="No",1,(1-Inputs!$P$70))*D103</f>
        <v>0</v>
      </c>
      <c r="F103" s="261"/>
      <c r="G103" s="267">
        <v>0.1</v>
      </c>
      <c r="H103" s="267">
        <v>0.2</v>
      </c>
      <c r="I103" s="267">
        <v>0.2</v>
      </c>
      <c r="J103" s="267">
        <v>0.2</v>
      </c>
      <c r="K103" s="267">
        <v>0.2</v>
      </c>
      <c r="L103" s="267">
        <v>0.1</v>
      </c>
      <c r="M103" s="267">
        <f t="shared" ref="M103:AJ103" si="26">IF(M$97&lt;=5, 1/5,0)</f>
        <v>0</v>
      </c>
      <c r="N103" s="267">
        <f t="shared" si="26"/>
        <v>0</v>
      </c>
      <c r="O103" s="267">
        <f t="shared" si="26"/>
        <v>0</v>
      </c>
      <c r="P103" s="267">
        <f t="shared" si="26"/>
        <v>0</v>
      </c>
      <c r="Q103" s="267">
        <f t="shared" si="26"/>
        <v>0</v>
      </c>
      <c r="R103" s="267">
        <f t="shared" si="26"/>
        <v>0</v>
      </c>
      <c r="S103" s="267">
        <f t="shared" si="26"/>
        <v>0</v>
      </c>
      <c r="T103" s="267">
        <f t="shared" si="26"/>
        <v>0</v>
      </c>
      <c r="U103" s="267">
        <f t="shared" si="26"/>
        <v>0</v>
      </c>
      <c r="V103" s="267">
        <f t="shared" si="26"/>
        <v>0</v>
      </c>
      <c r="W103" s="267">
        <f t="shared" si="26"/>
        <v>0</v>
      </c>
      <c r="X103" s="267">
        <f t="shared" si="26"/>
        <v>0</v>
      </c>
      <c r="Y103" s="267">
        <f t="shared" si="26"/>
        <v>0</v>
      </c>
      <c r="Z103" s="267">
        <f t="shared" si="26"/>
        <v>0</v>
      </c>
      <c r="AA103" s="267">
        <f t="shared" si="26"/>
        <v>0</v>
      </c>
      <c r="AB103" s="267">
        <f t="shared" si="26"/>
        <v>0</v>
      </c>
      <c r="AC103" s="267">
        <f t="shared" si="26"/>
        <v>0</v>
      </c>
      <c r="AD103" s="267">
        <f t="shared" si="26"/>
        <v>0</v>
      </c>
      <c r="AE103" s="267">
        <f t="shared" si="26"/>
        <v>0</v>
      </c>
      <c r="AF103" s="267">
        <f t="shared" si="26"/>
        <v>0</v>
      </c>
      <c r="AG103" s="267">
        <f t="shared" si="26"/>
        <v>0</v>
      </c>
      <c r="AH103" s="267">
        <f t="shared" si="26"/>
        <v>0</v>
      </c>
      <c r="AI103" s="267">
        <f t="shared" si="26"/>
        <v>0</v>
      </c>
      <c r="AJ103" s="267">
        <f t="shared" si="26"/>
        <v>0</v>
      </c>
    </row>
    <row r="104" spans="2:36" s="30" customFormat="1" ht="15.75">
      <c r="B104" s="261" t="s">
        <v>131</v>
      </c>
      <c r="C104" s="265">
        <f>IF(Inputs!$G$14="Simple",Inputs!$G$22*Inputs!$W$73,IF(Inputs!$G$14="Intermediate",SUMPRODUCT(Inputs!$G$16:$G$20,Inputs!$W$74:$W$78),'Complex Inputs'!$K$121))</f>
        <v>0</v>
      </c>
      <c r="D104" s="518">
        <f t="shared" si="25"/>
        <v>0</v>
      </c>
      <c r="E104" s="265">
        <f>($C$110-$C$112)*IF(Inputs!$P$69="No",1,(1-Inputs!$P$70))*D104</f>
        <v>0</v>
      </c>
      <c r="F104" s="261"/>
      <c r="G104" s="267">
        <v>3.3300000000000003E-2</v>
      </c>
      <c r="H104" s="267">
        <v>6.6699999999999995E-2</v>
      </c>
      <c r="I104" s="267">
        <v>6.6699999999999995E-2</v>
      </c>
      <c r="J104" s="267">
        <v>6.6699999999999995E-2</v>
      </c>
      <c r="K104" s="267">
        <v>6.6699999999999995E-2</v>
      </c>
      <c r="L104" s="267">
        <v>6.6699999999999995E-2</v>
      </c>
      <c r="M104" s="267">
        <v>6.6699999999999995E-2</v>
      </c>
      <c r="N104" s="267">
        <v>6.6699999999999995E-2</v>
      </c>
      <c r="O104" s="267">
        <v>6.6699999999999995E-2</v>
      </c>
      <c r="P104" s="267">
        <v>6.6699999999999995E-2</v>
      </c>
      <c r="Q104" s="267">
        <v>6.6699999999999995E-2</v>
      </c>
      <c r="R104" s="267">
        <v>6.6600000000000006E-2</v>
      </c>
      <c r="S104" s="267">
        <v>6.6600000000000006E-2</v>
      </c>
      <c r="T104" s="267">
        <v>6.6600000000000006E-2</v>
      </c>
      <c r="U104" s="267">
        <v>6.6600000000000006E-2</v>
      </c>
      <c r="V104" s="267">
        <v>3.3300000000000003E-2</v>
      </c>
      <c r="W104" s="267">
        <f t="shared" ref="W104:AJ104" si="27">IF(W$97&lt;=15, 1/15,0)</f>
        <v>0</v>
      </c>
      <c r="X104" s="267">
        <f t="shared" si="27"/>
        <v>0</v>
      </c>
      <c r="Y104" s="267">
        <f t="shared" si="27"/>
        <v>0</v>
      </c>
      <c r="Z104" s="267">
        <f t="shared" si="27"/>
        <v>0</v>
      </c>
      <c r="AA104" s="267">
        <f t="shared" si="27"/>
        <v>0</v>
      </c>
      <c r="AB104" s="267">
        <f t="shared" si="27"/>
        <v>0</v>
      </c>
      <c r="AC104" s="267">
        <f t="shared" si="27"/>
        <v>0</v>
      </c>
      <c r="AD104" s="267">
        <f t="shared" si="27"/>
        <v>0</v>
      </c>
      <c r="AE104" s="267">
        <f t="shared" si="27"/>
        <v>0</v>
      </c>
      <c r="AF104" s="267">
        <f t="shared" si="27"/>
        <v>0</v>
      </c>
      <c r="AG104" s="267">
        <f t="shared" si="27"/>
        <v>0</v>
      </c>
      <c r="AH104" s="267">
        <f t="shared" si="27"/>
        <v>0</v>
      </c>
      <c r="AI104" s="267">
        <f t="shared" si="27"/>
        <v>0</v>
      </c>
      <c r="AJ104" s="267">
        <f t="shared" si="27"/>
        <v>0</v>
      </c>
    </row>
    <row r="105" spans="2:36" s="30" customFormat="1" ht="15.75">
      <c r="B105" s="261" t="s">
        <v>80</v>
      </c>
      <c r="C105" s="265">
        <f>IF(Inputs!$G$14="Simple",Inputs!$G$22*Inputs!$X$73,IF(Inputs!$G$14="Intermediate",SUMPRODUCT(Inputs!$G$16:$G$20,Inputs!$X$74:$X$78),'Complex Inputs'!$L$121))</f>
        <v>250000</v>
      </c>
      <c r="D105" s="518">
        <f t="shared" si="25"/>
        <v>0.01</v>
      </c>
      <c r="E105" s="265">
        <f>($C$110-$C$112)*IF(Inputs!$P$69="No",1,(1-Inputs!$P$70))*D105</f>
        <v>107375</v>
      </c>
      <c r="F105" s="261"/>
      <c r="G105" s="267">
        <v>2.5000000000000001E-2</v>
      </c>
      <c r="H105" s="267">
        <v>0.05</v>
      </c>
      <c r="I105" s="267">
        <v>0.05</v>
      </c>
      <c r="J105" s="267">
        <v>0.05</v>
      </c>
      <c r="K105" s="267">
        <v>0.05</v>
      </c>
      <c r="L105" s="267">
        <v>0.05</v>
      </c>
      <c r="M105" s="267">
        <v>0.05</v>
      </c>
      <c r="N105" s="267">
        <v>0.05</v>
      </c>
      <c r="O105" s="267">
        <v>0.05</v>
      </c>
      <c r="P105" s="267">
        <v>0.05</v>
      </c>
      <c r="Q105" s="267">
        <v>0.05</v>
      </c>
      <c r="R105" s="267">
        <v>0.05</v>
      </c>
      <c r="S105" s="267">
        <v>0.05</v>
      </c>
      <c r="T105" s="267">
        <v>0.05</v>
      </c>
      <c r="U105" s="267">
        <v>0.05</v>
      </c>
      <c r="V105" s="267">
        <v>0.05</v>
      </c>
      <c r="W105" s="267">
        <v>0.05</v>
      </c>
      <c r="X105" s="267">
        <v>0.05</v>
      </c>
      <c r="Y105" s="267">
        <v>0.05</v>
      </c>
      <c r="Z105" s="267">
        <v>0.05</v>
      </c>
      <c r="AA105" s="267">
        <v>2.5000000000000001E-2</v>
      </c>
      <c r="AB105" s="267">
        <f t="shared" ref="AB105:AJ105" si="28">IF(AB$97&lt;=20, 1/20,0)</f>
        <v>0</v>
      </c>
      <c r="AC105" s="267">
        <f t="shared" si="28"/>
        <v>0</v>
      </c>
      <c r="AD105" s="267">
        <f t="shared" si="28"/>
        <v>0</v>
      </c>
      <c r="AE105" s="267">
        <f t="shared" si="28"/>
        <v>0</v>
      </c>
      <c r="AF105" s="267">
        <f t="shared" si="28"/>
        <v>0</v>
      </c>
      <c r="AG105" s="267">
        <f t="shared" si="28"/>
        <v>0</v>
      </c>
      <c r="AH105" s="267">
        <f t="shared" si="28"/>
        <v>0</v>
      </c>
      <c r="AI105" s="267">
        <f t="shared" si="28"/>
        <v>0</v>
      </c>
      <c r="AJ105" s="267">
        <f t="shared" si="28"/>
        <v>0</v>
      </c>
    </row>
    <row r="106" spans="2:36" s="30" customFormat="1" ht="15.75">
      <c r="B106" s="261" t="s">
        <v>81</v>
      </c>
      <c r="C106" s="265">
        <f>IF(Inputs!$G$14="Simple",Inputs!$G$22*Inputs!$Y$73,IF(Inputs!$G$14="Intermediate",SUMPRODUCT(Inputs!$G$16:$G$20,Inputs!$Y$74:$Y$78),'Complex Inputs'!$M$121))</f>
        <v>0</v>
      </c>
      <c r="D106" s="518">
        <f t="shared" si="25"/>
        <v>0</v>
      </c>
      <c r="E106" s="265">
        <f>($C$110-$C$112)*IF(Inputs!$P$69="No",1,(1-Inputs!$P$70))*D106</f>
        <v>0</v>
      </c>
      <c r="F106" s="261"/>
      <c r="G106" s="267">
        <v>1.2800000000000001E-2</v>
      </c>
      <c r="H106" s="267">
        <v>2.5600000000000001E-2</v>
      </c>
      <c r="I106" s="267">
        <v>2.5600000000000001E-2</v>
      </c>
      <c r="J106" s="267">
        <v>2.5600000000000001E-2</v>
      </c>
      <c r="K106" s="267">
        <v>2.5600000000000001E-2</v>
      </c>
      <c r="L106" s="267">
        <v>2.5600000000000001E-2</v>
      </c>
      <c r="M106" s="267">
        <v>2.5600000000000001E-2</v>
      </c>
      <c r="N106" s="267">
        <v>2.5600000000000001E-2</v>
      </c>
      <c r="O106" s="267">
        <v>2.5600000000000001E-2</v>
      </c>
      <c r="P106" s="267">
        <v>2.5600000000000001E-2</v>
      </c>
      <c r="Q106" s="267">
        <v>2.5600000000000001E-2</v>
      </c>
      <c r="R106" s="267">
        <v>2.5600000000000001E-2</v>
      </c>
      <c r="S106" s="267">
        <v>2.5600000000000001E-2</v>
      </c>
      <c r="T106" s="267">
        <v>2.5600000000000001E-2</v>
      </c>
      <c r="U106" s="267">
        <v>2.5600000000000001E-2</v>
      </c>
      <c r="V106" s="267">
        <v>2.5600000000000001E-2</v>
      </c>
      <c r="W106" s="267">
        <v>2.5600000000000001E-2</v>
      </c>
      <c r="X106" s="267">
        <v>2.5600000000000001E-2</v>
      </c>
      <c r="Y106" s="267">
        <v>2.5600000000000001E-2</v>
      </c>
      <c r="Z106" s="267">
        <v>2.5600000000000001E-2</v>
      </c>
      <c r="AA106" s="267">
        <v>2.5600000000000001E-2</v>
      </c>
      <c r="AB106" s="267">
        <v>2.5600000000000001E-2</v>
      </c>
      <c r="AC106" s="267">
        <v>2.5600000000000001E-2</v>
      </c>
      <c r="AD106" s="267">
        <v>2.5600000000000001E-2</v>
      </c>
      <c r="AE106" s="267">
        <v>2.5600000000000001E-2</v>
      </c>
      <c r="AF106" s="267">
        <v>2.5600000000000001E-2</v>
      </c>
      <c r="AG106" s="267">
        <v>2.5600000000000001E-2</v>
      </c>
      <c r="AH106" s="267">
        <v>2.5600000000000001E-2</v>
      </c>
      <c r="AI106" s="267">
        <v>2.5600000000000001E-2</v>
      </c>
      <c r="AJ106" s="267">
        <v>2.5600000000000001E-2</v>
      </c>
    </row>
    <row r="107" spans="2:36" s="30" customFormat="1" ht="15.75">
      <c r="B107" s="261" t="s">
        <v>363</v>
      </c>
      <c r="C107" s="265"/>
      <c r="D107" s="518"/>
      <c r="E107" s="265">
        <f>($C$110-$C$112)*IF(Inputs!$P$69="No",0,Inputs!$P$70)</f>
        <v>10737500</v>
      </c>
      <c r="F107" s="261"/>
      <c r="G107" s="267">
        <v>1</v>
      </c>
      <c r="H107" s="267">
        <v>0</v>
      </c>
      <c r="I107" s="267">
        <v>0</v>
      </c>
      <c r="J107" s="267">
        <v>0</v>
      </c>
      <c r="K107" s="267">
        <v>0</v>
      </c>
      <c r="L107" s="267">
        <v>0</v>
      </c>
      <c r="M107" s="267">
        <v>0</v>
      </c>
      <c r="N107" s="267">
        <v>0</v>
      </c>
      <c r="O107" s="267">
        <v>0</v>
      </c>
      <c r="P107" s="267">
        <v>0</v>
      </c>
      <c r="Q107" s="267">
        <v>0</v>
      </c>
      <c r="R107" s="267">
        <v>0</v>
      </c>
      <c r="S107" s="267">
        <v>0</v>
      </c>
      <c r="T107" s="267">
        <v>0</v>
      </c>
      <c r="U107" s="267">
        <v>0</v>
      </c>
      <c r="V107" s="267">
        <v>0</v>
      </c>
      <c r="W107" s="267">
        <v>0</v>
      </c>
      <c r="X107" s="267">
        <v>0</v>
      </c>
      <c r="Y107" s="267">
        <v>0</v>
      </c>
      <c r="Z107" s="267">
        <v>0</v>
      </c>
      <c r="AA107" s="267">
        <v>0</v>
      </c>
      <c r="AB107" s="267">
        <v>0</v>
      </c>
      <c r="AC107" s="267">
        <v>0</v>
      </c>
      <c r="AD107" s="267">
        <v>0</v>
      </c>
      <c r="AE107" s="267">
        <v>0</v>
      </c>
      <c r="AF107" s="267">
        <v>0</v>
      </c>
      <c r="AG107" s="267">
        <v>0</v>
      </c>
      <c r="AH107" s="267">
        <v>0</v>
      </c>
      <c r="AI107" s="267">
        <v>0</v>
      </c>
      <c r="AJ107" s="267">
        <v>0</v>
      </c>
    </row>
    <row r="108" spans="2:36" s="30" customFormat="1">
      <c r="B108" s="274" t="s">
        <v>24</v>
      </c>
      <c r="C108" s="520">
        <f>IF(Inputs!$G$14="Simple",Inputs!$G$22*Inputs!$Z$73,IF(Inputs!$G$14="Intermediate",SUMPRODUCT(Inputs!$G$16:$G$20,Inputs!$Z$74:$Z$78),'Complex Inputs'!$N$121))</f>
        <v>625000</v>
      </c>
      <c r="D108" s="521">
        <f>C108/$C$110</f>
        <v>2.5000000000000001E-2</v>
      </c>
      <c r="E108" s="520">
        <f>($C$110-$C$112)*IF(Inputs!$P$69="No",1,(1-Inputs!$P$70))*D108</f>
        <v>268437.5</v>
      </c>
      <c r="F108" s="261"/>
      <c r="G108" s="268"/>
      <c r="H108" s="268"/>
      <c r="I108" s="268"/>
      <c r="J108" s="268"/>
      <c r="K108" s="268"/>
      <c r="L108" s="268"/>
      <c r="M108" s="268"/>
      <c r="N108" s="268"/>
      <c r="O108" s="268"/>
      <c r="P108" s="268"/>
      <c r="Q108" s="268"/>
      <c r="R108" s="268"/>
      <c r="S108" s="268"/>
      <c r="T108" s="268"/>
      <c r="U108" s="268"/>
      <c r="V108" s="268"/>
      <c r="W108" s="268"/>
      <c r="X108" s="268"/>
      <c r="Y108" s="268"/>
      <c r="Z108" s="268"/>
      <c r="AA108" s="268"/>
      <c r="AB108" s="268"/>
      <c r="AC108" s="268"/>
      <c r="AD108" s="268"/>
      <c r="AE108" s="268"/>
      <c r="AF108" s="268"/>
      <c r="AG108" s="268"/>
      <c r="AH108" s="268"/>
      <c r="AI108" s="268"/>
      <c r="AJ108" s="268"/>
    </row>
    <row r="109" spans="2:36" s="30" customFormat="1" ht="15.75">
      <c r="B109" s="345"/>
      <c r="C109" s="517" t="s">
        <v>371</v>
      </c>
      <c r="D109" s="517"/>
      <c r="E109" s="517" t="s">
        <v>372</v>
      </c>
      <c r="F109" s="261"/>
      <c r="G109" s="268"/>
      <c r="H109" s="268"/>
      <c r="I109" s="268"/>
      <c r="J109" s="268"/>
      <c r="K109" s="268"/>
      <c r="L109" s="268"/>
      <c r="M109" s="268"/>
      <c r="N109" s="268"/>
      <c r="O109" s="268"/>
      <c r="P109" s="268"/>
      <c r="Q109" s="268"/>
      <c r="R109" s="268"/>
      <c r="S109" s="268"/>
      <c r="T109" s="268"/>
      <c r="U109" s="268"/>
      <c r="V109" s="268"/>
      <c r="W109" s="268"/>
      <c r="X109" s="268"/>
      <c r="Y109" s="268"/>
      <c r="Z109" s="268"/>
      <c r="AA109" s="268"/>
      <c r="AB109" s="268"/>
      <c r="AC109" s="268"/>
      <c r="AD109" s="268"/>
      <c r="AE109" s="268"/>
      <c r="AF109" s="268"/>
      <c r="AG109" s="268"/>
      <c r="AH109" s="268"/>
      <c r="AI109" s="268"/>
      <c r="AJ109" s="268"/>
    </row>
    <row r="110" spans="2:36" s="30" customFormat="1" ht="15.75">
      <c r="B110" s="260" t="s">
        <v>373</v>
      </c>
      <c r="C110" s="270">
        <f>SUM(C99:C108)</f>
        <v>25000000</v>
      </c>
      <c r="D110" s="518">
        <f>SUM(D99:D108)</f>
        <v>1</v>
      </c>
      <c r="E110" s="270">
        <f>SUM(E99:E108)</f>
        <v>21475000</v>
      </c>
      <c r="F110" s="261"/>
      <c r="G110" s="268"/>
      <c r="H110" s="268"/>
      <c r="I110" s="268"/>
      <c r="J110" s="268"/>
      <c r="K110" s="268"/>
      <c r="L110" s="268"/>
      <c r="M110" s="268"/>
      <c r="N110" s="268"/>
      <c r="O110" s="268"/>
      <c r="P110" s="268"/>
      <c r="Q110" s="268"/>
      <c r="R110" s="268"/>
      <c r="S110" s="268"/>
      <c r="T110" s="268"/>
      <c r="U110" s="268"/>
      <c r="V110" s="268"/>
      <c r="W110" s="268"/>
      <c r="X110" s="268"/>
      <c r="Y110" s="268"/>
      <c r="Z110" s="268"/>
      <c r="AA110" s="268"/>
      <c r="AB110" s="268"/>
      <c r="AC110" s="268"/>
      <c r="AD110" s="268"/>
      <c r="AE110" s="268"/>
      <c r="AF110" s="268"/>
      <c r="AG110" s="268"/>
      <c r="AH110" s="268"/>
      <c r="AI110" s="268"/>
      <c r="AJ110" s="268"/>
    </row>
    <row r="111" spans="2:36" s="30" customFormat="1">
      <c r="B111" s="345"/>
      <c r="C111" s="519" t="str">
        <f>IF(C110=Inputs!$G$22,"OK","error")</f>
        <v>OK</v>
      </c>
      <c r="D111" s="519" t="str">
        <f>IF(D110=100%,"OK","error")</f>
        <v>OK</v>
      </c>
      <c r="E111" s="519" t="str">
        <f>IF(E110=(C110-C112),"OK","error")</f>
        <v>OK</v>
      </c>
      <c r="F111" s="261"/>
      <c r="G111" s="268"/>
      <c r="H111" s="268"/>
      <c r="I111" s="268"/>
      <c r="J111" s="268"/>
      <c r="K111" s="268"/>
      <c r="L111" s="268"/>
      <c r="M111" s="268"/>
      <c r="N111" s="268"/>
      <c r="O111" s="268"/>
      <c r="P111" s="268"/>
      <c r="Q111" s="268"/>
      <c r="R111" s="268"/>
      <c r="S111" s="268"/>
      <c r="T111" s="268"/>
      <c r="U111" s="268"/>
      <c r="V111" s="268"/>
      <c r="W111" s="268"/>
      <c r="X111" s="268"/>
      <c r="Y111" s="268"/>
      <c r="Z111" s="268"/>
      <c r="AA111" s="268"/>
      <c r="AB111" s="268"/>
      <c r="AC111" s="268"/>
      <c r="AD111" s="268"/>
      <c r="AE111" s="268"/>
      <c r="AF111" s="268"/>
      <c r="AG111" s="268"/>
      <c r="AH111" s="268"/>
      <c r="AI111" s="268"/>
      <c r="AJ111" s="268"/>
    </row>
    <row r="112" spans="2:36" s="30" customFormat="1">
      <c r="B112" s="261" t="s">
        <v>362</v>
      </c>
      <c r="C112" s="265">
        <f>IF(OR(Inputs!$Q$18="Performance-Based",Inputs!$Q$18="Neither"),0,50%*Inputs!$Q$21)+IF(Inputs!$Q$27="Yes",0,Inputs!$Q$26)+IF(Inputs!$Q$42="Yes",0,IF(Inputs!$Q$41=0,Inputs!$Q$40*Inputs!$G$7,MIN(Inputs!$Q$41,Inputs!$Q$40*Inputs!$G$7)))</f>
        <v>3525000</v>
      </c>
      <c r="D112" s="261"/>
      <c r="E112" s="265"/>
      <c r="F112" s="261"/>
      <c r="G112" s="268"/>
      <c r="H112" s="268"/>
      <c r="I112" s="268"/>
      <c r="J112" s="268"/>
      <c r="K112" s="268"/>
      <c r="L112" s="268"/>
      <c r="M112" s="268"/>
      <c r="N112" s="268"/>
      <c r="O112" s="268"/>
      <c r="P112" s="268"/>
      <c r="Q112" s="268"/>
      <c r="R112" s="268"/>
      <c r="S112" s="268"/>
      <c r="T112" s="268"/>
      <c r="U112" s="268"/>
      <c r="V112" s="268"/>
      <c r="W112" s="268"/>
      <c r="X112" s="268"/>
      <c r="Y112" s="268"/>
      <c r="Z112" s="268"/>
      <c r="AA112" s="268"/>
      <c r="AB112" s="268"/>
      <c r="AC112" s="268"/>
      <c r="AD112" s="268"/>
      <c r="AE112" s="268"/>
      <c r="AF112" s="268"/>
      <c r="AG112" s="268"/>
      <c r="AH112" s="268"/>
      <c r="AI112" s="268"/>
      <c r="AJ112" s="268"/>
    </row>
    <row r="113" spans="2:36" s="30" customFormat="1">
      <c r="B113" s="261"/>
      <c r="C113" s="261"/>
      <c r="D113" s="261"/>
      <c r="E113" s="265"/>
      <c r="F113" s="261"/>
      <c r="G113" s="268"/>
      <c r="H113" s="268"/>
      <c r="I113" s="268"/>
      <c r="J113" s="268"/>
      <c r="K113" s="268"/>
      <c r="L113" s="268"/>
      <c r="M113" s="268"/>
      <c r="N113" s="268"/>
      <c r="O113" s="268"/>
      <c r="P113" s="268"/>
      <c r="Q113" s="268"/>
      <c r="R113" s="268"/>
      <c r="S113" s="268"/>
      <c r="T113" s="268"/>
      <c r="U113" s="268"/>
      <c r="V113" s="268"/>
      <c r="W113" s="268"/>
      <c r="X113" s="268"/>
      <c r="Y113" s="268"/>
      <c r="Z113" s="268"/>
      <c r="AA113" s="268"/>
      <c r="AB113" s="268"/>
      <c r="AC113" s="268"/>
      <c r="AD113" s="268"/>
      <c r="AE113" s="268"/>
      <c r="AF113" s="268"/>
      <c r="AG113" s="268"/>
      <c r="AH113" s="268"/>
      <c r="AI113" s="268"/>
      <c r="AJ113" s="268"/>
    </row>
    <row r="114" spans="2:36" s="30" customFormat="1" ht="15.75">
      <c r="B114" s="263" t="s">
        <v>153</v>
      </c>
      <c r="C114" s="263"/>
      <c r="D114" s="263"/>
      <c r="E114" s="261"/>
      <c r="F114" s="261"/>
      <c r="G114" s="268"/>
      <c r="H114" s="268"/>
      <c r="I114" s="268"/>
      <c r="J114" s="268"/>
      <c r="K114" s="268"/>
      <c r="L114" s="268"/>
      <c r="M114" s="268"/>
      <c r="N114" s="268"/>
      <c r="O114" s="268"/>
      <c r="P114" s="268"/>
      <c r="Q114" s="268"/>
      <c r="R114" s="268"/>
      <c r="S114" s="268"/>
      <c r="T114" s="268"/>
      <c r="U114" s="268"/>
      <c r="V114" s="268"/>
      <c r="W114" s="268"/>
      <c r="X114" s="268"/>
      <c r="Y114" s="268"/>
      <c r="Z114" s="268"/>
      <c r="AA114" s="268"/>
      <c r="AB114" s="268"/>
      <c r="AC114" s="268"/>
      <c r="AD114" s="268"/>
      <c r="AE114" s="268"/>
      <c r="AF114" s="268"/>
      <c r="AG114" s="268"/>
      <c r="AH114" s="268"/>
      <c r="AI114" s="268"/>
      <c r="AJ114" s="268"/>
    </row>
    <row r="115" spans="2:36" s="30" customFormat="1">
      <c r="B115" s="261" t="s">
        <v>82</v>
      </c>
      <c r="C115" s="261"/>
      <c r="D115" s="261"/>
      <c r="E115" s="269" t="s">
        <v>138</v>
      </c>
      <c r="F115" s="270"/>
      <c r="G115" s="261"/>
      <c r="H115" s="261"/>
      <c r="I115" s="261"/>
      <c r="J115" s="261"/>
      <c r="K115" s="261"/>
      <c r="L115" s="261"/>
      <c r="M115" s="261"/>
      <c r="N115" s="261"/>
      <c r="O115" s="261"/>
      <c r="P115" s="261"/>
      <c r="Q115" s="261"/>
      <c r="R115" s="261"/>
      <c r="S115" s="261"/>
      <c r="T115" s="261"/>
      <c r="U115" s="261"/>
      <c r="V115" s="261"/>
      <c r="W115" s="261"/>
      <c r="X115" s="261"/>
      <c r="Y115" s="261"/>
      <c r="Z115" s="261"/>
      <c r="AA115" s="261"/>
      <c r="AB115" s="261"/>
      <c r="AC115" s="261"/>
      <c r="AD115" s="261"/>
      <c r="AE115" s="261"/>
      <c r="AF115" s="261"/>
      <c r="AG115" s="261"/>
      <c r="AH115" s="261"/>
      <c r="AI115" s="261"/>
      <c r="AJ115" s="261"/>
    </row>
    <row r="116" spans="2:36" s="30" customFormat="1">
      <c r="B116" s="261" t="s">
        <v>77</v>
      </c>
      <c r="C116" s="261"/>
      <c r="D116" s="261"/>
      <c r="E116" s="271">
        <f>SUM(G116:AJ116)</f>
        <v>10093250</v>
      </c>
      <c r="F116" s="270"/>
      <c r="G116" s="272">
        <f>$E99*G99</f>
        <v>2018650</v>
      </c>
      <c r="H116" s="272">
        <f t="shared" ref="H116:AJ116" si="29">$E99*H99</f>
        <v>3229840</v>
      </c>
      <c r="I116" s="272">
        <f t="shared" si="29"/>
        <v>1937904</v>
      </c>
      <c r="J116" s="272">
        <f t="shared" si="29"/>
        <v>1162742.3999999999</v>
      </c>
      <c r="K116" s="272">
        <f t="shared" si="29"/>
        <v>1162742.3999999999</v>
      </c>
      <c r="L116" s="272">
        <f t="shared" si="29"/>
        <v>581371.19999999995</v>
      </c>
      <c r="M116" s="272">
        <f t="shared" si="29"/>
        <v>0</v>
      </c>
      <c r="N116" s="272">
        <f t="shared" si="29"/>
        <v>0</v>
      </c>
      <c r="O116" s="272">
        <f t="shared" si="29"/>
        <v>0</v>
      </c>
      <c r="P116" s="272">
        <f t="shared" si="29"/>
        <v>0</v>
      </c>
      <c r="Q116" s="272">
        <f t="shared" si="29"/>
        <v>0</v>
      </c>
      <c r="R116" s="272">
        <f t="shared" si="29"/>
        <v>0</v>
      </c>
      <c r="S116" s="272">
        <f t="shared" si="29"/>
        <v>0</v>
      </c>
      <c r="T116" s="272">
        <f t="shared" si="29"/>
        <v>0</v>
      </c>
      <c r="U116" s="272">
        <f t="shared" si="29"/>
        <v>0</v>
      </c>
      <c r="V116" s="272">
        <f t="shared" si="29"/>
        <v>0</v>
      </c>
      <c r="W116" s="272">
        <f t="shared" si="29"/>
        <v>0</v>
      </c>
      <c r="X116" s="272">
        <f t="shared" si="29"/>
        <v>0</v>
      </c>
      <c r="Y116" s="272">
        <f t="shared" si="29"/>
        <v>0</v>
      </c>
      <c r="Z116" s="272">
        <f t="shared" si="29"/>
        <v>0</v>
      </c>
      <c r="AA116" s="272">
        <f t="shared" si="29"/>
        <v>0</v>
      </c>
      <c r="AB116" s="272">
        <f t="shared" si="29"/>
        <v>0</v>
      </c>
      <c r="AC116" s="272">
        <f t="shared" si="29"/>
        <v>0</v>
      </c>
      <c r="AD116" s="272">
        <f t="shared" si="29"/>
        <v>0</v>
      </c>
      <c r="AE116" s="272">
        <f t="shared" si="29"/>
        <v>0</v>
      </c>
      <c r="AF116" s="272">
        <f t="shared" si="29"/>
        <v>0</v>
      </c>
      <c r="AG116" s="272">
        <f t="shared" si="29"/>
        <v>0</v>
      </c>
      <c r="AH116" s="272">
        <f t="shared" si="29"/>
        <v>0</v>
      </c>
      <c r="AI116" s="272">
        <f t="shared" si="29"/>
        <v>0</v>
      </c>
      <c r="AJ116" s="272">
        <f t="shared" si="29"/>
        <v>0</v>
      </c>
    </row>
    <row r="117" spans="2:36" s="30" customFormat="1">
      <c r="B117" s="261" t="s">
        <v>129</v>
      </c>
      <c r="C117" s="261"/>
      <c r="D117" s="261"/>
      <c r="E117" s="271">
        <f t="shared" ref="E117:E124" si="30">SUM(G117:AJ117)</f>
        <v>0</v>
      </c>
      <c r="F117" s="270"/>
      <c r="G117" s="272">
        <f t="shared" ref="G117:AJ117" si="31">$E100*G100</f>
        <v>0</v>
      </c>
      <c r="H117" s="272">
        <f t="shared" si="31"/>
        <v>0</v>
      </c>
      <c r="I117" s="272">
        <f t="shared" si="31"/>
        <v>0</v>
      </c>
      <c r="J117" s="272">
        <f t="shared" si="31"/>
        <v>0</v>
      </c>
      <c r="K117" s="272">
        <f t="shared" si="31"/>
        <v>0</v>
      </c>
      <c r="L117" s="272">
        <f t="shared" si="31"/>
        <v>0</v>
      </c>
      <c r="M117" s="272">
        <f t="shared" si="31"/>
        <v>0</v>
      </c>
      <c r="N117" s="272">
        <f t="shared" si="31"/>
        <v>0</v>
      </c>
      <c r="O117" s="272">
        <f t="shared" si="31"/>
        <v>0</v>
      </c>
      <c r="P117" s="272">
        <f t="shared" si="31"/>
        <v>0</v>
      </c>
      <c r="Q117" s="272">
        <f t="shared" si="31"/>
        <v>0</v>
      </c>
      <c r="R117" s="272">
        <f t="shared" si="31"/>
        <v>0</v>
      </c>
      <c r="S117" s="272">
        <f t="shared" si="31"/>
        <v>0</v>
      </c>
      <c r="T117" s="272">
        <f t="shared" si="31"/>
        <v>0</v>
      </c>
      <c r="U117" s="272">
        <f t="shared" si="31"/>
        <v>0</v>
      </c>
      <c r="V117" s="272">
        <f t="shared" si="31"/>
        <v>0</v>
      </c>
      <c r="W117" s="272">
        <f t="shared" si="31"/>
        <v>0</v>
      </c>
      <c r="X117" s="272">
        <f t="shared" si="31"/>
        <v>0</v>
      </c>
      <c r="Y117" s="272">
        <f t="shared" si="31"/>
        <v>0</v>
      </c>
      <c r="Z117" s="272">
        <f t="shared" si="31"/>
        <v>0</v>
      </c>
      <c r="AA117" s="272">
        <f t="shared" si="31"/>
        <v>0</v>
      </c>
      <c r="AB117" s="272">
        <f t="shared" si="31"/>
        <v>0</v>
      </c>
      <c r="AC117" s="272">
        <f t="shared" si="31"/>
        <v>0</v>
      </c>
      <c r="AD117" s="272">
        <f t="shared" si="31"/>
        <v>0</v>
      </c>
      <c r="AE117" s="272">
        <f t="shared" si="31"/>
        <v>0</v>
      </c>
      <c r="AF117" s="272">
        <f t="shared" si="31"/>
        <v>0</v>
      </c>
      <c r="AG117" s="272">
        <f t="shared" si="31"/>
        <v>0</v>
      </c>
      <c r="AH117" s="272">
        <f t="shared" si="31"/>
        <v>0</v>
      </c>
      <c r="AI117" s="272">
        <f t="shared" si="31"/>
        <v>0</v>
      </c>
      <c r="AJ117" s="272">
        <f t="shared" si="31"/>
        <v>0</v>
      </c>
    </row>
    <row r="118" spans="2:36" s="30" customFormat="1">
      <c r="B118" s="261" t="s">
        <v>78</v>
      </c>
      <c r="C118" s="261"/>
      <c r="D118" s="261"/>
      <c r="E118" s="271">
        <f t="shared" si="30"/>
        <v>161062.5</v>
      </c>
      <c r="F118" s="270"/>
      <c r="G118" s="272">
        <f t="shared" ref="G118:AJ118" si="32">$E101*G101</f>
        <v>8053.125</v>
      </c>
      <c r="H118" s="272">
        <f t="shared" si="32"/>
        <v>15300.9375</v>
      </c>
      <c r="I118" s="272">
        <f t="shared" si="32"/>
        <v>13770.843750000002</v>
      </c>
      <c r="J118" s="272">
        <f t="shared" si="32"/>
        <v>12401.8125</v>
      </c>
      <c r="K118" s="272">
        <f t="shared" si="32"/>
        <v>11161.63125</v>
      </c>
      <c r="L118" s="272">
        <f t="shared" si="32"/>
        <v>10034.19375</v>
      </c>
      <c r="M118" s="272">
        <f t="shared" si="32"/>
        <v>9502.6875</v>
      </c>
      <c r="N118" s="272">
        <f t="shared" si="32"/>
        <v>9502.6875</v>
      </c>
      <c r="O118" s="272">
        <f t="shared" si="32"/>
        <v>9518.7937500000007</v>
      </c>
      <c r="P118" s="272">
        <f t="shared" si="32"/>
        <v>9502.6875</v>
      </c>
      <c r="Q118" s="272">
        <f t="shared" si="32"/>
        <v>9518.7937500000007</v>
      </c>
      <c r="R118" s="272">
        <f t="shared" si="32"/>
        <v>9502.6875</v>
      </c>
      <c r="S118" s="272">
        <f t="shared" si="32"/>
        <v>9518.7937500000007</v>
      </c>
      <c r="T118" s="272">
        <f t="shared" si="32"/>
        <v>9502.6875</v>
      </c>
      <c r="U118" s="272">
        <f t="shared" si="32"/>
        <v>9518.7937500000007</v>
      </c>
      <c r="V118" s="272">
        <f t="shared" si="32"/>
        <v>4751.34375</v>
      </c>
      <c r="W118" s="272">
        <f t="shared" si="32"/>
        <v>0</v>
      </c>
      <c r="X118" s="272">
        <f t="shared" si="32"/>
        <v>0</v>
      </c>
      <c r="Y118" s="272">
        <f t="shared" si="32"/>
        <v>0</v>
      </c>
      <c r="Z118" s="272">
        <f t="shared" si="32"/>
        <v>0</v>
      </c>
      <c r="AA118" s="272">
        <f t="shared" si="32"/>
        <v>0</v>
      </c>
      <c r="AB118" s="272">
        <f t="shared" si="32"/>
        <v>0</v>
      </c>
      <c r="AC118" s="272">
        <f t="shared" si="32"/>
        <v>0</v>
      </c>
      <c r="AD118" s="272">
        <f t="shared" si="32"/>
        <v>0</v>
      </c>
      <c r="AE118" s="272">
        <f t="shared" si="32"/>
        <v>0</v>
      </c>
      <c r="AF118" s="272">
        <f t="shared" si="32"/>
        <v>0</v>
      </c>
      <c r="AG118" s="272">
        <f t="shared" si="32"/>
        <v>0</v>
      </c>
      <c r="AH118" s="272">
        <f t="shared" si="32"/>
        <v>0</v>
      </c>
      <c r="AI118" s="272">
        <f t="shared" si="32"/>
        <v>0</v>
      </c>
      <c r="AJ118" s="272">
        <f t="shared" si="32"/>
        <v>0</v>
      </c>
    </row>
    <row r="119" spans="2:36" s="30" customFormat="1">
      <c r="B119" s="261" t="s">
        <v>79</v>
      </c>
      <c r="C119" s="261"/>
      <c r="D119" s="261"/>
      <c r="E119" s="271">
        <f t="shared" si="30"/>
        <v>107374.99999999999</v>
      </c>
      <c r="F119" s="270"/>
      <c r="G119" s="272">
        <f t="shared" ref="G119:AJ119" si="33">$E102*G102</f>
        <v>4026.5625</v>
      </c>
      <c r="H119" s="272">
        <f t="shared" si="33"/>
        <v>7751.4012500000008</v>
      </c>
      <c r="I119" s="272">
        <f t="shared" si="33"/>
        <v>7169.4287499999991</v>
      </c>
      <c r="J119" s="272">
        <f t="shared" si="33"/>
        <v>6632.55375</v>
      </c>
      <c r="K119" s="272">
        <f t="shared" si="33"/>
        <v>6134.3337499999998</v>
      </c>
      <c r="L119" s="272">
        <f t="shared" si="33"/>
        <v>5674.7687500000002</v>
      </c>
      <c r="M119" s="272">
        <f t="shared" si="33"/>
        <v>5248.49</v>
      </c>
      <c r="N119" s="272">
        <f t="shared" si="33"/>
        <v>4855.4975000000004</v>
      </c>
      <c r="O119" s="272">
        <f t="shared" si="33"/>
        <v>4791.0725000000002</v>
      </c>
      <c r="P119" s="272">
        <f t="shared" si="33"/>
        <v>4789.9987499999997</v>
      </c>
      <c r="Q119" s="272">
        <f t="shared" si="33"/>
        <v>4791.0725000000002</v>
      </c>
      <c r="R119" s="272">
        <f t="shared" si="33"/>
        <v>4789.9987499999997</v>
      </c>
      <c r="S119" s="272">
        <f t="shared" si="33"/>
        <v>4791.0725000000002</v>
      </c>
      <c r="T119" s="272">
        <f t="shared" si="33"/>
        <v>4789.9987499999997</v>
      </c>
      <c r="U119" s="272">
        <f t="shared" si="33"/>
        <v>4791.0725000000002</v>
      </c>
      <c r="V119" s="272">
        <f t="shared" si="33"/>
        <v>4789.9987499999997</v>
      </c>
      <c r="W119" s="272">
        <f t="shared" si="33"/>
        <v>4791.0725000000002</v>
      </c>
      <c r="X119" s="272">
        <f t="shared" si="33"/>
        <v>4789.9987499999997</v>
      </c>
      <c r="Y119" s="272">
        <f t="shared" si="33"/>
        <v>4791.0725000000002</v>
      </c>
      <c r="Z119" s="272">
        <f t="shared" si="33"/>
        <v>4789.9987499999997</v>
      </c>
      <c r="AA119" s="272">
        <f t="shared" si="33"/>
        <v>2395.5362500000001</v>
      </c>
      <c r="AB119" s="272">
        <f t="shared" si="33"/>
        <v>0</v>
      </c>
      <c r="AC119" s="272">
        <f t="shared" si="33"/>
        <v>0</v>
      </c>
      <c r="AD119" s="272">
        <f t="shared" si="33"/>
        <v>0</v>
      </c>
      <c r="AE119" s="272">
        <f t="shared" si="33"/>
        <v>0</v>
      </c>
      <c r="AF119" s="272">
        <f t="shared" si="33"/>
        <v>0</v>
      </c>
      <c r="AG119" s="272">
        <f t="shared" si="33"/>
        <v>0</v>
      </c>
      <c r="AH119" s="272">
        <f t="shared" si="33"/>
        <v>0</v>
      </c>
      <c r="AI119" s="272">
        <f t="shared" si="33"/>
        <v>0</v>
      </c>
      <c r="AJ119" s="272">
        <f t="shared" si="33"/>
        <v>0</v>
      </c>
    </row>
    <row r="120" spans="2:36" s="30" customFormat="1">
      <c r="B120" s="261" t="s">
        <v>130</v>
      </c>
      <c r="C120" s="261"/>
      <c r="D120" s="261"/>
      <c r="E120" s="271">
        <f t="shared" si="30"/>
        <v>0</v>
      </c>
      <c r="F120" s="270"/>
      <c r="G120" s="272">
        <f t="shared" ref="G120:AJ120" si="34">$E103*G103</f>
        <v>0</v>
      </c>
      <c r="H120" s="272">
        <f t="shared" si="34"/>
        <v>0</v>
      </c>
      <c r="I120" s="272">
        <f t="shared" si="34"/>
        <v>0</v>
      </c>
      <c r="J120" s="272">
        <f t="shared" si="34"/>
        <v>0</v>
      </c>
      <c r="K120" s="272">
        <f t="shared" si="34"/>
        <v>0</v>
      </c>
      <c r="L120" s="272">
        <f t="shared" si="34"/>
        <v>0</v>
      </c>
      <c r="M120" s="272">
        <f t="shared" si="34"/>
        <v>0</v>
      </c>
      <c r="N120" s="272">
        <f t="shared" si="34"/>
        <v>0</v>
      </c>
      <c r="O120" s="272">
        <f t="shared" si="34"/>
        <v>0</v>
      </c>
      <c r="P120" s="272">
        <f t="shared" si="34"/>
        <v>0</v>
      </c>
      <c r="Q120" s="272">
        <f t="shared" si="34"/>
        <v>0</v>
      </c>
      <c r="R120" s="272">
        <f t="shared" si="34"/>
        <v>0</v>
      </c>
      <c r="S120" s="272">
        <f t="shared" si="34"/>
        <v>0</v>
      </c>
      <c r="T120" s="272">
        <f t="shared" si="34"/>
        <v>0</v>
      </c>
      <c r="U120" s="272">
        <f t="shared" si="34"/>
        <v>0</v>
      </c>
      <c r="V120" s="272">
        <f t="shared" si="34"/>
        <v>0</v>
      </c>
      <c r="W120" s="272">
        <f t="shared" si="34"/>
        <v>0</v>
      </c>
      <c r="X120" s="272">
        <f t="shared" si="34"/>
        <v>0</v>
      </c>
      <c r="Y120" s="272">
        <f t="shared" si="34"/>
        <v>0</v>
      </c>
      <c r="Z120" s="272">
        <f t="shared" si="34"/>
        <v>0</v>
      </c>
      <c r="AA120" s="272">
        <f t="shared" si="34"/>
        <v>0</v>
      </c>
      <c r="AB120" s="272">
        <f t="shared" si="34"/>
        <v>0</v>
      </c>
      <c r="AC120" s="272">
        <f t="shared" si="34"/>
        <v>0</v>
      </c>
      <c r="AD120" s="272">
        <f t="shared" si="34"/>
        <v>0</v>
      </c>
      <c r="AE120" s="272">
        <f t="shared" si="34"/>
        <v>0</v>
      </c>
      <c r="AF120" s="272">
        <f t="shared" si="34"/>
        <v>0</v>
      </c>
      <c r="AG120" s="272">
        <f t="shared" si="34"/>
        <v>0</v>
      </c>
      <c r="AH120" s="272">
        <f t="shared" si="34"/>
        <v>0</v>
      </c>
      <c r="AI120" s="272">
        <f t="shared" si="34"/>
        <v>0</v>
      </c>
      <c r="AJ120" s="272">
        <f t="shared" si="34"/>
        <v>0</v>
      </c>
    </row>
    <row r="121" spans="2:36" s="30" customFormat="1">
      <c r="B121" s="261" t="s">
        <v>131</v>
      </c>
      <c r="C121" s="261"/>
      <c r="D121" s="261"/>
      <c r="E121" s="271">
        <f t="shared" si="30"/>
        <v>0</v>
      </c>
      <c r="F121" s="270"/>
      <c r="G121" s="272">
        <f t="shared" ref="G121:AJ121" si="35">$E104*G104</f>
        <v>0</v>
      </c>
      <c r="H121" s="272">
        <f t="shared" si="35"/>
        <v>0</v>
      </c>
      <c r="I121" s="272">
        <f t="shared" si="35"/>
        <v>0</v>
      </c>
      <c r="J121" s="272">
        <f t="shared" si="35"/>
        <v>0</v>
      </c>
      <c r="K121" s="272">
        <f t="shared" si="35"/>
        <v>0</v>
      </c>
      <c r="L121" s="272">
        <f t="shared" si="35"/>
        <v>0</v>
      </c>
      <c r="M121" s="272">
        <f t="shared" si="35"/>
        <v>0</v>
      </c>
      <c r="N121" s="272">
        <f t="shared" si="35"/>
        <v>0</v>
      </c>
      <c r="O121" s="272">
        <f t="shared" si="35"/>
        <v>0</v>
      </c>
      <c r="P121" s="272">
        <f t="shared" si="35"/>
        <v>0</v>
      </c>
      <c r="Q121" s="272">
        <f t="shared" si="35"/>
        <v>0</v>
      </c>
      <c r="R121" s="272">
        <f t="shared" si="35"/>
        <v>0</v>
      </c>
      <c r="S121" s="272">
        <f t="shared" si="35"/>
        <v>0</v>
      </c>
      <c r="T121" s="272">
        <f t="shared" si="35"/>
        <v>0</v>
      </c>
      <c r="U121" s="272">
        <f t="shared" si="35"/>
        <v>0</v>
      </c>
      <c r="V121" s="272">
        <f t="shared" si="35"/>
        <v>0</v>
      </c>
      <c r="W121" s="272">
        <f t="shared" si="35"/>
        <v>0</v>
      </c>
      <c r="X121" s="272">
        <f t="shared" si="35"/>
        <v>0</v>
      </c>
      <c r="Y121" s="272">
        <f t="shared" si="35"/>
        <v>0</v>
      </c>
      <c r="Z121" s="272">
        <f t="shared" si="35"/>
        <v>0</v>
      </c>
      <c r="AA121" s="272">
        <f t="shared" si="35"/>
        <v>0</v>
      </c>
      <c r="AB121" s="272">
        <f t="shared" si="35"/>
        <v>0</v>
      </c>
      <c r="AC121" s="272">
        <f t="shared" si="35"/>
        <v>0</v>
      </c>
      <c r="AD121" s="272">
        <f t="shared" si="35"/>
        <v>0</v>
      </c>
      <c r="AE121" s="272">
        <f t="shared" si="35"/>
        <v>0</v>
      </c>
      <c r="AF121" s="272">
        <f t="shared" si="35"/>
        <v>0</v>
      </c>
      <c r="AG121" s="272">
        <f t="shared" si="35"/>
        <v>0</v>
      </c>
      <c r="AH121" s="272">
        <f t="shared" si="35"/>
        <v>0</v>
      </c>
      <c r="AI121" s="272">
        <f t="shared" si="35"/>
        <v>0</v>
      </c>
      <c r="AJ121" s="272">
        <f t="shared" si="35"/>
        <v>0</v>
      </c>
    </row>
    <row r="122" spans="2:36" s="30" customFormat="1">
      <c r="B122" s="261" t="s">
        <v>80</v>
      </c>
      <c r="C122" s="261"/>
      <c r="D122" s="261"/>
      <c r="E122" s="271">
        <f t="shared" si="30"/>
        <v>107375</v>
      </c>
      <c r="F122" s="270"/>
      <c r="G122" s="272">
        <f t="shared" ref="G122:AJ122" si="36">$E105*G105</f>
        <v>2684.375</v>
      </c>
      <c r="H122" s="272">
        <f t="shared" si="36"/>
        <v>5368.75</v>
      </c>
      <c r="I122" s="272">
        <f t="shared" si="36"/>
        <v>5368.75</v>
      </c>
      <c r="J122" s="272">
        <f t="shared" si="36"/>
        <v>5368.75</v>
      </c>
      <c r="K122" s="272">
        <f t="shared" si="36"/>
        <v>5368.75</v>
      </c>
      <c r="L122" s="272">
        <f t="shared" si="36"/>
        <v>5368.75</v>
      </c>
      <c r="M122" s="272">
        <f t="shared" si="36"/>
        <v>5368.75</v>
      </c>
      <c r="N122" s="272">
        <f t="shared" si="36"/>
        <v>5368.75</v>
      </c>
      <c r="O122" s="272">
        <f t="shared" si="36"/>
        <v>5368.75</v>
      </c>
      <c r="P122" s="272">
        <f t="shared" si="36"/>
        <v>5368.75</v>
      </c>
      <c r="Q122" s="272">
        <f t="shared" si="36"/>
        <v>5368.75</v>
      </c>
      <c r="R122" s="272">
        <f t="shared" si="36"/>
        <v>5368.75</v>
      </c>
      <c r="S122" s="272">
        <f t="shared" si="36"/>
        <v>5368.75</v>
      </c>
      <c r="T122" s="272">
        <f t="shared" si="36"/>
        <v>5368.75</v>
      </c>
      <c r="U122" s="272">
        <f t="shared" si="36"/>
        <v>5368.75</v>
      </c>
      <c r="V122" s="272">
        <f t="shared" si="36"/>
        <v>5368.75</v>
      </c>
      <c r="W122" s="272">
        <f t="shared" si="36"/>
        <v>5368.75</v>
      </c>
      <c r="X122" s="272">
        <f t="shared" si="36"/>
        <v>5368.75</v>
      </c>
      <c r="Y122" s="272">
        <f t="shared" si="36"/>
        <v>5368.75</v>
      </c>
      <c r="Z122" s="272">
        <f t="shared" si="36"/>
        <v>5368.75</v>
      </c>
      <c r="AA122" s="272">
        <f t="shared" si="36"/>
        <v>2684.375</v>
      </c>
      <c r="AB122" s="272">
        <f t="shared" si="36"/>
        <v>0</v>
      </c>
      <c r="AC122" s="272">
        <f t="shared" si="36"/>
        <v>0</v>
      </c>
      <c r="AD122" s="272">
        <f t="shared" si="36"/>
        <v>0</v>
      </c>
      <c r="AE122" s="272">
        <f t="shared" si="36"/>
        <v>0</v>
      </c>
      <c r="AF122" s="272">
        <f t="shared" si="36"/>
        <v>0</v>
      </c>
      <c r="AG122" s="272">
        <f t="shared" si="36"/>
        <v>0</v>
      </c>
      <c r="AH122" s="272">
        <f t="shared" si="36"/>
        <v>0</v>
      </c>
      <c r="AI122" s="272">
        <f t="shared" si="36"/>
        <v>0</v>
      </c>
      <c r="AJ122" s="272">
        <f t="shared" si="36"/>
        <v>0</v>
      </c>
    </row>
    <row r="123" spans="2:36" s="30" customFormat="1">
      <c r="B123" s="261" t="s">
        <v>81</v>
      </c>
      <c r="C123" s="261"/>
      <c r="D123" s="261"/>
      <c r="E123" s="271">
        <f t="shared" si="30"/>
        <v>0</v>
      </c>
      <c r="F123" s="271"/>
      <c r="G123" s="272">
        <f t="shared" ref="G123:AJ123" si="37">$E106*G106</f>
        <v>0</v>
      </c>
      <c r="H123" s="272">
        <f t="shared" si="37"/>
        <v>0</v>
      </c>
      <c r="I123" s="272">
        <f t="shared" si="37"/>
        <v>0</v>
      </c>
      <c r="J123" s="272">
        <f t="shared" si="37"/>
        <v>0</v>
      </c>
      <c r="K123" s="272">
        <f t="shared" si="37"/>
        <v>0</v>
      </c>
      <c r="L123" s="272">
        <f t="shared" si="37"/>
        <v>0</v>
      </c>
      <c r="M123" s="272">
        <f t="shared" si="37"/>
        <v>0</v>
      </c>
      <c r="N123" s="272">
        <f t="shared" si="37"/>
        <v>0</v>
      </c>
      <c r="O123" s="272">
        <f t="shared" si="37"/>
        <v>0</v>
      </c>
      <c r="P123" s="272">
        <f t="shared" si="37"/>
        <v>0</v>
      </c>
      <c r="Q123" s="272">
        <f t="shared" si="37"/>
        <v>0</v>
      </c>
      <c r="R123" s="272">
        <f t="shared" si="37"/>
        <v>0</v>
      </c>
      <c r="S123" s="272">
        <f t="shared" si="37"/>
        <v>0</v>
      </c>
      <c r="T123" s="272">
        <f t="shared" si="37"/>
        <v>0</v>
      </c>
      <c r="U123" s="272">
        <f t="shared" si="37"/>
        <v>0</v>
      </c>
      <c r="V123" s="272">
        <f t="shared" si="37"/>
        <v>0</v>
      </c>
      <c r="W123" s="272">
        <f t="shared" si="37"/>
        <v>0</v>
      </c>
      <c r="X123" s="272">
        <f t="shared" si="37"/>
        <v>0</v>
      </c>
      <c r="Y123" s="272">
        <f t="shared" si="37"/>
        <v>0</v>
      </c>
      <c r="Z123" s="272">
        <f t="shared" si="37"/>
        <v>0</v>
      </c>
      <c r="AA123" s="272">
        <f t="shared" si="37"/>
        <v>0</v>
      </c>
      <c r="AB123" s="272">
        <f t="shared" si="37"/>
        <v>0</v>
      </c>
      <c r="AC123" s="272">
        <f t="shared" si="37"/>
        <v>0</v>
      </c>
      <c r="AD123" s="272">
        <f t="shared" si="37"/>
        <v>0</v>
      </c>
      <c r="AE123" s="272">
        <f t="shared" si="37"/>
        <v>0</v>
      </c>
      <c r="AF123" s="272">
        <f t="shared" si="37"/>
        <v>0</v>
      </c>
      <c r="AG123" s="272">
        <f t="shared" si="37"/>
        <v>0</v>
      </c>
      <c r="AH123" s="272">
        <f t="shared" si="37"/>
        <v>0</v>
      </c>
      <c r="AI123" s="272">
        <f t="shared" si="37"/>
        <v>0</v>
      </c>
      <c r="AJ123" s="272">
        <f t="shared" si="37"/>
        <v>0</v>
      </c>
    </row>
    <row r="124" spans="2:36" s="30" customFormat="1">
      <c r="B124" s="261" t="s">
        <v>363</v>
      </c>
      <c r="C124" s="261"/>
      <c r="D124" s="261"/>
      <c r="E124" s="271">
        <f t="shared" si="30"/>
        <v>10737500</v>
      </c>
      <c r="F124" s="271"/>
      <c r="G124" s="272">
        <f t="shared" ref="G124:AJ124" si="38">$E107*G107</f>
        <v>10737500</v>
      </c>
      <c r="H124" s="272">
        <f t="shared" si="38"/>
        <v>0</v>
      </c>
      <c r="I124" s="272">
        <f t="shared" si="38"/>
        <v>0</v>
      </c>
      <c r="J124" s="272">
        <f t="shared" si="38"/>
        <v>0</v>
      </c>
      <c r="K124" s="272">
        <f t="shared" si="38"/>
        <v>0</v>
      </c>
      <c r="L124" s="272">
        <f t="shared" si="38"/>
        <v>0</v>
      </c>
      <c r="M124" s="272">
        <f t="shared" si="38"/>
        <v>0</v>
      </c>
      <c r="N124" s="272">
        <f t="shared" si="38"/>
        <v>0</v>
      </c>
      <c r="O124" s="272">
        <f t="shared" si="38"/>
        <v>0</v>
      </c>
      <c r="P124" s="272">
        <f t="shared" si="38"/>
        <v>0</v>
      </c>
      <c r="Q124" s="272">
        <f t="shared" si="38"/>
        <v>0</v>
      </c>
      <c r="R124" s="272">
        <f t="shared" si="38"/>
        <v>0</v>
      </c>
      <c r="S124" s="272">
        <f t="shared" si="38"/>
        <v>0</v>
      </c>
      <c r="T124" s="272">
        <f t="shared" si="38"/>
        <v>0</v>
      </c>
      <c r="U124" s="272">
        <f t="shared" si="38"/>
        <v>0</v>
      </c>
      <c r="V124" s="272">
        <f t="shared" si="38"/>
        <v>0</v>
      </c>
      <c r="W124" s="272">
        <f t="shared" si="38"/>
        <v>0</v>
      </c>
      <c r="X124" s="272">
        <f t="shared" si="38"/>
        <v>0</v>
      </c>
      <c r="Y124" s="272">
        <f t="shared" si="38"/>
        <v>0</v>
      </c>
      <c r="Z124" s="272">
        <f t="shared" si="38"/>
        <v>0</v>
      </c>
      <c r="AA124" s="272">
        <f t="shared" si="38"/>
        <v>0</v>
      </c>
      <c r="AB124" s="272">
        <f t="shared" si="38"/>
        <v>0</v>
      </c>
      <c r="AC124" s="272">
        <f t="shared" si="38"/>
        <v>0</v>
      </c>
      <c r="AD124" s="272">
        <f t="shared" si="38"/>
        <v>0</v>
      </c>
      <c r="AE124" s="272">
        <f t="shared" si="38"/>
        <v>0</v>
      </c>
      <c r="AF124" s="272">
        <f t="shared" si="38"/>
        <v>0</v>
      </c>
      <c r="AG124" s="272">
        <f t="shared" si="38"/>
        <v>0</v>
      </c>
      <c r="AH124" s="272">
        <f t="shared" si="38"/>
        <v>0</v>
      </c>
      <c r="AI124" s="272">
        <f t="shared" si="38"/>
        <v>0</v>
      </c>
      <c r="AJ124" s="272">
        <f t="shared" si="38"/>
        <v>0</v>
      </c>
    </row>
    <row r="125" spans="2:36" s="30" customFormat="1">
      <c r="B125" s="274" t="s">
        <v>24</v>
      </c>
      <c r="C125" s="274"/>
      <c r="D125" s="274"/>
      <c r="E125" s="275">
        <f>E108</f>
        <v>268437.5</v>
      </c>
      <c r="F125" s="271"/>
      <c r="G125" s="273"/>
      <c r="H125" s="273"/>
      <c r="I125" s="273"/>
      <c r="J125" s="273"/>
      <c r="K125" s="273"/>
      <c r="L125" s="273"/>
      <c r="M125" s="273"/>
      <c r="N125" s="273"/>
      <c r="O125" s="273"/>
      <c r="P125" s="273"/>
      <c r="Q125" s="273"/>
      <c r="R125" s="273"/>
      <c r="S125" s="273"/>
      <c r="T125" s="273"/>
      <c r="U125" s="273"/>
      <c r="V125" s="273"/>
      <c r="W125" s="273"/>
      <c r="X125" s="273"/>
      <c r="Y125" s="273"/>
      <c r="Z125" s="273"/>
      <c r="AA125" s="273"/>
      <c r="AB125" s="273"/>
      <c r="AC125" s="273"/>
      <c r="AD125" s="273"/>
      <c r="AE125" s="273"/>
      <c r="AF125" s="273"/>
      <c r="AG125" s="273"/>
      <c r="AH125" s="273"/>
      <c r="AI125" s="273"/>
      <c r="AJ125" s="273"/>
    </row>
    <row r="126" spans="2:36" s="30" customFormat="1">
      <c r="B126" s="276" t="s">
        <v>83</v>
      </c>
      <c r="C126" s="276"/>
      <c r="D126" s="276"/>
      <c r="E126" s="271">
        <f>SUM(E116:E125)</f>
        <v>21475000</v>
      </c>
      <c r="F126" s="277" t="str">
        <f>IF(ROUND(E126,0)=ROUND(E110,0),"OK","error")</f>
        <v>OK</v>
      </c>
      <c r="G126" s="273"/>
      <c r="H126" s="273"/>
      <c r="I126" s="273"/>
      <c r="J126" s="273"/>
      <c r="K126" s="273"/>
      <c r="L126" s="273"/>
      <c r="M126" s="273"/>
      <c r="N126" s="273"/>
      <c r="O126" s="273"/>
      <c r="P126" s="273"/>
      <c r="Q126" s="273"/>
      <c r="R126" s="273"/>
      <c r="S126" s="273"/>
      <c r="T126" s="273"/>
      <c r="U126" s="273"/>
      <c r="V126" s="273"/>
      <c r="W126" s="273"/>
      <c r="X126" s="273"/>
      <c r="Y126" s="273"/>
      <c r="Z126" s="273"/>
      <c r="AA126" s="273"/>
      <c r="AB126" s="273"/>
      <c r="AC126" s="273"/>
      <c r="AD126" s="273"/>
      <c r="AE126" s="273"/>
      <c r="AF126" s="273"/>
      <c r="AG126" s="273"/>
      <c r="AH126" s="273"/>
      <c r="AI126" s="273"/>
      <c r="AJ126" s="273"/>
    </row>
    <row r="127" spans="2:36" s="30" customFormat="1">
      <c r="B127" s="276"/>
      <c r="C127" s="276"/>
      <c r="D127" s="276"/>
      <c r="E127" s="271"/>
      <c r="F127" s="277"/>
      <c r="G127" s="273"/>
      <c r="H127" s="273"/>
      <c r="I127" s="273"/>
      <c r="J127" s="273"/>
      <c r="K127" s="273"/>
      <c r="L127" s="273"/>
      <c r="M127" s="273"/>
      <c r="N127" s="273"/>
      <c r="O127" s="273"/>
      <c r="P127" s="273"/>
      <c r="Q127" s="273"/>
      <c r="R127" s="273"/>
      <c r="S127" s="273"/>
      <c r="T127" s="273"/>
      <c r="U127" s="273"/>
      <c r="V127" s="273"/>
      <c r="W127" s="273"/>
      <c r="X127" s="273"/>
      <c r="Y127" s="273"/>
      <c r="Z127" s="273"/>
      <c r="AA127" s="273"/>
      <c r="AB127" s="273"/>
      <c r="AC127" s="273"/>
      <c r="AD127" s="273"/>
      <c r="AE127" s="273"/>
      <c r="AF127" s="273"/>
      <c r="AG127" s="273"/>
      <c r="AH127" s="273"/>
      <c r="AI127" s="273"/>
      <c r="AJ127" s="273"/>
    </row>
    <row r="128" spans="2:36" s="30" customFormat="1" ht="15.75">
      <c r="B128" s="263" t="s">
        <v>154</v>
      </c>
      <c r="C128" s="263"/>
      <c r="D128" s="263"/>
      <c r="E128" s="271"/>
      <c r="F128" s="277"/>
      <c r="G128" s="273"/>
      <c r="H128" s="273"/>
      <c r="I128" s="273"/>
      <c r="J128" s="273"/>
      <c r="K128" s="273"/>
      <c r="L128" s="273"/>
      <c r="M128" s="273"/>
      <c r="N128" s="273"/>
      <c r="O128" s="273"/>
      <c r="P128" s="273"/>
      <c r="Q128" s="273"/>
      <c r="R128" s="273"/>
      <c r="S128" s="273"/>
      <c r="T128" s="273"/>
      <c r="U128" s="273"/>
      <c r="V128" s="273"/>
      <c r="W128" s="273"/>
      <c r="X128" s="273"/>
      <c r="Y128" s="273"/>
      <c r="Z128" s="273"/>
      <c r="AA128" s="273"/>
      <c r="AB128" s="273"/>
      <c r="AC128" s="273"/>
      <c r="AD128" s="273"/>
      <c r="AE128" s="273"/>
      <c r="AF128" s="273"/>
      <c r="AG128" s="273"/>
      <c r="AH128" s="273"/>
      <c r="AI128" s="273"/>
      <c r="AJ128" s="273"/>
    </row>
    <row r="129" spans="2:36" s="30" customFormat="1">
      <c r="B129" s="261" t="s">
        <v>155</v>
      </c>
      <c r="C129" s="261"/>
      <c r="D129" s="261"/>
      <c r="E129" s="271">
        <f>Inputs!$Q$46*Inputs!$G$7</f>
        <v>0</v>
      </c>
      <c r="F129" s="277"/>
      <c r="G129" s="273">
        <f>IF(G$2=Inputs!$Q$45,'Cash Flow'!$E$129,0)</f>
        <v>0</v>
      </c>
      <c r="H129" s="273">
        <f>IF(H$2=Inputs!$Q$45,'Cash Flow'!$E$129,0)</f>
        <v>0</v>
      </c>
      <c r="I129" s="273">
        <f>IF(I$2=Inputs!$Q$45,'Cash Flow'!$E$129,0)</f>
        <v>0</v>
      </c>
      <c r="J129" s="273">
        <f>IF(J$2=Inputs!$Q$45,'Cash Flow'!$E$129,0)</f>
        <v>0</v>
      </c>
      <c r="K129" s="273">
        <f>IF(K$2=Inputs!$Q$45,'Cash Flow'!$E$129,0)</f>
        <v>0</v>
      </c>
      <c r="L129" s="273">
        <f>IF(L$2=Inputs!$Q$45,'Cash Flow'!$E$129,0)</f>
        <v>0</v>
      </c>
      <c r="M129" s="273">
        <f>IF(M$2=Inputs!$Q$45,'Cash Flow'!$E$129,0)</f>
        <v>0</v>
      </c>
      <c r="N129" s="273">
        <f>IF(N$2=Inputs!$Q$45,'Cash Flow'!$E$129,0)</f>
        <v>0</v>
      </c>
      <c r="O129" s="273">
        <f>IF(O$2=Inputs!$Q$45,'Cash Flow'!$E$129,0)</f>
        <v>0</v>
      </c>
      <c r="P129" s="273">
        <f>IF(P$2=Inputs!$Q$45,'Cash Flow'!$E$129,0)</f>
        <v>0</v>
      </c>
      <c r="Q129" s="273">
        <f>IF(Q$2=Inputs!$Q$45,'Cash Flow'!$E$129,0)</f>
        <v>0</v>
      </c>
      <c r="R129" s="273">
        <f>IF(R$2=Inputs!$Q$45,'Cash Flow'!$E$129,0)</f>
        <v>0</v>
      </c>
      <c r="S129" s="273">
        <f>IF(S$2=Inputs!$Q$45,'Cash Flow'!$E$129,0)</f>
        <v>0</v>
      </c>
      <c r="T129" s="273">
        <f>IF(T$2=Inputs!$Q$45,'Cash Flow'!$E$129,0)</f>
        <v>0</v>
      </c>
      <c r="U129" s="273">
        <f>IF(U$2=Inputs!$Q$45,'Cash Flow'!$E$129,0)</f>
        <v>0</v>
      </c>
      <c r="V129" s="273">
        <f>IF(V$2=Inputs!$Q$45,'Cash Flow'!$E$129,0)</f>
        <v>0</v>
      </c>
      <c r="W129" s="273">
        <f>IF(W$2=Inputs!$Q$45,'Cash Flow'!$E$129,0)</f>
        <v>0</v>
      </c>
      <c r="X129" s="273">
        <f>IF(X$2=Inputs!$Q$45,'Cash Flow'!$E$129,0)</f>
        <v>0</v>
      </c>
      <c r="Y129" s="273">
        <f>IF(Y$2=Inputs!$Q$45,'Cash Flow'!$E$129,0)</f>
        <v>0</v>
      </c>
      <c r="Z129" s="273">
        <f>IF(Z$2=Inputs!$Q$45,'Cash Flow'!$E$129,0)</f>
        <v>0</v>
      </c>
      <c r="AA129" s="273">
        <f>IF(AA$2=Inputs!$Q$45,'Cash Flow'!$E$129,0)</f>
        <v>0</v>
      </c>
      <c r="AB129" s="273">
        <f>IF(AB$2=Inputs!$Q$45,'Cash Flow'!$E$129,0)</f>
        <v>0</v>
      </c>
      <c r="AC129" s="273">
        <f>IF(AC$2=Inputs!$Q$45,'Cash Flow'!$E$129,0)</f>
        <v>0</v>
      </c>
      <c r="AD129" s="273">
        <f>IF(AD$2=Inputs!$Q$45,'Cash Flow'!$E$129,0)</f>
        <v>0</v>
      </c>
      <c r="AE129" s="273">
        <f>IF(AE$2=Inputs!$Q$45,'Cash Flow'!$E$129,0)</f>
        <v>0</v>
      </c>
      <c r="AF129" s="273">
        <f>IF(AF$2=Inputs!$Q$45,'Cash Flow'!$E$129,0)</f>
        <v>0</v>
      </c>
      <c r="AG129" s="273">
        <f>IF(AG$2=Inputs!$Q$45,'Cash Flow'!$E$129,0)</f>
        <v>0</v>
      </c>
      <c r="AH129" s="273">
        <f>IF(AH$2=Inputs!$Q$45,'Cash Flow'!$E$129,0)</f>
        <v>0</v>
      </c>
      <c r="AI129" s="273">
        <f>IF(AI$2=Inputs!$Q$45,'Cash Flow'!$E$129,0)</f>
        <v>0</v>
      </c>
      <c r="AJ129" s="273">
        <f>IF(AJ$2=Inputs!$Q$45,'Cash Flow'!$E$129,0)</f>
        <v>0</v>
      </c>
    </row>
    <row r="130" spans="2:36" s="30" customFormat="1">
      <c r="B130" s="261" t="s">
        <v>157</v>
      </c>
      <c r="C130" s="261"/>
      <c r="D130" s="261"/>
      <c r="E130" s="271"/>
      <c r="F130" s="277"/>
      <c r="G130" s="278">
        <f>IF(G129&gt;0,1,IF(F130&gt;0,F130+1,0))</f>
        <v>0</v>
      </c>
      <c r="H130" s="278">
        <f t="shared" ref="H130:AJ130" si="39">IF(H129&gt;0,1,IF(G130&gt;0,G130+1,0))</f>
        <v>0</v>
      </c>
      <c r="I130" s="278">
        <f t="shared" si="39"/>
        <v>0</v>
      </c>
      <c r="J130" s="278">
        <f t="shared" si="39"/>
        <v>0</v>
      </c>
      <c r="K130" s="278">
        <f t="shared" si="39"/>
        <v>0</v>
      </c>
      <c r="L130" s="278">
        <f t="shared" si="39"/>
        <v>0</v>
      </c>
      <c r="M130" s="278">
        <f t="shared" si="39"/>
        <v>0</v>
      </c>
      <c r="N130" s="278">
        <f t="shared" si="39"/>
        <v>0</v>
      </c>
      <c r="O130" s="278">
        <f t="shared" si="39"/>
        <v>0</v>
      </c>
      <c r="P130" s="278">
        <f t="shared" si="39"/>
        <v>0</v>
      </c>
      <c r="Q130" s="278">
        <f t="shared" si="39"/>
        <v>0</v>
      </c>
      <c r="R130" s="278">
        <f t="shared" si="39"/>
        <v>0</v>
      </c>
      <c r="S130" s="278">
        <f t="shared" si="39"/>
        <v>0</v>
      </c>
      <c r="T130" s="278">
        <f t="shared" si="39"/>
        <v>0</v>
      </c>
      <c r="U130" s="278">
        <f t="shared" si="39"/>
        <v>0</v>
      </c>
      <c r="V130" s="278">
        <f t="shared" si="39"/>
        <v>0</v>
      </c>
      <c r="W130" s="278">
        <f t="shared" si="39"/>
        <v>0</v>
      </c>
      <c r="X130" s="278">
        <f t="shared" si="39"/>
        <v>0</v>
      </c>
      <c r="Y130" s="278">
        <f t="shared" si="39"/>
        <v>0</v>
      </c>
      <c r="Z130" s="278">
        <f t="shared" si="39"/>
        <v>0</v>
      </c>
      <c r="AA130" s="278">
        <f t="shared" si="39"/>
        <v>0</v>
      </c>
      <c r="AB130" s="278">
        <f t="shared" si="39"/>
        <v>0</v>
      </c>
      <c r="AC130" s="278">
        <f t="shared" si="39"/>
        <v>0</v>
      </c>
      <c r="AD130" s="278">
        <f t="shared" si="39"/>
        <v>0</v>
      </c>
      <c r="AE130" s="278">
        <f t="shared" si="39"/>
        <v>0</v>
      </c>
      <c r="AF130" s="278">
        <f t="shared" si="39"/>
        <v>0</v>
      </c>
      <c r="AG130" s="278">
        <f t="shared" si="39"/>
        <v>0</v>
      </c>
      <c r="AH130" s="278">
        <f t="shared" si="39"/>
        <v>0</v>
      </c>
      <c r="AI130" s="278">
        <f t="shared" si="39"/>
        <v>0</v>
      </c>
      <c r="AJ130" s="278">
        <f t="shared" si="39"/>
        <v>0</v>
      </c>
    </row>
    <row r="131" spans="2:36" s="30" customFormat="1">
      <c r="B131" s="274" t="s">
        <v>158</v>
      </c>
      <c r="C131" s="274"/>
      <c r="D131" s="274"/>
      <c r="E131" s="275"/>
      <c r="F131" s="277"/>
      <c r="G131" s="273">
        <f t="shared" ref="G131:AJ131" si="40">IF(G130=0,0,$E$129*LOOKUP(G130,$G$97:$AJ$97,$G$99:$AJ$99))</f>
        <v>0</v>
      </c>
      <c r="H131" s="273">
        <f t="shared" si="40"/>
        <v>0</v>
      </c>
      <c r="I131" s="273">
        <f t="shared" si="40"/>
        <v>0</v>
      </c>
      <c r="J131" s="273">
        <f t="shared" si="40"/>
        <v>0</v>
      </c>
      <c r="K131" s="273">
        <f t="shared" si="40"/>
        <v>0</v>
      </c>
      <c r="L131" s="273">
        <f t="shared" si="40"/>
        <v>0</v>
      </c>
      <c r="M131" s="273">
        <f t="shared" si="40"/>
        <v>0</v>
      </c>
      <c r="N131" s="273">
        <f t="shared" si="40"/>
        <v>0</v>
      </c>
      <c r="O131" s="273">
        <f t="shared" si="40"/>
        <v>0</v>
      </c>
      <c r="P131" s="273">
        <f t="shared" si="40"/>
        <v>0</v>
      </c>
      <c r="Q131" s="273">
        <f t="shared" si="40"/>
        <v>0</v>
      </c>
      <c r="R131" s="273">
        <f t="shared" si="40"/>
        <v>0</v>
      </c>
      <c r="S131" s="273">
        <f t="shared" si="40"/>
        <v>0</v>
      </c>
      <c r="T131" s="273">
        <f t="shared" si="40"/>
        <v>0</v>
      </c>
      <c r="U131" s="273">
        <f t="shared" si="40"/>
        <v>0</v>
      </c>
      <c r="V131" s="273">
        <f t="shared" si="40"/>
        <v>0</v>
      </c>
      <c r="W131" s="273">
        <f t="shared" si="40"/>
        <v>0</v>
      </c>
      <c r="X131" s="273">
        <f t="shared" si="40"/>
        <v>0</v>
      </c>
      <c r="Y131" s="273">
        <f t="shared" si="40"/>
        <v>0</v>
      </c>
      <c r="Z131" s="273">
        <f t="shared" si="40"/>
        <v>0</v>
      </c>
      <c r="AA131" s="273">
        <f t="shared" si="40"/>
        <v>0</v>
      </c>
      <c r="AB131" s="273">
        <f t="shared" si="40"/>
        <v>0</v>
      </c>
      <c r="AC131" s="273">
        <f t="shared" si="40"/>
        <v>0</v>
      </c>
      <c r="AD131" s="273">
        <f t="shared" si="40"/>
        <v>0</v>
      </c>
      <c r="AE131" s="273">
        <f t="shared" si="40"/>
        <v>0</v>
      </c>
      <c r="AF131" s="273">
        <f t="shared" si="40"/>
        <v>0</v>
      </c>
      <c r="AG131" s="273">
        <f t="shared" si="40"/>
        <v>0</v>
      </c>
      <c r="AH131" s="273">
        <f t="shared" si="40"/>
        <v>0</v>
      </c>
      <c r="AI131" s="273">
        <f t="shared" si="40"/>
        <v>0</v>
      </c>
      <c r="AJ131" s="273">
        <f t="shared" si="40"/>
        <v>0</v>
      </c>
    </row>
    <row r="132" spans="2:36" s="30" customFormat="1">
      <c r="B132" s="261" t="s">
        <v>156</v>
      </c>
      <c r="C132" s="261"/>
      <c r="D132" s="261"/>
      <c r="E132" s="271">
        <f>Inputs!$Q$48*Inputs!$G$7</f>
        <v>0</v>
      </c>
      <c r="F132" s="277"/>
      <c r="G132" s="273">
        <f>IF(G$2=Inputs!$Q$47,'Cash Flow'!$E$132,0)</f>
        <v>0</v>
      </c>
      <c r="H132" s="273">
        <f>IF(H$2=Inputs!$Q$47,'Cash Flow'!$E$132,0)</f>
        <v>0</v>
      </c>
      <c r="I132" s="273">
        <f>IF(I$2=Inputs!$Q$47,'Cash Flow'!$E$132,0)</f>
        <v>0</v>
      </c>
      <c r="J132" s="273">
        <f>IF(J$2=Inputs!$Q$47,'Cash Flow'!$E$132,0)</f>
        <v>0</v>
      </c>
      <c r="K132" s="273">
        <f>IF(K$2=Inputs!$Q$47,'Cash Flow'!$E$132,0)</f>
        <v>0</v>
      </c>
      <c r="L132" s="273">
        <f>IF(L$2=Inputs!$Q$47,'Cash Flow'!$E$132,0)</f>
        <v>0</v>
      </c>
      <c r="M132" s="273">
        <f>IF(M$2=Inputs!$Q$47,'Cash Flow'!$E$132,0)</f>
        <v>0</v>
      </c>
      <c r="N132" s="273">
        <f>IF(N$2=Inputs!$Q$47,'Cash Flow'!$E$132,0)</f>
        <v>0</v>
      </c>
      <c r="O132" s="273">
        <f>IF(O$2=Inputs!$Q$47,'Cash Flow'!$E$132,0)</f>
        <v>0</v>
      </c>
      <c r="P132" s="273">
        <f>IF(P$2=Inputs!$Q$47,'Cash Flow'!$E$132,0)</f>
        <v>0</v>
      </c>
      <c r="Q132" s="273">
        <f>IF(Q$2=Inputs!$Q$47,'Cash Flow'!$E$132,0)</f>
        <v>0</v>
      </c>
      <c r="R132" s="273">
        <f>IF(R$2=Inputs!$Q$47,'Cash Flow'!$E$132,0)</f>
        <v>0</v>
      </c>
      <c r="S132" s="273">
        <f>IF(S$2=Inputs!$Q$47,'Cash Flow'!$E$132,0)</f>
        <v>0</v>
      </c>
      <c r="T132" s="273">
        <f>IF(T$2=Inputs!$Q$47,'Cash Flow'!$E$132,0)</f>
        <v>0</v>
      </c>
      <c r="U132" s="273">
        <f>IF(U$2=Inputs!$Q$47,'Cash Flow'!$E$132,0)</f>
        <v>0</v>
      </c>
      <c r="V132" s="273">
        <f>IF(V$2=Inputs!$Q$47,'Cash Flow'!$E$132,0)</f>
        <v>0</v>
      </c>
      <c r="W132" s="273">
        <f>IF(W$2=Inputs!$Q$47,'Cash Flow'!$E$132,0)</f>
        <v>0</v>
      </c>
      <c r="X132" s="273">
        <f>IF(X$2=Inputs!$Q$47,'Cash Flow'!$E$132,0)</f>
        <v>0</v>
      </c>
      <c r="Y132" s="273">
        <f>IF(Y$2=Inputs!$Q$47,'Cash Flow'!$E$132,0)</f>
        <v>0</v>
      </c>
      <c r="Z132" s="273">
        <f>IF(Z$2=Inputs!$Q$47,'Cash Flow'!$E$132,0)</f>
        <v>0</v>
      </c>
      <c r="AA132" s="273">
        <f>IF(AA$2=Inputs!$Q$47,'Cash Flow'!$E$132,0)</f>
        <v>0</v>
      </c>
      <c r="AB132" s="273">
        <f>IF(AB$2=Inputs!$Q$47,'Cash Flow'!$E$132,0)</f>
        <v>0</v>
      </c>
      <c r="AC132" s="273">
        <f>IF(AC$2=Inputs!$Q$47,'Cash Flow'!$E$132,0)</f>
        <v>0</v>
      </c>
      <c r="AD132" s="273">
        <f>IF(AD$2=Inputs!$Q$47,'Cash Flow'!$E$132,0)</f>
        <v>0</v>
      </c>
      <c r="AE132" s="273">
        <f>IF(AE$2=Inputs!$Q$47,'Cash Flow'!$E$132,0)</f>
        <v>0</v>
      </c>
      <c r="AF132" s="273">
        <f>IF(AF$2=Inputs!$Q$47,'Cash Flow'!$E$132,0)</f>
        <v>0</v>
      </c>
      <c r="AG132" s="273">
        <f>IF(AG$2=Inputs!$Q$47,'Cash Flow'!$E$132,0)</f>
        <v>0</v>
      </c>
      <c r="AH132" s="273">
        <f>IF(AH$2=Inputs!$Q$47,'Cash Flow'!$E$132,0)</f>
        <v>0</v>
      </c>
      <c r="AI132" s="273">
        <f>IF(AI$2=Inputs!$Q$47,'Cash Flow'!$E$132,0)</f>
        <v>0</v>
      </c>
      <c r="AJ132" s="273">
        <f>IF(AJ$2=Inputs!$Q$47,'Cash Flow'!$E$132,0)</f>
        <v>0</v>
      </c>
    </row>
    <row r="133" spans="2:36" s="30" customFormat="1">
      <c r="B133" s="261" t="s">
        <v>157</v>
      </c>
      <c r="C133" s="261"/>
      <c r="D133" s="261"/>
      <c r="E133" s="271"/>
      <c r="F133" s="277"/>
      <c r="G133" s="278">
        <f t="shared" ref="G133:AJ133" si="41">IF(G132&gt;0,1,IF(F133&gt;0,F133+1,0))</f>
        <v>0</v>
      </c>
      <c r="H133" s="278">
        <f t="shared" si="41"/>
        <v>0</v>
      </c>
      <c r="I133" s="278">
        <f t="shared" si="41"/>
        <v>0</v>
      </c>
      <c r="J133" s="278">
        <f t="shared" si="41"/>
        <v>0</v>
      </c>
      <c r="K133" s="278">
        <f t="shared" si="41"/>
        <v>0</v>
      </c>
      <c r="L133" s="278">
        <f t="shared" si="41"/>
        <v>0</v>
      </c>
      <c r="M133" s="278">
        <f t="shared" si="41"/>
        <v>0</v>
      </c>
      <c r="N133" s="278">
        <f t="shared" si="41"/>
        <v>0</v>
      </c>
      <c r="O133" s="278">
        <f t="shared" si="41"/>
        <v>0</v>
      </c>
      <c r="P133" s="278">
        <f t="shared" si="41"/>
        <v>0</v>
      </c>
      <c r="Q133" s="278">
        <f t="shared" si="41"/>
        <v>0</v>
      </c>
      <c r="R133" s="278">
        <f t="shared" si="41"/>
        <v>0</v>
      </c>
      <c r="S133" s="278">
        <f t="shared" si="41"/>
        <v>0</v>
      </c>
      <c r="T133" s="278">
        <f t="shared" si="41"/>
        <v>0</v>
      </c>
      <c r="U133" s="278">
        <f t="shared" si="41"/>
        <v>0</v>
      </c>
      <c r="V133" s="278">
        <f t="shared" si="41"/>
        <v>0</v>
      </c>
      <c r="W133" s="278">
        <f t="shared" si="41"/>
        <v>0</v>
      </c>
      <c r="X133" s="278">
        <f t="shared" si="41"/>
        <v>0</v>
      </c>
      <c r="Y133" s="278">
        <f t="shared" si="41"/>
        <v>0</v>
      </c>
      <c r="Z133" s="278">
        <f t="shared" si="41"/>
        <v>0</v>
      </c>
      <c r="AA133" s="278">
        <f t="shared" si="41"/>
        <v>0</v>
      </c>
      <c r="AB133" s="278">
        <f t="shared" si="41"/>
        <v>0</v>
      </c>
      <c r="AC133" s="278">
        <f t="shared" si="41"/>
        <v>0</v>
      </c>
      <c r="AD133" s="278">
        <f t="shared" si="41"/>
        <v>0</v>
      </c>
      <c r="AE133" s="278">
        <f t="shared" si="41"/>
        <v>0</v>
      </c>
      <c r="AF133" s="278">
        <f t="shared" si="41"/>
        <v>0</v>
      </c>
      <c r="AG133" s="278">
        <f t="shared" si="41"/>
        <v>0</v>
      </c>
      <c r="AH133" s="278">
        <f t="shared" si="41"/>
        <v>0</v>
      </c>
      <c r="AI133" s="278">
        <f t="shared" si="41"/>
        <v>0</v>
      </c>
      <c r="AJ133" s="278">
        <f t="shared" si="41"/>
        <v>0</v>
      </c>
    </row>
    <row r="134" spans="2:36" s="30" customFormat="1">
      <c r="B134" s="274" t="s">
        <v>158</v>
      </c>
      <c r="C134" s="274"/>
      <c r="D134" s="274"/>
      <c r="E134" s="275"/>
      <c r="F134" s="277"/>
      <c r="G134" s="273">
        <f t="shared" ref="G134:AJ134" si="42">IF(G133=0,0,$E$132*LOOKUP(G133,$G$97:$AJ$97,$G$99:$AJ$99))</f>
        <v>0</v>
      </c>
      <c r="H134" s="273">
        <f t="shared" si="42"/>
        <v>0</v>
      </c>
      <c r="I134" s="273">
        <f t="shared" si="42"/>
        <v>0</v>
      </c>
      <c r="J134" s="273">
        <f t="shared" si="42"/>
        <v>0</v>
      </c>
      <c r="K134" s="273">
        <f t="shared" si="42"/>
        <v>0</v>
      </c>
      <c r="L134" s="273">
        <f t="shared" si="42"/>
        <v>0</v>
      </c>
      <c r="M134" s="273">
        <f t="shared" si="42"/>
        <v>0</v>
      </c>
      <c r="N134" s="273">
        <f t="shared" si="42"/>
        <v>0</v>
      </c>
      <c r="O134" s="273">
        <f t="shared" si="42"/>
        <v>0</v>
      </c>
      <c r="P134" s="273">
        <f t="shared" si="42"/>
        <v>0</v>
      </c>
      <c r="Q134" s="273">
        <f t="shared" si="42"/>
        <v>0</v>
      </c>
      <c r="R134" s="273">
        <f t="shared" si="42"/>
        <v>0</v>
      </c>
      <c r="S134" s="273">
        <f t="shared" si="42"/>
        <v>0</v>
      </c>
      <c r="T134" s="273">
        <f t="shared" si="42"/>
        <v>0</v>
      </c>
      <c r="U134" s="273">
        <f t="shared" si="42"/>
        <v>0</v>
      </c>
      <c r="V134" s="273">
        <f t="shared" si="42"/>
        <v>0</v>
      </c>
      <c r="W134" s="273">
        <f t="shared" si="42"/>
        <v>0</v>
      </c>
      <c r="X134" s="273">
        <f t="shared" si="42"/>
        <v>0</v>
      </c>
      <c r="Y134" s="273">
        <f t="shared" si="42"/>
        <v>0</v>
      </c>
      <c r="Z134" s="273">
        <f t="shared" si="42"/>
        <v>0</v>
      </c>
      <c r="AA134" s="273">
        <f t="shared" si="42"/>
        <v>0</v>
      </c>
      <c r="AB134" s="273">
        <f t="shared" si="42"/>
        <v>0</v>
      </c>
      <c r="AC134" s="273">
        <f t="shared" si="42"/>
        <v>0</v>
      </c>
      <c r="AD134" s="273">
        <f t="shared" si="42"/>
        <v>0</v>
      </c>
      <c r="AE134" s="273">
        <f t="shared" si="42"/>
        <v>0</v>
      </c>
      <c r="AF134" s="273">
        <f t="shared" si="42"/>
        <v>0</v>
      </c>
      <c r="AG134" s="273">
        <f t="shared" si="42"/>
        <v>0</v>
      </c>
      <c r="AH134" s="273">
        <f t="shared" si="42"/>
        <v>0</v>
      </c>
      <c r="AI134" s="273">
        <f t="shared" si="42"/>
        <v>0</v>
      </c>
      <c r="AJ134" s="273">
        <f t="shared" si="42"/>
        <v>0</v>
      </c>
    </row>
    <row r="135" spans="2:36" s="30" customFormat="1">
      <c r="B135" s="261" t="s">
        <v>394</v>
      </c>
      <c r="C135" s="261"/>
      <c r="D135" s="261"/>
      <c r="E135" s="271">
        <f>Inputs!$Q$50*Inputs!$G$7</f>
        <v>0</v>
      </c>
      <c r="F135" s="277"/>
      <c r="G135" s="273">
        <f>IF(G$2=Inputs!$Q$49,'Cash Flow'!$E$135,0)</f>
        <v>0</v>
      </c>
      <c r="H135" s="273">
        <f>IF(H$2=Inputs!$Q$49,'Cash Flow'!$E$135,0)</f>
        <v>0</v>
      </c>
      <c r="I135" s="273">
        <f>IF(I$2=Inputs!$Q$49,'Cash Flow'!$E$135,0)</f>
        <v>0</v>
      </c>
      <c r="J135" s="273">
        <f>IF(J$2=Inputs!$Q$49,'Cash Flow'!$E$135,0)</f>
        <v>0</v>
      </c>
      <c r="K135" s="273">
        <f>IF(K$2=Inputs!$Q$49,'Cash Flow'!$E$135,0)</f>
        <v>0</v>
      </c>
      <c r="L135" s="273">
        <f>IF(L$2=Inputs!$Q$49,'Cash Flow'!$E$135,0)</f>
        <v>0</v>
      </c>
      <c r="M135" s="273">
        <f>IF(M$2=Inputs!$Q$49,'Cash Flow'!$E$135,0)</f>
        <v>0</v>
      </c>
      <c r="N135" s="273">
        <f>IF(N$2=Inputs!$Q$49,'Cash Flow'!$E$135,0)</f>
        <v>0</v>
      </c>
      <c r="O135" s="273">
        <f>IF(O$2=Inputs!$Q$49,'Cash Flow'!$E$135,0)</f>
        <v>0</v>
      </c>
      <c r="P135" s="273">
        <f>IF(P$2=Inputs!$Q$49,'Cash Flow'!$E$135,0)</f>
        <v>0</v>
      </c>
      <c r="Q135" s="273">
        <f>IF(Q$2=Inputs!$Q$49,'Cash Flow'!$E$135,0)</f>
        <v>0</v>
      </c>
      <c r="R135" s="273">
        <f>IF(R$2=Inputs!$Q$49,'Cash Flow'!$E$135,0)</f>
        <v>0</v>
      </c>
      <c r="S135" s="273">
        <f>IF(S$2=Inputs!$Q$49,'Cash Flow'!$E$135,0)</f>
        <v>0</v>
      </c>
      <c r="T135" s="273">
        <f>IF(T$2=Inputs!$Q$49,'Cash Flow'!$E$135,0)</f>
        <v>0</v>
      </c>
      <c r="U135" s="273">
        <f>IF(U$2=Inputs!$Q$49,'Cash Flow'!$E$135,0)</f>
        <v>0</v>
      </c>
      <c r="V135" s="273">
        <f>IF(V$2=Inputs!$Q$49,'Cash Flow'!$E$135,0)</f>
        <v>0</v>
      </c>
      <c r="W135" s="273">
        <f>IF(W$2=Inputs!$Q$49,'Cash Flow'!$E$135,0)</f>
        <v>0</v>
      </c>
      <c r="X135" s="273">
        <f>IF(X$2=Inputs!$Q$49,'Cash Flow'!$E$135,0)</f>
        <v>0</v>
      </c>
      <c r="Y135" s="273">
        <f>IF(Y$2=Inputs!$Q$49,'Cash Flow'!$E$135,0)</f>
        <v>0</v>
      </c>
      <c r="Z135" s="273">
        <f>IF(Z$2=Inputs!$Q$49,'Cash Flow'!$E$135,0)</f>
        <v>0</v>
      </c>
      <c r="AA135" s="273">
        <f>IF(AA$2=Inputs!$Q$49,'Cash Flow'!$E$135,0)</f>
        <v>0</v>
      </c>
      <c r="AB135" s="273">
        <f>IF(AB$2=Inputs!$Q$49,'Cash Flow'!$E$135,0)</f>
        <v>0</v>
      </c>
      <c r="AC135" s="273">
        <f>IF(AC$2=Inputs!$Q$49,'Cash Flow'!$E$135,0)</f>
        <v>0</v>
      </c>
      <c r="AD135" s="273">
        <f>IF(AD$2=Inputs!$Q$49,'Cash Flow'!$E$135,0)</f>
        <v>0</v>
      </c>
      <c r="AE135" s="273">
        <f>IF(AE$2=Inputs!$Q$49,'Cash Flow'!$E$135,0)</f>
        <v>0</v>
      </c>
      <c r="AF135" s="273">
        <f>IF(AF$2=Inputs!$Q$49,'Cash Flow'!$E$135,0)</f>
        <v>0</v>
      </c>
      <c r="AG135" s="273">
        <f>IF(AG$2=Inputs!$Q$49,'Cash Flow'!$E$135,0)</f>
        <v>0</v>
      </c>
      <c r="AH135" s="273">
        <f>IF(AH$2=Inputs!$Q$49,'Cash Flow'!$E$135,0)</f>
        <v>0</v>
      </c>
      <c r="AI135" s="273">
        <f>IF(AI$2=Inputs!$Q$49,'Cash Flow'!$E$135,0)</f>
        <v>0</v>
      </c>
      <c r="AJ135" s="273">
        <f>IF(AJ$2=Inputs!$Q$49,'Cash Flow'!$E$135,0)</f>
        <v>0</v>
      </c>
    </row>
    <row r="136" spans="2:36" s="30" customFormat="1">
      <c r="B136" s="261" t="s">
        <v>157</v>
      </c>
      <c r="C136" s="261"/>
      <c r="D136" s="261"/>
      <c r="E136" s="271"/>
      <c r="F136" s="277"/>
      <c r="G136" s="278">
        <f>IF(G135&gt;0,1,IF(F136&gt;0,F136+1,0))</f>
        <v>0</v>
      </c>
      <c r="H136" s="278">
        <f t="shared" ref="H136:AJ136" si="43">IF(H135&gt;0,1,IF(G136&gt;0,G136+1,0))</f>
        <v>0</v>
      </c>
      <c r="I136" s="278">
        <f t="shared" si="43"/>
        <v>0</v>
      </c>
      <c r="J136" s="278">
        <f t="shared" si="43"/>
        <v>0</v>
      </c>
      <c r="K136" s="278">
        <f t="shared" si="43"/>
        <v>0</v>
      </c>
      <c r="L136" s="278">
        <f t="shared" si="43"/>
        <v>0</v>
      </c>
      <c r="M136" s="278">
        <f t="shared" si="43"/>
        <v>0</v>
      </c>
      <c r="N136" s="278">
        <f t="shared" si="43"/>
        <v>0</v>
      </c>
      <c r="O136" s="278">
        <f t="shared" si="43"/>
        <v>0</v>
      </c>
      <c r="P136" s="278">
        <f t="shared" si="43"/>
        <v>0</v>
      </c>
      <c r="Q136" s="278">
        <f t="shared" si="43"/>
        <v>0</v>
      </c>
      <c r="R136" s="278">
        <f t="shared" si="43"/>
        <v>0</v>
      </c>
      <c r="S136" s="278">
        <f t="shared" si="43"/>
        <v>0</v>
      </c>
      <c r="T136" s="278">
        <f t="shared" si="43"/>
        <v>0</v>
      </c>
      <c r="U136" s="278">
        <f t="shared" si="43"/>
        <v>0</v>
      </c>
      <c r="V136" s="278">
        <f t="shared" si="43"/>
        <v>0</v>
      </c>
      <c r="W136" s="278">
        <f t="shared" si="43"/>
        <v>0</v>
      </c>
      <c r="X136" s="278">
        <f t="shared" si="43"/>
        <v>0</v>
      </c>
      <c r="Y136" s="278">
        <f t="shared" si="43"/>
        <v>0</v>
      </c>
      <c r="Z136" s="278">
        <f t="shared" si="43"/>
        <v>0</v>
      </c>
      <c r="AA136" s="278">
        <f t="shared" si="43"/>
        <v>0</v>
      </c>
      <c r="AB136" s="278">
        <f t="shared" si="43"/>
        <v>0</v>
      </c>
      <c r="AC136" s="278">
        <f t="shared" si="43"/>
        <v>0</v>
      </c>
      <c r="AD136" s="278">
        <f t="shared" si="43"/>
        <v>0</v>
      </c>
      <c r="AE136" s="278">
        <f t="shared" si="43"/>
        <v>0</v>
      </c>
      <c r="AF136" s="278">
        <f t="shared" si="43"/>
        <v>0</v>
      </c>
      <c r="AG136" s="278">
        <f t="shared" si="43"/>
        <v>0</v>
      </c>
      <c r="AH136" s="278">
        <f t="shared" si="43"/>
        <v>0</v>
      </c>
      <c r="AI136" s="278">
        <f t="shared" si="43"/>
        <v>0</v>
      </c>
      <c r="AJ136" s="278">
        <f t="shared" si="43"/>
        <v>0</v>
      </c>
    </row>
    <row r="137" spans="2:36" s="30" customFormat="1">
      <c r="B137" s="274" t="s">
        <v>158</v>
      </c>
      <c r="C137" s="274"/>
      <c r="D137" s="274"/>
      <c r="E137" s="275"/>
      <c r="F137" s="277"/>
      <c r="G137" s="273">
        <f>IF(G136=0,0,$E$135*LOOKUP(G136,$G$97:$AJ$97,$G$99:$AJ$99))</f>
        <v>0</v>
      </c>
      <c r="H137" s="273">
        <f t="shared" ref="H137:AJ137" si="44">IF(H136=0,0,$E$135*LOOKUP(H136,$G$97:$AJ$97,$G$99:$AJ$99))</f>
        <v>0</v>
      </c>
      <c r="I137" s="273">
        <f t="shared" si="44"/>
        <v>0</v>
      </c>
      <c r="J137" s="273">
        <f t="shared" si="44"/>
        <v>0</v>
      </c>
      <c r="K137" s="273">
        <f t="shared" si="44"/>
        <v>0</v>
      </c>
      <c r="L137" s="273">
        <f t="shared" si="44"/>
        <v>0</v>
      </c>
      <c r="M137" s="273">
        <f t="shared" si="44"/>
        <v>0</v>
      </c>
      <c r="N137" s="273">
        <f t="shared" si="44"/>
        <v>0</v>
      </c>
      <c r="O137" s="273">
        <f t="shared" si="44"/>
        <v>0</v>
      </c>
      <c r="P137" s="273">
        <f t="shared" si="44"/>
        <v>0</v>
      </c>
      <c r="Q137" s="273">
        <f t="shared" si="44"/>
        <v>0</v>
      </c>
      <c r="R137" s="273">
        <f t="shared" si="44"/>
        <v>0</v>
      </c>
      <c r="S137" s="273">
        <f t="shared" si="44"/>
        <v>0</v>
      </c>
      <c r="T137" s="273">
        <f t="shared" si="44"/>
        <v>0</v>
      </c>
      <c r="U137" s="273">
        <f t="shared" si="44"/>
        <v>0</v>
      </c>
      <c r="V137" s="273">
        <f t="shared" si="44"/>
        <v>0</v>
      </c>
      <c r="W137" s="273">
        <f t="shared" si="44"/>
        <v>0</v>
      </c>
      <c r="X137" s="273">
        <f t="shared" si="44"/>
        <v>0</v>
      </c>
      <c r="Y137" s="273">
        <f t="shared" si="44"/>
        <v>0</v>
      </c>
      <c r="Z137" s="273">
        <f t="shared" si="44"/>
        <v>0</v>
      </c>
      <c r="AA137" s="273">
        <f t="shared" si="44"/>
        <v>0</v>
      </c>
      <c r="AB137" s="273">
        <f t="shared" si="44"/>
        <v>0</v>
      </c>
      <c r="AC137" s="273">
        <f t="shared" si="44"/>
        <v>0</v>
      </c>
      <c r="AD137" s="273">
        <f t="shared" si="44"/>
        <v>0</v>
      </c>
      <c r="AE137" s="273">
        <f t="shared" si="44"/>
        <v>0</v>
      </c>
      <c r="AF137" s="273">
        <f t="shared" si="44"/>
        <v>0</v>
      </c>
      <c r="AG137" s="273">
        <f t="shared" si="44"/>
        <v>0</v>
      </c>
      <c r="AH137" s="273">
        <f t="shared" si="44"/>
        <v>0</v>
      </c>
      <c r="AI137" s="273">
        <f t="shared" si="44"/>
        <v>0</v>
      </c>
      <c r="AJ137" s="273">
        <f t="shared" si="44"/>
        <v>0</v>
      </c>
    </row>
    <row r="138" spans="2:36" s="30" customFormat="1">
      <c r="B138" s="261" t="s">
        <v>395</v>
      </c>
      <c r="C138" s="261"/>
      <c r="D138" s="261"/>
      <c r="E138" s="271">
        <f>Inputs!$Q$52*Inputs!$G$7</f>
        <v>0</v>
      </c>
      <c r="F138" s="277"/>
      <c r="G138" s="273">
        <f>IF(G$2=Inputs!$Q$51,'Cash Flow'!$E$138,0)</f>
        <v>0</v>
      </c>
      <c r="H138" s="273">
        <f>IF(H$2=Inputs!$Q$51,'Cash Flow'!$E$138,0)</f>
        <v>0</v>
      </c>
      <c r="I138" s="273">
        <f>IF(I$2=Inputs!$Q$51,'Cash Flow'!$E$138,0)</f>
        <v>0</v>
      </c>
      <c r="J138" s="273">
        <f>IF(J$2=Inputs!$Q$51,'Cash Flow'!$E$138,0)</f>
        <v>0</v>
      </c>
      <c r="K138" s="273">
        <f>IF(K$2=Inputs!$Q$51,'Cash Flow'!$E$138,0)</f>
        <v>0</v>
      </c>
      <c r="L138" s="273">
        <f>IF(L$2=Inputs!$Q$51,'Cash Flow'!$E$138,0)</f>
        <v>0</v>
      </c>
      <c r="M138" s="273">
        <f>IF(M$2=Inputs!$Q$51,'Cash Flow'!$E$138,0)</f>
        <v>0</v>
      </c>
      <c r="N138" s="273">
        <f>IF(N$2=Inputs!$Q$51,'Cash Flow'!$E$138,0)</f>
        <v>0</v>
      </c>
      <c r="O138" s="273">
        <f>IF(O$2=Inputs!$Q$51,'Cash Flow'!$E$138,0)</f>
        <v>0</v>
      </c>
      <c r="P138" s="273">
        <f>IF(P$2=Inputs!$Q$51,'Cash Flow'!$E$138,0)</f>
        <v>0</v>
      </c>
      <c r="Q138" s="273">
        <f>IF(Q$2=Inputs!$Q$51,'Cash Flow'!$E$138,0)</f>
        <v>0</v>
      </c>
      <c r="R138" s="273">
        <f>IF(R$2=Inputs!$Q$51,'Cash Flow'!$E$138,0)</f>
        <v>0</v>
      </c>
      <c r="S138" s="273">
        <f>IF(S$2=Inputs!$Q$51,'Cash Flow'!$E$138,0)</f>
        <v>0</v>
      </c>
      <c r="T138" s="273">
        <f>IF(T$2=Inputs!$Q$51,'Cash Flow'!$E$138,0)</f>
        <v>0</v>
      </c>
      <c r="U138" s="273">
        <f>IF(U$2=Inputs!$Q$51,'Cash Flow'!$E$138,0)</f>
        <v>0</v>
      </c>
      <c r="V138" s="273">
        <f>IF(V$2=Inputs!$Q$51,'Cash Flow'!$E$138,0)</f>
        <v>0</v>
      </c>
      <c r="W138" s="273">
        <f>IF(W$2=Inputs!$Q$51,'Cash Flow'!$E$138,0)</f>
        <v>0</v>
      </c>
      <c r="X138" s="273">
        <f>IF(X$2=Inputs!$Q$51,'Cash Flow'!$E$138,0)</f>
        <v>0</v>
      </c>
      <c r="Y138" s="273">
        <f>IF(Y$2=Inputs!$Q$51,'Cash Flow'!$E$138,0)</f>
        <v>0</v>
      </c>
      <c r="Z138" s="273">
        <f>IF(Z$2=Inputs!$Q$51,'Cash Flow'!$E$138,0)</f>
        <v>0</v>
      </c>
      <c r="AA138" s="273">
        <f>IF(AA$2=Inputs!$Q$51,'Cash Flow'!$E$138,0)</f>
        <v>0</v>
      </c>
      <c r="AB138" s="273">
        <f>IF(AB$2=Inputs!$Q$51,'Cash Flow'!$E$138,0)</f>
        <v>0</v>
      </c>
      <c r="AC138" s="273">
        <f>IF(AC$2=Inputs!$Q$51,'Cash Flow'!$E$138,0)</f>
        <v>0</v>
      </c>
      <c r="AD138" s="273">
        <f>IF(AD$2=Inputs!$Q$51,'Cash Flow'!$E$138,0)</f>
        <v>0</v>
      </c>
      <c r="AE138" s="273">
        <f>IF(AE$2=Inputs!$Q$51,'Cash Flow'!$E$138,0)</f>
        <v>0</v>
      </c>
      <c r="AF138" s="273">
        <f>IF(AF$2=Inputs!$Q$51,'Cash Flow'!$E$138,0)</f>
        <v>0</v>
      </c>
      <c r="AG138" s="273">
        <f>IF(AG$2=Inputs!$Q$51,'Cash Flow'!$E$138,0)</f>
        <v>0</v>
      </c>
      <c r="AH138" s="273">
        <f>IF(AH$2=Inputs!$Q$51,'Cash Flow'!$E$138,0)</f>
        <v>0</v>
      </c>
      <c r="AI138" s="273">
        <f>IF(AI$2=Inputs!$Q$51,'Cash Flow'!$E$138,0)</f>
        <v>0</v>
      </c>
      <c r="AJ138" s="273">
        <f>IF(AJ$2=Inputs!$Q$51,'Cash Flow'!$E$138,0)</f>
        <v>0</v>
      </c>
    </row>
    <row r="139" spans="2:36" s="30" customFormat="1">
      <c r="B139" s="261" t="s">
        <v>157</v>
      </c>
      <c r="C139" s="261"/>
      <c r="D139" s="261"/>
      <c r="E139" s="271"/>
      <c r="F139" s="277"/>
      <c r="G139" s="278">
        <f>IF(G138&gt;0,1,IF(F139&gt;0,F139+1,0))</f>
        <v>0</v>
      </c>
      <c r="H139" s="278">
        <f t="shared" ref="H139:AJ139" si="45">IF(H138&gt;0,1,IF(G139&gt;0,G139+1,0))</f>
        <v>0</v>
      </c>
      <c r="I139" s="278">
        <f t="shared" si="45"/>
        <v>0</v>
      </c>
      <c r="J139" s="278">
        <f t="shared" si="45"/>
        <v>0</v>
      </c>
      <c r="K139" s="278">
        <f t="shared" si="45"/>
        <v>0</v>
      </c>
      <c r="L139" s="278">
        <f t="shared" si="45"/>
        <v>0</v>
      </c>
      <c r="M139" s="278">
        <f t="shared" si="45"/>
        <v>0</v>
      </c>
      <c r="N139" s="278">
        <f t="shared" si="45"/>
        <v>0</v>
      </c>
      <c r="O139" s="278">
        <f t="shared" si="45"/>
        <v>0</v>
      </c>
      <c r="P139" s="278">
        <f t="shared" si="45"/>
        <v>0</v>
      </c>
      <c r="Q139" s="278">
        <f t="shared" si="45"/>
        <v>0</v>
      </c>
      <c r="R139" s="278">
        <f t="shared" si="45"/>
        <v>0</v>
      </c>
      <c r="S139" s="278">
        <f t="shared" si="45"/>
        <v>0</v>
      </c>
      <c r="T139" s="278">
        <f t="shared" si="45"/>
        <v>0</v>
      </c>
      <c r="U139" s="278">
        <f t="shared" si="45"/>
        <v>0</v>
      </c>
      <c r="V139" s="278">
        <f t="shared" si="45"/>
        <v>0</v>
      </c>
      <c r="W139" s="278">
        <f t="shared" si="45"/>
        <v>0</v>
      </c>
      <c r="X139" s="278">
        <f t="shared" si="45"/>
        <v>0</v>
      </c>
      <c r="Y139" s="278">
        <f t="shared" si="45"/>
        <v>0</v>
      </c>
      <c r="Z139" s="278">
        <f t="shared" si="45"/>
        <v>0</v>
      </c>
      <c r="AA139" s="278">
        <f t="shared" si="45"/>
        <v>0</v>
      </c>
      <c r="AB139" s="278">
        <f t="shared" si="45"/>
        <v>0</v>
      </c>
      <c r="AC139" s="278">
        <f t="shared" si="45"/>
        <v>0</v>
      </c>
      <c r="AD139" s="278">
        <f t="shared" si="45"/>
        <v>0</v>
      </c>
      <c r="AE139" s="278">
        <f t="shared" si="45"/>
        <v>0</v>
      </c>
      <c r="AF139" s="278">
        <f t="shared" si="45"/>
        <v>0</v>
      </c>
      <c r="AG139" s="278">
        <f t="shared" si="45"/>
        <v>0</v>
      </c>
      <c r="AH139" s="278">
        <f t="shared" si="45"/>
        <v>0</v>
      </c>
      <c r="AI139" s="278">
        <f t="shared" si="45"/>
        <v>0</v>
      </c>
      <c r="AJ139" s="278">
        <f t="shared" si="45"/>
        <v>0</v>
      </c>
    </row>
    <row r="140" spans="2:36" s="30" customFormat="1">
      <c r="B140" s="274" t="s">
        <v>158</v>
      </c>
      <c r="C140" s="274"/>
      <c r="D140" s="274"/>
      <c r="E140" s="275"/>
      <c r="F140" s="277"/>
      <c r="G140" s="273">
        <f>IF(G139=0,0,$E$138*LOOKUP(G139,$G$97:$AJ$97,$G$99:$AJ$99))</f>
        <v>0</v>
      </c>
      <c r="H140" s="273">
        <f t="shared" ref="H140:AJ140" si="46">IF(H139=0,0,$E$138*LOOKUP(H139,$G$97:$AJ$97,$G$99:$AJ$99))</f>
        <v>0</v>
      </c>
      <c r="I140" s="273">
        <f t="shared" si="46"/>
        <v>0</v>
      </c>
      <c r="J140" s="273">
        <f t="shared" si="46"/>
        <v>0</v>
      </c>
      <c r="K140" s="273">
        <f t="shared" si="46"/>
        <v>0</v>
      </c>
      <c r="L140" s="273">
        <f t="shared" si="46"/>
        <v>0</v>
      </c>
      <c r="M140" s="273">
        <f t="shared" si="46"/>
        <v>0</v>
      </c>
      <c r="N140" s="273">
        <f t="shared" si="46"/>
        <v>0</v>
      </c>
      <c r="O140" s="273">
        <f t="shared" si="46"/>
        <v>0</v>
      </c>
      <c r="P140" s="273">
        <f t="shared" si="46"/>
        <v>0</v>
      </c>
      <c r="Q140" s="273">
        <f t="shared" si="46"/>
        <v>0</v>
      </c>
      <c r="R140" s="273">
        <f t="shared" si="46"/>
        <v>0</v>
      </c>
      <c r="S140" s="273">
        <f t="shared" si="46"/>
        <v>0</v>
      </c>
      <c r="T140" s="273">
        <f t="shared" si="46"/>
        <v>0</v>
      </c>
      <c r="U140" s="273">
        <f t="shared" si="46"/>
        <v>0</v>
      </c>
      <c r="V140" s="273">
        <f t="shared" si="46"/>
        <v>0</v>
      </c>
      <c r="W140" s="273">
        <f t="shared" si="46"/>
        <v>0</v>
      </c>
      <c r="X140" s="273">
        <f t="shared" si="46"/>
        <v>0</v>
      </c>
      <c r="Y140" s="273">
        <f t="shared" si="46"/>
        <v>0</v>
      </c>
      <c r="Z140" s="273">
        <f t="shared" si="46"/>
        <v>0</v>
      </c>
      <c r="AA140" s="273">
        <f t="shared" si="46"/>
        <v>0</v>
      </c>
      <c r="AB140" s="273">
        <f t="shared" si="46"/>
        <v>0</v>
      </c>
      <c r="AC140" s="273">
        <f t="shared" si="46"/>
        <v>0</v>
      </c>
      <c r="AD140" s="273">
        <f t="shared" si="46"/>
        <v>0</v>
      </c>
      <c r="AE140" s="273">
        <f t="shared" si="46"/>
        <v>0</v>
      </c>
      <c r="AF140" s="273">
        <f t="shared" si="46"/>
        <v>0</v>
      </c>
      <c r="AG140" s="273">
        <f t="shared" si="46"/>
        <v>0</v>
      </c>
      <c r="AH140" s="273">
        <f t="shared" si="46"/>
        <v>0</v>
      </c>
      <c r="AI140" s="273">
        <f t="shared" si="46"/>
        <v>0</v>
      </c>
      <c r="AJ140" s="273">
        <f t="shared" si="46"/>
        <v>0</v>
      </c>
    </row>
    <row r="141" spans="2:36" s="30" customFormat="1">
      <c r="B141" s="261"/>
      <c r="C141" s="276"/>
      <c r="D141" s="276"/>
      <c r="E141" s="271"/>
      <c r="F141" s="277"/>
      <c r="G141" s="273"/>
      <c r="H141" s="273"/>
      <c r="I141" s="273"/>
      <c r="J141" s="273"/>
      <c r="K141" s="273"/>
      <c r="L141" s="273"/>
      <c r="M141" s="273"/>
      <c r="N141" s="273"/>
      <c r="O141" s="273"/>
      <c r="P141" s="273"/>
      <c r="Q141" s="273"/>
      <c r="R141" s="273"/>
      <c r="S141" s="273"/>
      <c r="T141" s="273"/>
      <c r="U141" s="273"/>
      <c r="V141" s="273"/>
      <c r="W141" s="273"/>
      <c r="X141" s="273"/>
      <c r="Y141" s="273"/>
      <c r="Z141" s="273"/>
      <c r="AA141" s="273"/>
      <c r="AB141" s="273"/>
      <c r="AC141" s="273"/>
      <c r="AD141" s="273"/>
      <c r="AE141" s="273"/>
      <c r="AF141" s="273"/>
      <c r="AG141" s="273"/>
      <c r="AH141" s="273"/>
      <c r="AI141" s="273"/>
      <c r="AJ141" s="273"/>
    </row>
    <row r="142" spans="2:36" s="30" customFormat="1">
      <c r="B142" s="261" t="s">
        <v>247</v>
      </c>
      <c r="C142" s="261"/>
      <c r="D142" s="261"/>
      <c r="E142" s="270"/>
      <c r="F142" s="309"/>
      <c r="G142" s="279">
        <f>IF(AND(Inputs!$G$69="Yes",G$2&lt;=Inputs!$G$11),SUM('Cash Flow'!G116:G124)+G131+G134+G137+G140,0)</f>
        <v>12770914.0625</v>
      </c>
      <c r="H142" s="279">
        <f>IF(AND(Inputs!$G$69="Yes",H$2&lt;=Inputs!$G$11),SUM('Cash Flow'!H116:H124)+H131+H134+H137+H140,0)</f>
        <v>3258261.0887500001</v>
      </c>
      <c r="I142" s="279">
        <f>IF(AND(Inputs!$G$69="Yes",I$2&lt;=Inputs!$G$11),SUM('Cash Flow'!I116:I124)+I131+I134+I137+I140,0)</f>
        <v>1964213.0225</v>
      </c>
      <c r="J142" s="279">
        <f>IF(AND(Inputs!$G$69="Yes",J$2&lt;=Inputs!$G$11),SUM('Cash Flow'!J116:J124)+J131+J134+J137+J140,0)</f>
        <v>1187145.5162499999</v>
      </c>
      <c r="K142" s="279">
        <f>IF(AND(Inputs!$G$69="Yes",K$2&lt;=Inputs!$G$11),SUM('Cash Flow'!K116:K124)+K131+K134+K137+K140,0)</f>
        <v>1185407.115</v>
      </c>
      <c r="L142" s="279">
        <f>IF(AND(Inputs!$G$69="Yes",L$2&lt;=Inputs!$G$11),SUM('Cash Flow'!L116:L124)+L131+L134+L137+L140,0)</f>
        <v>602448.91249999998</v>
      </c>
      <c r="M142" s="279">
        <f>IF(AND(Inputs!$G$69="Yes",M$2&lt;=Inputs!$G$11),SUM('Cash Flow'!M116:M124)+M131+M134+M137+M140,0)</f>
        <v>20119.927499999998</v>
      </c>
      <c r="N142" s="279">
        <f>IF(AND(Inputs!$G$69="Yes",N$2&lt;=Inputs!$G$11),SUM('Cash Flow'!N116:N124)+N131+N134+N137+N140,0)</f>
        <v>19726.935000000001</v>
      </c>
      <c r="O142" s="279">
        <f>IF(AND(Inputs!$G$69="Yes",O$2&lt;=Inputs!$G$11),SUM('Cash Flow'!O116:O124)+O131+O134+O137+O140,0)</f>
        <v>19678.616249999999</v>
      </c>
      <c r="P142" s="279">
        <f>IF(AND(Inputs!$G$69="Yes",P$2&lt;=Inputs!$G$11),SUM('Cash Flow'!P116:P124)+P131+P134+P137+P140,0)</f>
        <v>19661.436249999999</v>
      </c>
      <c r="Q142" s="279">
        <f>IF(AND(Inputs!$G$69="Yes",Q$2&lt;=Inputs!$G$11),SUM('Cash Flow'!Q116:Q124)+Q131+Q134+Q137+Q140,0)</f>
        <v>19678.616249999999</v>
      </c>
      <c r="R142" s="279">
        <f>IF(AND(Inputs!$G$69="Yes",R$2&lt;=Inputs!$G$11),SUM('Cash Flow'!R116:R124)+R131+R134+R137+R140,0)</f>
        <v>19661.436249999999</v>
      </c>
      <c r="S142" s="279">
        <f>IF(AND(Inputs!$G$69="Yes",S$2&lt;=Inputs!$G$11),SUM('Cash Flow'!S116:S124)+S131+S134+S137+S140,0)</f>
        <v>19678.616249999999</v>
      </c>
      <c r="T142" s="279">
        <f>IF(AND(Inputs!$G$69="Yes",T$2&lt;=Inputs!$G$11),SUM('Cash Flow'!T116:T124)+T131+T134+T137+T140,0)</f>
        <v>19661.436249999999</v>
      </c>
      <c r="U142" s="279">
        <f>IF(AND(Inputs!$G$69="Yes",U$2&lt;=Inputs!$G$11),SUM('Cash Flow'!U116:U124)+U131+U134+U137+U140,0)</f>
        <v>19678.616249999999</v>
      </c>
      <c r="V142" s="279">
        <f>IF(AND(Inputs!$G$69="Yes",V$2&lt;=Inputs!$G$11),SUM('Cash Flow'!V116:V124)+V131+V134+V137+V140,0)</f>
        <v>14910.092499999999</v>
      </c>
      <c r="W142" s="279">
        <f>IF(AND(Inputs!$G$69="Yes",W$2&lt;=Inputs!$G$11),SUM('Cash Flow'!W116:W124)+W131+W134+W137+W140,0)</f>
        <v>10159.8225</v>
      </c>
      <c r="X142" s="279">
        <f>IF(AND(Inputs!$G$69="Yes",X$2&lt;=Inputs!$G$11),SUM('Cash Flow'!X116:X124)+X131+X134+X137+X140,0)</f>
        <v>10158.748749999999</v>
      </c>
      <c r="Y142" s="279">
        <f>IF(AND(Inputs!$G$69="Yes",Y$2&lt;=Inputs!$G$11),SUM('Cash Flow'!Y116:Y124)+Y131+Y134+Y137+Y140,0)</f>
        <v>10159.8225</v>
      </c>
      <c r="Z142" s="279">
        <f>IF(AND(Inputs!$G$69="Yes",Z$2&lt;=Inputs!$G$11),SUM('Cash Flow'!Z116:Z124)+Z131+Z134+Z137+Z140,0)</f>
        <v>10158.748749999999</v>
      </c>
      <c r="AA142" s="279">
        <f>IF(AND(Inputs!$G$69="Yes",AA$2&lt;=Inputs!$G$11),SUM('Cash Flow'!AA116:AA124)+AA131+AA134+AA137+AA140,0)</f>
        <v>0</v>
      </c>
      <c r="AB142" s="279">
        <f>IF(AND(Inputs!$G$69="Yes",AB$2&lt;=Inputs!$G$11),SUM('Cash Flow'!AB116:AB124)+AB131+AB134+AB137+AB140,0)</f>
        <v>0</v>
      </c>
      <c r="AC142" s="279">
        <f>IF(AND(Inputs!$G$69="Yes",AC$2&lt;=Inputs!$G$11),SUM('Cash Flow'!AC116:AC124)+AC131+AC134+AC137+AC140,0)</f>
        <v>0</v>
      </c>
      <c r="AD142" s="279">
        <f>IF(AND(Inputs!$G$69="Yes",AD$2&lt;=Inputs!$G$11),SUM('Cash Flow'!AD116:AD124)+AD131+AD134+AD137+AD140,0)</f>
        <v>0</v>
      </c>
      <c r="AE142" s="279">
        <f>IF(AND(Inputs!$G$69="Yes",AE$2&lt;=Inputs!$G$11),SUM('Cash Flow'!AE116:AE124)+AE131+AE134+AE137+AE140,0)</f>
        <v>0</v>
      </c>
      <c r="AF142" s="279">
        <f>IF(AND(Inputs!$G$69="Yes",AF$2&lt;=Inputs!$G$11),SUM('Cash Flow'!AF116:AF124)+AF131+AF134+AF137+AF140,0)</f>
        <v>0</v>
      </c>
      <c r="AG142" s="279">
        <f>IF(AND(Inputs!$G$69="Yes",AG$2&lt;=Inputs!$G$11),SUM('Cash Flow'!AG116:AG124)+AG131+AG134+AG137+AG140,0)</f>
        <v>0</v>
      </c>
      <c r="AH142" s="279">
        <f>IF(AND(Inputs!$G$69="Yes",AH$2&lt;=Inputs!$G$11),SUM('Cash Flow'!AH116:AH124)+AH131+AH134+AH137+AH140,0)</f>
        <v>0</v>
      </c>
      <c r="AI142" s="279">
        <f>IF(AND(Inputs!$G$69="Yes",AI$2&lt;=Inputs!$G$11),SUM('Cash Flow'!AI116:AI124)+AI131+AI134+AI137+AI140,0)</f>
        <v>0</v>
      </c>
      <c r="AJ142" s="279">
        <f>IF(AND(Inputs!$G$69="Yes",AJ$2&lt;=Inputs!$G$11),SUM('Cash Flow'!AJ116:AJ124)+AJ131+AJ134+AJ137+AJ140,0)</f>
        <v>0</v>
      </c>
    </row>
    <row r="143" spans="2:36" s="30" customFormat="1">
      <c r="B143" s="261"/>
      <c r="C143" s="261"/>
      <c r="D143" s="261"/>
      <c r="E143" s="270"/>
      <c r="F143" s="309"/>
      <c r="G143" s="279"/>
      <c r="H143" s="279"/>
      <c r="I143" s="279"/>
      <c r="J143" s="279"/>
      <c r="K143" s="279"/>
      <c r="L143" s="279"/>
      <c r="M143" s="279"/>
      <c r="N143" s="279"/>
      <c r="O143" s="279"/>
      <c r="P143" s="279"/>
      <c r="Q143" s="279"/>
      <c r="R143" s="279"/>
      <c r="S143" s="279"/>
      <c r="T143" s="279"/>
      <c r="U143" s="279"/>
      <c r="V143" s="279"/>
      <c r="W143" s="279"/>
      <c r="X143" s="279"/>
      <c r="Y143" s="279"/>
      <c r="Z143" s="279"/>
      <c r="AA143" s="279"/>
      <c r="AB143" s="279"/>
      <c r="AC143" s="279"/>
      <c r="AD143" s="279"/>
      <c r="AE143" s="279"/>
      <c r="AF143" s="279"/>
      <c r="AG143" s="279"/>
      <c r="AH143" s="279"/>
      <c r="AI143" s="279"/>
      <c r="AJ143" s="279"/>
    </row>
    <row r="144" spans="2:36" s="30" customFormat="1">
      <c r="B144" s="261" t="s">
        <v>201</v>
      </c>
      <c r="C144" s="261"/>
      <c r="D144" s="261"/>
      <c r="E144" s="270"/>
      <c r="F144" s="309"/>
      <c r="G144" s="281">
        <f>G142*Inputs!$G$74</f>
        <v>5175412.923828125</v>
      </c>
      <c r="H144" s="281">
        <f>H142*Inputs!$G$74</f>
        <v>1320410.3062159375</v>
      </c>
      <c r="I144" s="281">
        <f>I142*Inputs!$G$74</f>
        <v>795997.32736812497</v>
      </c>
      <c r="J144" s="281">
        <f>J142*Inputs!$G$74</f>
        <v>481090.72046031244</v>
      </c>
      <c r="K144" s="281">
        <f>K142*Inputs!$G$74</f>
        <v>480386.23335375002</v>
      </c>
      <c r="L144" s="281">
        <f>L142*Inputs!$G$74</f>
        <v>244142.421790625</v>
      </c>
      <c r="M144" s="281">
        <f>M142*Inputs!$G$74</f>
        <v>8153.600619374999</v>
      </c>
      <c r="N144" s="281">
        <f>N142*Inputs!$G$74</f>
        <v>7994.3404087500003</v>
      </c>
      <c r="O144" s="281">
        <f>O142*Inputs!$G$74</f>
        <v>7974.7592353124992</v>
      </c>
      <c r="P144" s="281">
        <f>P142*Inputs!$G$74</f>
        <v>7967.7970403124991</v>
      </c>
      <c r="Q144" s="281">
        <f>Q142*Inputs!$G$74</f>
        <v>7974.7592353124992</v>
      </c>
      <c r="R144" s="281">
        <f>R142*Inputs!$G$74</f>
        <v>7967.7970403124991</v>
      </c>
      <c r="S144" s="281">
        <f>S142*Inputs!$G$74</f>
        <v>7974.7592353124992</v>
      </c>
      <c r="T144" s="281">
        <f>T142*Inputs!$G$74</f>
        <v>7967.7970403124991</v>
      </c>
      <c r="U144" s="281">
        <f>U142*Inputs!$G$74</f>
        <v>7974.7592353124992</v>
      </c>
      <c r="V144" s="281">
        <f>V142*Inputs!$G$74</f>
        <v>6042.3149856249993</v>
      </c>
      <c r="W144" s="281">
        <f>W142*Inputs!$G$74</f>
        <v>4117.2680681250004</v>
      </c>
      <c r="X144" s="281">
        <f>X142*Inputs!$G$74</f>
        <v>4116.8329309374994</v>
      </c>
      <c r="Y144" s="281">
        <f>Y142*Inputs!$G$74</f>
        <v>4117.2680681250004</v>
      </c>
      <c r="Z144" s="281">
        <f>Z142*Inputs!$G$74</f>
        <v>4116.8329309374994</v>
      </c>
      <c r="AA144" s="281">
        <f>AA142*Inputs!$G$74</f>
        <v>0</v>
      </c>
      <c r="AB144" s="281">
        <f>AB142*Inputs!$G$74</f>
        <v>0</v>
      </c>
      <c r="AC144" s="281">
        <f>AC142*Inputs!$G$74</f>
        <v>0</v>
      </c>
      <c r="AD144" s="281">
        <f>AD142*Inputs!$G$74</f>
        <v>0</v>
      </c>
      <c r="AE144" s="281">
        <f>AE142*Inputs!$G$74</f>
        <v>0</v>
      </c>
      <c r="AF144" s="281">
        <f>AF142*Inputs!$G$74</f>
        <v>0</v>
      </c>
      <c r="AG144" s="281">
        <f>AG142*Inputs!$G$74</f>
        <v>0</v>
      </c>
      <c r="AH144" s="281">
        <f>AH142*Inputs!$G$74</f>
        <v>0</v>
      </c>
      <c r="AI144" s="281">
        <f>AI142*Inputs!$G$74</f>
        <v>0</v>
      </c>
      <c r="AJ144" s="281">
        <f>AJ142*Inputs!$G$74</f>
        <v>0</v>
      </c>
    </row>
    <row r="145" spans="2:36" s="30" customFormat="1" ht="16.5" thickBot="1">
      <c r="B145" s="282"/>
      <c r="C145" s="282"/>
      <c r="D145" s="282"/>
      <c r="E145" s="283"/>
      <c r="F145" s="283"/>
      <c r="G145" s="284"/>
      <c r="H145" s="285"/>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row>
    <row r="146" spans="2:36">
      <c r="B146" s="305"/>
      <c r="C146" s="305"/>
      <c r="D146" s="305"/>
      <c r="E146" s="305"/>
      <c r="F146" s="305"/>
      <c r="G146" s="305"/>
      <c r="H146" s="305"/>
      <c r="I146" s="305"/>
      <c r="J146" s="305"/>
      <c r="K146" s="305"/>
      <c r="L146" s="305"/>
      <c r="M146" s="305"/>
      <c r="N146" s="305"/>
      <c r="O146" s="305"/>
      <c r="P146" s="305"/>
      <c r="Q146" s="305"/>
      <c r="R146" s="305"/>
      <c r="S146" s="305"/>
      <c r="T146" s="305"/>
      <c r="U146" s="305"/>
      <c r="V146" s="305"/>
      <c r="W146" s="305"/>
      <c r="X146" s="305"/>
      <c r="Y146" s="305"/>
      <c r="Z146" s="305"/>
      <c r="AA146" s="305"/>
      <c r="AB146" s="305"/>
      <c r="AC146" s="305"/>
      <c r="AD146" s="305"/>
      <c r="AE146" s="305"/>
      <c r="AF146" s="305"/>
      <c r="AG146" s="305"/>
      <c r="AH146" s="305"/>
      <c r="AI146" s="305"/>
      <c r="AJ146" s="305"/>
    </row>
    <row r="147" spans="2:36" ht="15.75">
      <c r="B147" s="260" t="s">
        <v>241</v>
      </c>
      <c r="C147" s="260"/>
      <c r="D147" s="260"/>
      <c r="E147" s="305"/>
      <c r="F147" s="305"/>
      <c r="G147" s="305"/>
      <c r="H147" s="305"/>
      <c r="I147" s="305"/>
      <c r="J147" s="305"/>
      <c r="K147" s="305"/>
      <c r="L147" s="305"/>
      <c r="M147" s="305"/>
      <c r="N147" s="305"/>
      <c r="O147" s="305"/>
      <c r="P147" s="305"/>
      <c r="Q147" s="305"/>
      <c r="R147" s="305"/>
      <c r="S147" s="305"/>
      <c r="T147" s="305"/>
      <c r="U147" s="305"/>
      <c r="V147" s="305"/>
      <c r="W147" s="305"/>
      <c r="X147" s="305"/>
      <c r="Y147" s="305"/>
      <c r="Z147" s="305"/>
      <c r="AA147" s="305"/>
      <c r="AB147" s="305"/>
      <c r="AC147" s="305"/>
      <c r="AD147" s="305"/>
      <c r="AE147" s="305"/>
      <c r="AF147" s="305"/>
      <c r="AG147" s="305"/>
      <c r="AH147" s="305"/>
      <c r="AI147" s="305"/>
      <c r="AJ147" s="305"/>
    </row>
    <row r="148" spans="2:36" ht="15.75">
      <c r="B148" s="261"/>
      <c r="C148" s="261"/>
      <c r="D148" s="261"/>
      <c r="E148" s="305"/>
      <c r="F148" s="305"/>
      <c r="G148" s="305"/>
      <c r="H148" s="305"/>
      <c r="I148" s="305"/>
      <c r="J148" s="305"/>
      <c r="K148" s="305"/>
      <c r="L148" s="305"/>
      <c r="M148" s="305"/>
      <c r="N148" s="305"/>
      <c r="O148" s="305"/>
      <c r="P148" s="305"/>
      <c r="Q148" s="305"/>
      <c r="R148" s="305"/>
      <c r="S148" s="305"/>
      <c r="T148" s="305"/>
      <c r="U148" s="305"/>
      <c r="V148" s="305"/>
      <c r="W148" s="305"/>
      <c r="X148" s="305"/>
      <c r="Y148" s="305"/>
      <c r="Z148" s="305"/>
      <c r="AA148" s="305"/>
      <c r="AB148" s="305"/>
      <c r="AC148" s="305"/>
      <c r="AD148" s="305"/>
      <c r="AE148" s="305"/>
      <c r="AF148" s="305"/>
      <c r="AG148" s="305"/>
      <c r="AH148" s="305"/>
      <c r="AI148" s="305"/>
      <c r="AJ148" s="305"/>
    </row>
    <row r="149" spans="2:36" ht="15.75">
      <c r="B149" s="261" t="s">
        <v>240</v>
      </c>
      <c r="C149" s="261"/>
      <c r="D149" s="261"/>
      <c r="E149" s="305"/>
      <c r="F149" s="305"/>
      <c r="G149" s="281">
        <f>G58</f>
        <v>-11824883.443180658</v>
      </c>
      <c r="H149" s="281">
        <f t="shared" ref="H149:AJ149" si="47">H58</f>
        <v>-2304240.5904172766</v>
      </c>
      <c r="I149" s="281">
        <f t="shared" si="47"/>
        <v>-999914.49151095853</v>
      </c>
      <c r="J149" s="281">
        <f t="shared" si="47"/>
        <v>-210114.07930639817</v>
      </c>
      <c r="K149" s="281">
        <f t="shared" si="47"/>
        <v>-193009.29341995181</v>
      </c>
      <c r="L149" s="281">
        <f t="shared" si="47"/>
        <v>408140.09852647688</v>
      </c>
      <c r="M149" s="281">
        <f t="shared" si="47"/>
        <v>1011690.0181764788</v>
      </c>
      <c r="N149" s="281">
        <f t="shared" si="47"/>
        <v>1036553.2013113713</v>
      </c>
      <c r="O149" s="281">
        <f t="shared" si="47"/>
        <v>1064556.0709566274</v>
      </c>
      <c r="P149" s="281">
        <f t="shared" si="47"/>
        <v>1096263.9546623512</v>
      </c>
      <c r="Q149" s="281">
        <f t="shared" si="47"/>
        <v>1131943.2834759457</v>
      </c>
      <c r="R149" s="281">
        <f t="shared" si="47"/>
        <v>1171951.5429764048</v>
      </c>
      <c r="S149" s="281">
        <f t="shared" si="47"/>
        <v>1216529.2333655481</v>
      </c>
      <c r="T149" s="281">
        <f t="shared" si="47"/>
        <v>1266076.1847637012</v>
      </c>
      <c r="U149" s="281">
        <f t="shared" si="47"/>
        <v>1320878.2130376589</v>
      </c>
      <c r="V149" s="281">
        <f t="shared" si="47"/>
        <v>1380988.3639164022</v>
      </c>
      <c r="W149" s="281">
        <f t="shared" si="47"/>
        <v>1351085.4389764841</v>
      </c>
      <c r="X149" s="281">
        <f t="shared" si="47"/>
        <v>1321365.636563529</v>
      </c>
      <c r="Y149" s="281">
        <f t="shared" si="47"/>
        <v>1291424.5026509766</v>
      </c>
      <c r="Z149" s="281">
        <f t="shared" si="47"/>
        <v>1256936.200954095</v>
      </c>
      <c r="AA149" s="281">
        <f t="shared" si="47"/>
        <v>3750</v>
      </c>
      <c r="AB149" s="281">
        <f t="shared" si="47"/>
        <v>0</v>
      </c>
      <c r="AC149" s="281">
        <f t="shared" si="47"/>
        <v>0</v>
      </c>
      <c r="AD149" s="281">
        <f t="shared" si="47"/>
        <v>0</v>
      </c>
      <c r="AE149" s="281">
        <f t="shared" si="47"/>
        <v>0</v>
      </c>
      <c r="AF149" s="281">
        <f t="shared" si="47"/>
        <v>0</v>
      </c>
      <c r="AG149" s="281">
        <f t="shared" si="47"/>
        <v>0</v>
      </c>
      <c r="AH149" s="281">
        <f t="shared" si="47"/>
        <v>0</v>
      </c>
      <c r="AI149" s="281">
        <f t="shared" si="47"/>
        <v>0</v>
      </c>
      <c r="AJ149" s="281">
        <f t="shared" si="47"/>
        <v>0</v>
      </c>
    </row>
    <row r="150" spans="2:36" ht="15.75">
      <c r="B150" s="261"/>
      <c r="C150" s="261"/>
      <c r="D150" s="261"/>
      <c r="E150" s="305"/>
      <c r="F150" s="305"/>
      <c r="G150" s="281"/>
      <c r="H150" s="281"/>
      <c r="I150" s="281"/>
      <c r="J150" s="281"/>
      <c r="K150" s="281"/>
      <c r="L150" s="281"/>
      <c r="M150" s="281"/>
      <c r="N150" s="281"/>
      <c r="O150" s="281"/>
      <c r="P150" s="281"/>
      <c r="Q150" s="281"/>
      <c r="R150" s="281"/>
      <c r="S150" s="281"/>
      <c r="T150" s="281"/>
      <c r="U150" s="281"/>
      <c r="V150" s="281"/>
      <c r="W150" s="281"/>
      <c r="X150" s="281"/>
      <c r="Y150" s="281"/>
      <c r="Z150" s="281"/>
      <c r="AA150" s="281"/>
      <c r="AB150" s="281"/>
      <c r="AC150" s="281"/>
      <c r="AD150" s="281"/>
      <c r="AE150" s="281"/>
      <c r="AF150" s="281"/>
      <c r="AG150" s="281"/>
      <c r="AH150" s="281"/>
      <c r="AI150" s="281"/>
      <c r="AJ150" s="281"/>
    </row>
    <row r="151" spans="2:36" ht="15.75">
      <c r="B151" s="345" t="s">
        <v>299</v>
      </c>
      <c r="C151" s="345"/>
      <c r="D151" s="345"/>
      <c r="E151" s="305"/>
      <c r="F151" s="305"/>
      <c r="G151" s="281"/>
      <c r="H151" s="281"/>
      <c r="I151" s="281"/>
      <c r="J151" s="281"/>
      <c r="K151" s="281"/>
      <c r="L151" s="281"/>
      <c r="M151" s="281"/>
      <c r="N151" s="281"/>
      <c r="O151" s="281"/>
      <c r="P151" s="281"/>
      <c r="Q151" s="281"/>
      <c r="R151" s="281"/>
      <c r="S151" s="281"/>
      <c r="T151" s="281"/>
      <c r="U151" s="281"/>
      <c r="V151" s="281"/>
      <c r="W151" s="281"/>
      <c r="X151" s="281"/>
      <c r="Y151" s="281"/>
      <c r="Z151" s="281"/>
      <c r="AA151" s="281"/>
      <c r="AB151" s="281"/>
      <c r="AC151" s="281"/>
      <c r="AD151" s="281"/>
      <c r="AE151" s="281"/>
      <c r="AF151" s="281"/>
      <c r="AG151" s="281"/>
      <c r="AH151" s="281"/>
      <c r="AI151" s="281"/>
      <c r="AJ151" s="281"/>
    </row>
    <row r="152" spans="2:36" ht="15.75">
      <c r="B152" s="261" t="s">
        <v>243</v>
      </c>
      <c r="C152" s="261"/>
      <c r="D152" s="261"/>
      <c r="E152" s="305"/>
      <c r="F152" s="305"/>
      <c r="G152" s="281">
        <v>0</v>
      </c>
      <c r="H152" s="281">
        <f>G155</f>
        <v>11824883.443180658</v>
      </c>
      <c r="I152" s="281">
        <f t="shared" ref="I152:AJ152" si="48">H155</f>
        <v>14129124.033597935</v>
      </c>
      <c r="J152" s="281">
        <f t="shared" si="48"/>
        <v>15129038.525108894</v>
      </c>
      <c r="K152" s="281">
        <f t="shared" si="48"/>
        <v>15339152.604415292</v>
      </c>
      <c r="L152" s="281">
        <f t="shared" si="48"/>
        <v>15532161.897835243</v>
      </c>
      <c r="M152" s="281">
        <f t="shared" si="48"/>
        <v>15124021.799308766</v>
      </c>
      <c r="N152" s="281">
        <f t="shared" si="48"/>
        <v>14112331.781132286</v>
      </c>
      <c r="O152" s="281">
        <f t="shared" si="48"/>
        <v>13075778.579820916</v>
      </c>
      <c r="P152" s="281">
        <f t="shared" si="48"/>
        <v>12011222.508864289</v>
      </c>
      <c r="Q152" s="281">
        <f t="shared" si="48"/>
        <v>10914958.554201938</v>
      </c>
      <c r="R152" s="281">
        <f t="shared" si="48"/>
        <v>9783015.2707259916</v>
      </c>
      <c r="S152" s="281">
        <f t="shared" si="48"/>
        <v>8611063.7277495861</v>
      </c>
      <c r="T152" s="281">
        <f t="shared" si="48"/>
        <v>7394534.4943840383</v>
      </c>
      <c r="U152" s="281">
        <f t="shared" si="48"/>
        <v>6128458.3096203376</v>
      </c>
      <c r="V152" s="281">
        <f t="shared" si="48"/>
        <v>4807580.0965826791</v>
      </c>
      <c r="W152" s="281">
        <f t="shared" si="48"/>
        <v>3426591.7326662769</v>
      </c>
      <c r="X152" s="281">
        <f t="shared" si="48"/>
        <v>2075506.2936897927</v>
      </c>
      <c r="Y152" s="281">
        <f t="shared" si="48"/>
        <v>754140.65712626372</v>
      </c>
      <c r="Z152" s="281">
        <f t="shared" si="48"/>
        <v>0</v>
      </c>
      <c r="AA152" s="281">
        <f t="shared" si="48"/>
        <v>0</v>
      </c>
      <c r="AB152" s="281">
        <f t="shared" si="48"/>
        <v>0</v>
      </c>
      <c r="AC152" s="281">
        <f t="shared" si="48"/>
        <v>0</v>
      </c>
      <c r="AD152" s="281">
        <f t="shared" si="48"/>
        <v>0</v>
      </c>
      <c r="AE152" s="281">
        <f t="shared" si="48"/>
        <v>0</v>
      </c>
      <c r="AF152" s="281">
        <f t="shared" si="48"/>
        <v>0</v>
      </c>
      <c r="AG152" s="281">
        <f t="shared" si="48"/>
        <v>0</v>
      </c>
      <c r="AH152" s="281">
        <f t="shared" si="48"/>
        <v>0</v>
      </c>
      <c r="AI152" s="281">
        <f t="shared" si="48"/>
        <v>0</v>
      </c>
      <c r="AJ152" s="281">
        <f t="shared" si="48"/>
        <v>0</v>
      </c>
    </row>
    <row r="153" spans="2:36" ht="15.75">
      <c r="B153" s="261" t="s">
        <v>244</v>
      </c>
      <c r="C153" s="261"/>
      <c r="D153" s="261"/>
      <c r="E153" s="305"/>
      <c r="F153" s="305"/>
      <c r="G153" s="281">
        <f>IF(G$149&gt;0,0,-G$149)</f>
        <v>11824883.443180658</v>
      </c>
      <c r="H153" s="281">
        <f t="shared" ref="H153:AJ153" si="49">IF(H$149&gt;0,0,-H$149)</f>
        <v>2304240.5904172766</v>
      </c>
      <c r="I153" s="281">
        <f t="shared" si="49"/>
        <v>999914.49151095853</v>
      </c>
      <c r="J153" s="281">
        <f t="shared" si="49"/>
        <v>210114.07930639817</v>
      </c>
      <c r="K153" s="281">
        <f t="shared" si="49"/>
        <v>193009.29341995181</v>
      </c>
      <c r="L153" s="281">
        <f t="shared" si="49"/>
        <v>0</v>
      </c>
      <c r="M153" s="281">
        <f t="shared" si="49"/>
        <v>0</v>
      </c>
      <c r="N153" s="281">
        <f t="shared" si="49"/>
        <v>0</v>
      </c>
      <c r="O153" s="281">
        <f t="shared" si="49"/>
        <v>0</v>
      </c>
      <c r="P153" s="281">
        <f t="shared" si="49"/>
        <v>0</v>
      </c>
      <c r="Q153" s="281">
        <f t="shared" si="49"/>
        <v>0</v>
      </c>
      <c r="R153" s="281">
        <f t="shared" si="49"/>
        <v>0</v>
      </c>
      <c r="S153" s="281">
        <f t="shared" si="49"/>
        <v>0</v>
      </c>
      <c r="T153" s="281">
        <f t="shared" si="49"/>
        <v>0</v>
      </c>
      <c r="U153" s="281">
        <f t="shared" si="49"/>
        <v>0</v>
      </c>
      <c r="V153" s="281">
        <f t="shared" si="49"/>
        <v>0</v>
      </c>
      <c r="W153" s="281">
        <f t="shared" si="49"/>
        <v>0</v>
      </c>
      <c r="X153" s="281">
        <f t="shared" si="49"/>
        <v>0</v>
      </c>
      <c r="Y153" s="281">
        <f t="shared" si="49"/>
        <v>0</v>
      </c>
      <c r="Z153" s="281">
        <f t="shared" si="49"/>
        <v>0</v>
      </c>
      <c r="AA153" s="281">
        <f t="shared" si="49"/>
        <v>0</v>
      </c>
      <c r="AB153" s="281">
        <f t="shared" si="49"/>
        <v>0</v>
      </c>
      <c r="AC153" s="281">
        <f t="shared" si="49"/>
        <v>0</v>
      </c>
      <c r="AD153" s="281">
        <f t="shared" si="49"/>
        <v>0</v>
      </c>
      <c r="AE153" s="281">
        <f t="shared" si="49"/>
        <v>0</v>
      </c>
      <c r="AF153" s="281">
        <f t="shared" si="49"/>
        <v>0</v>
      </c>
      <c r="AG153" s="281">
        <f t="shared" si="49"/>
        <v>0</v>
      </c>
      <c r="AH153" s="281">
        <f t="shared" si="49"/>
        <v>0</v>
      </c>
      <c r="AI153" s="281">
        <f t="shared" si="49"/>
        <v>0</v>
      </c>
      <c r="AJ153" s="281">
        <f t="shared" si="49"/>
        <v>0</v>
      </c>
    </row>
    <row r="154" spans="2:36" ht="15.75">
      <c r="B154" s="261" t="s">
        <v>242</v>
      </c>
      <c r="C154" s="261"/>
      <c r="D154" s="261"/>
      <c r="E154" s="305"/>
      <c r="F154" s="305"/>
      <c r="G154" s="281">
        <f t="shared" ref="G154:L154" si="50">IF(G$149&lt;=0,0,-MIN(G$149,F$155))</f>
        <v>0</v>
      </c>
      <c r="H154" s="281">
        <f t="shared" si="50"/>
        <v>0</v>
      </c>
      <c r="I154" s="281">
        <f t="shared" si="50"/>
        <v>0</v>
      </c>
      <c r="J154" s="281">
        <f t="shared" si="50"/>
        <v>0</v>
      </c>
      <c r="K154" s="281">
        <f t="shared" si="50"/>
        <v>0</v>
      </c>
      <c r="L154" s="281">
        <f t="shared" si="50"/>
        <v>-408140.09852647688</v>
      </c>
      <c r="M154" s="281">
        <f>IF(M$149&lt;=0,0,-MIN(M$149,L$155))</f>
        <v>-1011690.0181764788</v>
      </c>
      <c r="N154" s="281">
        <f t="shared" ref="N154:AJ154" si="51">IF(N$149&lt;=0,0,-MIN(N$149,M$155))</f>
        <v>-1036553.2013113713</v>
      </c>
      <c r="O154" s="281">
        <f t="shared" si="51"/>
        <v>-1064556.0709566274</v>
      </c>
      <c r="P154" s="281">
        <f t="shared" si="51"/>
        <v>-1096263.9546623512</v>
      </c>
      <c r="Q154" s="281">
        <f t="shared" si="51"/>
        <v>-1131943.2834759457</v>
      </c>
      <c r="R154" s="281">
        <f t="shared" si="51"/>
        <v>-1171951.5429764048</v>
      </c>
      <c r="S154" s="281">
        <f t="shared" si="51"/>
        <v>-1216529.2333655481</v>
      </c>
      <c r="T154" s="281">
        <f t="shared" si="51"/>
        <v>-1266076.1847637012</v>
      </c>
      <c r="U154" s="281">
        <f t="shared" si="51"/>
        <v>-1320878.2130376589</v>
      </c>
      <c r="V154" s="281">
        <f t="shared" si="51"/>
        <v>-1380988.3639164022</v>
      </c>
      <c r="W154" s="281">
        <f t="shared" si="51"/>
        <v>-1351085.4389764841</v>
      </c>
      <c r="X154" s="281">
        <f t="shared" si="51"/>
        <v>-1321365.636563529</v>
      </c>
      <c r="Y154" s="281">
        <f t="shared" si="51"/>
        <v>-754140.65712626372</v>
      </c>
      <c r="Z154" s="281">
        <f t="shared" si="51"/>
        <v>0</v>
      </c>
      <c r="AA154" s="281">
        <f t="shared" si="51"/>
        <v>0</v>
      </c>
      <c r="AB154" s="281">
        <f t="shared" si="51"/>
        <v>0</v>
      </c>
      <c r="AC154" s="281">
        <f t="shared" si="51"/>
        <v>0</v>
      </c>
      <c r="AD154" s="281">
        <f t="shared" si="51"/>
        <v>0</v>
      </c>
      <c r="AE154" s="281">
        <f t="shared" si="51"/>
        <v>0</v>
      </c>
      <c r="AF154" s="281">
        <f t="shared" si="51"/>
        <v>0</v>
      </c>
      <c r="AG154" s="281">
        <f t="shared" si="51"/>
        <v>0</v>
      </c>
      <c r="AH154" s="281">
        <f t="shared" si="51"/>
        <v>0</v>
      </c>
      <c r="AI154" s="281">
        <f t="shared" si="51"/>
        <v>0</v>
      </c>
      <c r="AJ154" s="281">
        <f t="shared" si="51"/>
        <v>0</v>
      </c>
    </row>
    <row r="155" spans="2:36" ht="15.75">
      <c r="B155" s="261" t="s">
        <v>245</v>
      </c>
      <c r="C155" s="261"/>
      <c r="D155" s="261"/>
      <c r="E155" s="305"/>
      <c r="F155" s="305"/>
      <c r="G155" s="281">
        <f>SUM(G152:G154)</f>
        <v>11824883.443180658</v>
      </c>
      <c r="H155" s="281">
        <f t="shared" ref="H155:AJ155" si="52">SUM(H152:H154)</f>
        <v>14129124.033597935</v>
      </c>
      <c r="I155" s="281">
        <f t="shared" si="52"/>
        <v>15129038.525108894</v>
      </c>
      <c r="J155" s="281">
        <f t="shared" si="52"/>
        <v>15339152.604415292</v>
      </c>
      <c r="K155" s="281">
        <f t="shared" si="52"/>
        <v>15532161.897835243</v>
      </c>
      <c r="L155" s="281">
        <f t="shared" si="52"/>
        <v>15124021.799308766</v>
      </c>
      <c r="M155" s="281">
        <f t="shared" si="52"/>
        <v>14112331.781132286</v>
      </c>
      <c r="N155" s="281">
        <f t="shared" si="52"/>
        <v>13075778.579820916</v>
      </c>
      <c r="O155" s="281">
        <f t="shared" si="52"/>
        <v>12011222.508864289</v>
      </c>
      <c r="P155" s="281">
        <f t="shared" si="52"/>
        <v>10914958.554201938</v>
      </c>
      <c r="Q155" s="281">
        <f t="shared" si="52"/>
        <v>9783015.2707259916</v>
      </c>
      <c r="R155" s="281">
        <f t="shared" si="52"/>
        <v>8611063.7277495861</v>
      </c>
      <c r="S155" s="281">
        <f t="shared" si="52"/>
        <v>7394534.4943840383</v>
      </c>
      <c r="T155" s="281">
        <f t="shared" si="52"/>
        <v>6128458.3096203376</v>
      </c>
      <c r="U155" s="281">
        <f t="shared" si="52"/>
        <v>4807580.0965826791</v>
      </c>
      <c r="V155" s="281">
        <f t="shared" si="52"/>
        <v>3426591.7326662769</v>
      </c>
      <c r="W155" s="281">
        <f t="shared" si="52"/>
        <v>2075506.2936897927</v>
      </c>
      <c r="X155" s="281">
        <f t="shared" si="52"/>
        <v>754140.65712626372</v>
      </c>
      <c r="Y155" s="281">
        <f t="shared" si="52"/>
        <v>0</v>
      </c>
      <c r="Z155" s="281">
        <f t="shared" si="52"/>
        <v>0</v>
      </c>
      <c r="AA155" s="281">
        <f t="shared" si="52"/>
        <v>0</v>
      </c>
      <c r="AB155" s="281">
        <f t="shared" si="52"/>
        <v>0</v>
      </c>
      <c r="AC155" s="281">
        <f t="shared" si="52"/>
        <v>0</v>
      </c>
      <c r="AD155" s="281">
        <f t="shared" si="52"/>
        <v>0</v>
      </c>
      <c r="AE155" s="281">
        <f t="shared" si="52"/>
        <v>0</v>
      </c>
      <c r="AF155" s="281">
        <f t="shared" si="52"/>
        <v>0</v>
      </c>
      <c r="AG155" s="281">
        <f t="shared" si="52"/>
        <v>0</v>
      </c>
      <c r="AH155" s="281">
        <f t="shared" si="52"/>
        <v>0</v>
      </c>
      <c r="AI155" s="281">
        <f t="shared" si="52"/>
        <v>0</v>
      </c>
      <c r="AJ155" s="281">
        <f t="shared" si="52"/>
        <v>0</v>
      </c>
    </row>
    <row r="156" spans="2:36" ht="15.75">
      <c r="B156" s="261"/>
      <c r="C156" s="261"/>
      <c r="D156" s="261"/>
      <c r="E156" s="305"/>
      <c r="F156" s="305"/>
      <c r="G156" s="305"/>
      <c r="H156" s="305"/>
      <c r="I156" s="305"/>
      <c r="J156" s="305"/>
      <c r="K156" s="305"/>
      <c r="L156" s="305"/>
      <c r="M156" s="305"/>
      <c r="N156" s="305"/>
      <c r="O156" s="305"/>
      <c r="P156" s="305"/>
      <c r="Q156" s="305"/>
      <c r="R156" s="305"/>
      <c r="S156" s="305"/>
      <c r="T156" s="305"/>
      <c r="U156" s="305"/>
      <c r="V156" s="305"/>
      <c r="W156" s="305"/>
      <c r="X156" s="305"/>
      <c r="Y156" s="305"/>
      <c r="Z156" s="305"/>
      <c r="AA156" s="305"/>
      <c r="AB156" s="305"/>
      <c r="AC156" s="305"/>
      <c r="AD156" s="305"/>
      <c r="AE156" s="305"/>
      <c r="AF156" s="305"/>
      <c r="AG156" s="305"/>
      <c r="AH156" s="305"/>
      <c r="AI156" s="305"/>
      <c r="AJ156" s="305"/>
    </row>
    <row r="157" spans="2:36" ht="15.75">
      <c r="B157" s="261" t="s">
        <v>246</v>
      </c>
      <c r="C157" s="261"/>
      <c r="D157" s="261"/>
      <c r="E157" s="305"/>
      <c r="F157" s="305"/>
      <c r="G157" s="281">
        <f>G149+G153+G154</f>
        <v>0</v>
      </c>
      <c r="H157" s="281">
        <f t="shared" ref="H157:AJ157" si="53">H149+H153+H154</f>
        <v>0</v>
      </c>
      <c r="I157" s="281">
        <f t="shared" si="53"/>
        <v>0</v>
      </c>
      <c r="J157" s="281">
        <f t="shared" si="53"/>
        <v>0</v>
      </c>
      <c r="K157" s="281">
        <f t="shared" si="53"/>
        <v>0</v>
      </c>
      <c r="L157" s="281">
        <f t="shared" si="53"/>
        <v>0</v>
      </c>
      <c r="M157" s="281">
        <f t="shared" si="53"/>
        <v>0</v>
      </c>
      <c r="N157" s="281">
        <f t="shared" si="53"/>
        <v>0</v>
      </c>
      <c r="O157" s="281">
        <f t="shared" si="53"/>
        <v>0</v>
      </c>
      <c r="P157" s="281">
        <f t="shared" si="53"/>
        <v>0</v>
      </c>
      <c r="Q157" s="281">
        <f t="shared" si="53"/>
        <v>0</v>
      </c>
      <c r="R157" s="281">
        <f t="shared" si="53"/>
        <v>0</v>
      </c>
      <c r="S157" s="281">
        <f t="shared" si="53"/>
        <v>0</v>
      </c>
      <c r="T157" s="281">
        <f t="shared" si="53"/>
        <v>0</v>
      </c>
      <c r="U157" s="281">
        <f t="shared" si="53"/>
        <v>0</v>
      </c>
      <c r="V157" s="281">
        <f t="shared" si="53"/>
        <v>0</v>
      </c>
      <c r="W157" s="281">
        <f t="shared" si="53"/>
        <v>0</v>
      </c>
      <c r="X157" s="281">
        <f t="shared" si="53"/>
        <v>0</v>
      </c>
      <c r="Y157" s="281">
        <f t="shared" si="53"/>
        <v>537283.84552471293</v>
      </c>
      <c r="Z157" s="281">
        <f t="shared" si="53"/>
        <v>1256936.200954095</v>
      </c>
      <c r="AA157" s="281">
        <f t="shared" si="53"/>
        <v>3750</v>
      </c>
      <c r="AB157" s="281">
        <f t="shared" si="53"/>
        <v>0</v>
      </c>
      <c r="AC157" s="281">
        <f t="shared" si="53"/>
        <v>0</v>
      </c>
      <c r="AD157" s="281">
        <f t="shared" si="53"/>
        <v>0</v>
      </c>
      <c r="AE157" s="281">
        <f t="shared" si="53"/>
        <v>0</v>
      </c>
      <c r="AF157" s="281">
        <f t="shared" si="53"/>
        <v>0</v>
      </c>
      <c r="AG157" s="281">
        <f t="shared" si="53"/>
        <v>0</v>
      </c>
      <c r="AH157" s="281">
        <f t="shared" si="53"/>
        <v>0</v>
      </c>
      <c r="AI157" s="281">
        <f t="shared" si="53"/>
        <v>0</v>
      </c>
      <c r="AJ157" s="281">
        <f t="shared" si="53"/>
        <v>0</v>
      </c>
    </row>
    <row r="158" spans="2:36" ht="15.75">
      <c r="B158" s="261"/>
      <c r="C158" s="261"/>
      <c r="D158" s="261"/>
      <c r="E158" s="305"/>
      <c r="F158" s="305"/>
      <c r="G158" s="281"/>
      <c r="H158" s="281"/>
      <c r="I158" s="281"/>
      <c r="J158" s="281"/>
      <c r="K158" s="281"/>
      <c r="L158" s="281"/>
      <c r="M158" s="281"/>
      <c r="N158" s="281"/>
      <c r="O158" s="281"/>
      <c r="P158" s="281"/>
      <c r="Q158" s="281"/>
      <c r="R158" s="281"/>
      <c r="S158" s="281"/>
      <c r="T158" s="281"/>
      <c r="U158" s="281"/>
      <c r="V158" s="281"/>
      <c r="W158" s="281"/>
      <c r="X158" s="281"/>
      <c r="Y158" s="281"/>
      <c r="Z158" s="281"/>
      <c r="AA158" s="281"/>
      <c r="AB158" s="281"/>
      <c r="AC158" s="281"/>
      <c r="AD158" s="281"/>
      <c r="AE158" s="281"/>
      <c r="AF158" s="281"/>
      <c r="AG158" s="281"/>
      <c r="AH158" s="281"/>
      <c r="AI158" s="281"/>
      <c r="AJ158" s="281"/>
    </row>
    <row r="159" spans="2:36" ht="15.75">
      <c r="B159" s="345" t="s">
        <v>300</v>
      </c>
      <c r="C159" s="345"/>
      <c r="D159" s="345"/>
      <c r="E159" s="305"/>
      <c r="F159" s="305"/>
      <c r="G159" s="281"/>
      <c r="H159" s="281"/>
      <c r="I159" s="281"/>
      <c r="J159" s="281"/>
      <c r="K159" s="281"/>
      <c r="L159" s="281"/>
      <c r="M159" s="281"/>
      <c r="N159" s="281"/>
      <c r="O159" s="281"/>
      <c r="P159" s="281"/>
      <c r="Q159" s="281"/>
      <c r="R159" s="281"/>
      <c r="S159" s="281"/>
      <c r="T159" s="281"/>
      <c r="U159" s="281"/>
      <c r="V159" s="281"/>
      <c r="W159" s="281"/>
      <c r="X159" s="281"/>
      <c r="Y159" s="281"/>
      <c r="Z159" s="281"/>
      <c r="AA159" s="281"/>
      <c r="AB159" s="281"/>
      <c r="AC159" s="281"/>
      <c r="AD159" s="281"/>
      <c r="AE159" s="281"/>
      <c r="AF159" s="281"/>
      <c r="AG159" s="281"/>
      <c r="AH159" s="281"/>
      <c r="AI159" s="281"/>
      <c r="AJ159" s="281"/>
    </row>
    <row r="160" spans="2:36" ht="15.75">
      <c r="B160" s="261" t="s">
        <v>243</v>
      </c>
      <c r="C160" s="261"/>
      <c r="D160" s="261"/>
      <c r="E160" s="305"/>
      <c r="F160" s="305"/>
      <c r="G160" s="281">
        <v>0</v>
      </c>
      <c r="H160" s="281">
        <f>G163</f>
        <v>11824883.443180658</v>
      </c>
      <c r="I160" s="281">
        <f t="shared" ref="I160:AJ160" si="54">H163</f>
        <v>14129124.033597935</v>
      </c>
      <c r="J160" s="281">
        <f t="shared" si="54"/>
        <v>15129038.525108894</v>
      </c>
      <c r="K160" s="281">
        <f t="shared" si="54"/>
        <v>15339152.604415292</v>
      </c>
      <c r="L160" s="281">
        <f t="shared" si="54"/>
        <v>15532161.897835243</v>
      </c>
      <c r="M160" s="281">
        <f t="shared" si="54"/>
        <v>15124021.799308766</v>
      </c>
      <c r="N160" s="281">
        <f t="shared" si="54"/>
        <v>14112331.781132286</v>
      </c>
      <c r="O160" s="281">
        <f t="shared" si="54"/>
        <v>13075778.579820916</v>
      </c>
      <c r="P160" s="281">
        <f t="shared" si="54"/>
        <v>12011222.508864289</v>
      </c>
      <c r="Q160" s="281">
        <f t="shared" si="54"/>
        <v>10914958.554201938</v>
      </c>
      <c r="R160" s="281">
        <f t="shared" si="54"/>
        <v>9783015.2707259916</v>
      </c>
      <c r="S160" s="281">
        <f t="shared" si="54"/>
        <v>8611063.7277495861</v>
      </c>
      <c r="T160" s="281">
        <f t="shared" si="54"/>
        <v>7394534.4943840383</v>
      </c>
      <c r="U160" s="281">
        <f t="shared" si="54"/>
        <v>6128458.3096203376</v>
      </c>
      <c r="V160" s="281">
        <f t="shared" si="54"/>
        <v>4807580.0965826791</v>
      </c>
      <c r="W160" s="281">
        <f t="shared" si="54"/>
        <v>3426591.7326662769</v>
      </c>
      <c r="X160" s="281">
        <f t="shared" si="54"/>
        <v>2075506.2936897927</v>
      </c>
      <c r="Y160" s="281">
        <f t="shared" si="54"/>
        <v>754140.65712626372</v>
      </c>
      <c r="Z160" s="281">
        <f t="shared" si="54"/>
        <v>0</v>
      </c>
      <c r="AA160" s="281">
        <f t="shared" si="54"/>
        <v>0</v>
      </c>
      <c r="AB160" s="281">
        <f t="shared" si="54"/>
        <v>0</v>
      </c>
      <c r="AC160" s="281">
        <f t="shared" si="54"/>
        <v>0</v>
      </c>
      <c r="AD160" s="281">
        <f t="shared" si="54"/>
        <v>0</v>
      </c>
      <c r="AE160" s="281">
        <f t="shared" si="54"/>
        <v>0</v>
      </c>
      <c r="AF160" s="281">
        <f t="shared" si="54"/>
        <v>0</v>
      </c>
      <c r="AG160" s="281">
        <f t="shared" si="54"/>
        <v>0</v>
      </c>
      <c r="AH160" s="281">
        <f t="shared" si="54"/>
        <v>0</v>
      </c>
      <c r="AI160" s="281">
        <f t="shared" si="54"/>
        <v>0</v>
      </c>
      <c r="AJ160" s="281">
        <f t="shared" si="54"/>
        <v>0</v>
      </c>
    </row>
    <row r="161" spans="2:36" ht="15.75">
      <c r="B161" s="261" t="s">
        <v>244</v>
      </c>
      <c r="C161" s="261"/>
      <c r="D161" s="261"/>
      <c r="E161" s="305"/>
      <c r="F161" s="305"/>
      <c r="G161" s="281">
        <f>IF(G$149&gt;0,0,-G$149)</f>
        <v>11824883.443180658</v>
      </c>
      <c r="H161" s="281">
        <f t="shared" ref="H161:AJ161" si="55">IF(H$149&gt;0,0,-H$149)</f>
        <v>2304240.5904172766</v>
      </c>
      <c r="I161" s="281">
        <f t="shared" si="55"/>
        <v>999914.49151095853</v>
      </c>
      <c r="J161" s="281">
        <f t="shared" si="55"/>
        <v>210114.07930639817</v>
      </c>
      <c r="K161" s="281">
        <f t="shared" si="55"/>
        <v>193009.29341995181</v>
      </c>
      <c r="L161" s="281">
        <f t="shared" si="55"/>
        <v>0</v>
      </c>
      <c r="M161" s="281">
        <f t="shared" si="55"/>
        <v>0</v>
      </c>
      <c r="N161" s="281">
        <f t="shared" si="55"/>
        <v>0</v>
      </c>
      <c r="O161" s="281">
        <f t="shared" si="55"/>
        <v>0</v>
      </c>
      <c r="P161" s="281">
        <f t="shared" si="55"/>
        <v>0</v>
      </c>
      <c r="Q161" s="281">
        <f t="shared" si="55"/>
        <v>0</v>
      </c>
      <c r="R161" s="281">
        <f t="shared" si="55"/>
        <v>0</v>
      </c>
      <c r="S161" s="281">
        <f t="shared" si="55"/>
        <v>0</v>
      </c>
      <c r="T161" s="281">
        <f t="shared" si="55"/>
        <v>0</v>
      </c>
      <c r="U161" s="281">
        <f t="shared" si="55"/>
        <v>0</v>
      </c>
      <c r="V161" s="281">
        <f t="shared" si="55"/>
        <v>0</v>
      </c>
      <c r="W161" s="281">
        <f t="shared" si="55"/>
        <v>0</v>
      </c>
      <c r="X161" s="281">
        <f t="shared" si="55"/>
        <v>0</v>
      </c>
      <c r="Y161" s="281">
        <f t="shared" si="55"/>
        <v>0</v>
      </c>
      <c r="Z161" s="281">
        <f t="shared" si="55"/>
        <v>0</v>
      </c>
      <c r="AA161" s="281">
        <f t="shared" si="55"/>
        <v>0</v>
      </c>
      <c r="AB161" s="281">
        <f t="shared" si="55"/>
        <v>0</v>
      </c>
      <c r="AC161" s="281">
        <f t="shared" si="55"/>
        <v>0</v>
      </c>
      <c r="AD161" s="281">
        <f t="shared" si="55"/>
        <v>0</v>
      </c>
      <c r="AE161" s="281">
        <f t="shared" si="55"/>
        <v>0</v>
      </c>
      <c r="AF161" s="281">
        <f t="shared" si="55"/>
        <v>0</v>
      </c>
      <c r="AG161" s="281">
        <f t="shared" si="55"/>
        <v>0</v>
      </c>
      <c r="AH161" s="281">
        <f t="shared" si="55"/>
        <v>0</v>
      </c>
      <c r="AI161" s="281">
        <f t="shared" si="55"/>
        <v>0</v>
      </c>
      <c r="AJ161" s="281">
        <f t="shared" si="55"/>
        <v>0</v>
      </c>
    </row>
    <row r="162" spans="2:36" ht="15.75">
      <c r="B162" s="261" t="s">
        <v>242</v>
      </c>
      <c r="C162" s="261"/>
      <c r="D162" s="261"/>
      <c r="E162" s="305"/>
      <c r="F162" s="305"/>
      <c r="G162" s="281">
        <f t="shared" ref="G162:AJ162" si="56">IF(G$149&lt;=0,0,-MIN(G$149,F$155))</f>
        <v>0</v>
      </c>
      <c r="H162" s="281">
        <f t="shared" si="56"/>
        <v>0</v>
      </c>
      <c r="I162" s="281">
        <f t="shared" si="56"/>
        <v>0</v>
      </c>
      <c r="J162" s="281">
        <f t="shared" si="56"/>
        <v>0</v>
      </c>
      <c r="K162" s="281">
        <f t="shared" si="56"/>
        <v>0</v>
      </c>
      <c r="L162" s="281">
        <f t="shared" si="56"/>
        <v>-408140.09852647688</v>
      </c>
      <c r="M162" s="281">
        <f t="shared" si="56"/>
        <v>-1011690.0181764788</v>
      </c>
      <c r="N162" s="281">
        <f t="shared" si="56"/>
        <v>-1036553.2013113713</v>
      </c>
      <c r="O162" s="281">
        <f t="shared" si="56"/>
        <v>-1064556.0709566274</v>
      </c>
      <c r="P162" s="281">
        <f t="shared" si="56"/>
        <v>-1096263.9546623512</v>
      </c>
      <c r="Q162" s="281">
        <f t="shared" si="56"/>
        <v>-1131943.2834759457</v>
      </c>
      <c r="R162" s="281">
        <f t="shared" si="56"/>
        <v>-1171951.5429764048</v>
      </c>
      <c r="S162" s="281">
        <f t="shared" si="56"/>
        <v>-1216529.2333655481</v>
      </c>
      <c r="T162" s="281">
        <f t="shared" si="56"/>
        <v>-1266076.1847637012</v>
      </c>
      <c r="U162" s="281">
        <f t="shared" si="56"/>
        <v>-1320878.2130376589</v>
      </c>
      <c r="V162" s="281">
        <f t="shared" si="56"/>
        <v>-1380988.3639164022</v>
      </c>
      <c r="W162" s="281">
        <f t="shared" si="56"/>
        <v>-1351085.4389764841</v>
      </c>
      <c r="X162" s="281">
        <f t="shared" si="56"/>
        <v>-1321365.636563529</v>
      </c>
      <c r="Y162" s="281">
        <f t="shared" si="56"/>
        <v>-754140.65712626372</v>
      </c>
      <c r="Z162" s="281">
        <f t="shared" si="56"/>
        <v>0</v>
      </c>
      <c r="AA162" s="281">
        <f t="shared" si="56"/>
        <v>0</v>
      </c>
      <c r="AB162" s="281">
        <f t="shared" si="56"/>
        <v>0</v>
      </c>
      <c r="AC162" s="281">
        <f t="shared" si="56"/>
        <v>0</v>
      </c>
      <c r="AD162" s="281">
        <f t="shared" si="56"/>
        <v>0</v>
      </c>
      <c r="AE162" s="281">
        <f t="shared" si="56"/>
        <v>0</v>
      </c>
      <c r="AF162" s="281">
        <f t="shared" si="56"/>
        <v>0</v>
      </c>
      <c r="AG162" s="281">
        <f t="shared" si="56"/>
        <v>0</v>
      </c>
      <c r="AH162" s="281">
        <f t="shared" si="56"/>
        <v>0</v>
      </c>
      <c r="AI162" s="281">
        <f t="shared" si="56"/>
        <v>0</v>
      </c>
      <c r="AJ162" s="281">
        <f t="shared" si="56"/>
        <v>0</v>
      </c>
    </row>
    <row r="163" spans="2:36" ht="15.75">
      <c r="B163" s="261" t="s">
        <v>245</v>
      </c>
      <c r="C163" s="261"/>
      <c r="D163" s="261"/>
      <c r="E163" s="305"/>
      <c r="F163" s="305"/>
      <c r="G163" s="281">
        <f>SUM(G160:G162)</f>
        <v>11824883.443180658</v>
      </c>
      <c r="H163" s="281">
        <f t="shared" ref="H163:AJ163" si="57">SUM(H160:H162)</f>
        <v>14129124.033597935</v>
      </c>
      <c r="I163" s="281">
        <f t="shared" si="57"/>
        <v>15129038.525108894</v>
      </c>
      <c r="J163" s="281">
        <f t="shared" si="57"/>
        <v>15339152.604415292</v>
      </c>
      <c r="K163" s="281">
        <f t="shared" si="57"/>
        <v>15532161.897835243</v>
      </c>
      <c r="L163" s="281">
        <f t="shared" si="57"/>
        <v>15124021.799308766</v>
      </c>
      <c r="M163" s="281">
        <f t="shared" si="57"/>
        <v>14112331.781132286</v>
      </c>
      <c r="N163" s="281">
        <f t="shared" si="57"/>
        <v>13075778.579820916</v>
      </c>
      <c r="O163" s="281">
        <f t="shared" si="57"/>
        <v>12011222.508864289</v>
      </c>
      <c r="P163" s="281">
        <f t="shared" si="57"/>
        <v>10914958.554201938</v>
      </c>
      <c r="Q163" s="281">
        <f t="shared" si="57"/>
        <v>9783015.2707259916</v>
      </c>
      <c r="R163" s="281">
        <f t="shared" si="57"/>
        <v>8611063.7277495861</v>
      </c>
      <c r="S163" s="281">
        <f t="shared" si="57"/>
        <v>7394534.4943840383</v>
      </c>
      <c r="T163" s="281">
        <f t="shared" si="57"/>
        <v>6128458.3096203376</v>
      </c>
      <c r="U163" s="281">
        <f t="shared" si="57"/>
        <v>4807580.0965826791</v>
      </c>
      <c r="V163" s="281">
        <f t="shared" si="57"/>
        <v>3426591.7326662769</v>
      </c>
      <c r="W163" s="281">
        <f t="shared" si="57"/>
        <v>2075506.2936897927</v>
      </c>
      <c r="X163" s="281">
        <f t="shared" si="57"/>
        <v>754140.65712626372</v>
      </c>
      <c r="Y163" s="281">
        <f t="shared" si="57"/>
        <v>0</v>
      </c>
      <c r="Z163" s="281">
        <f t="shared" si="57"/>
        <v>0</v>
      </c>
      <c r="AA163" s="281">
        <f t="shared" si="57"/>
        <v>0</v>
      </c>
      <c r="AB163" s="281">
        <f t="shared" si="57"/>
        <v>0</v>
      </c>
      <c r="AC163" s="281">
        <f t="shared" si="57"/>
        <v>0</v>
      </c>
      <c r="AD163" s="281">
        <f t="shared" si="57"/>
        <v>0</v>
      </c>
      <c r="AE163" s="281">
        <f t="shared" si="57"/>
        <v>0</v>
      </c>
      <c r="AF163" s="281">
        <f t="shared" si="57"/>
        <v>0</v>
      </c>
      <c r="AG163" s="281">
        <f t="shared" si="57"/>
        <v>0</v>
      </c>
      <c r="AH163" s="281">
        <f t="shared" si="57"/>
        <v>0</v>
      </c>
      <c r="AI163" s="281">
        <f t="shared" si="57"/>
        <v>0</v>
      </c>
      <c r="AJ163" s="281">
        <f t="shared" si="57"/>
        <v>0</v>
      </c>
    </row>
    <row r="164" spans="2:36" ht="15.75">
      <c r="B164" s="261"/>
      <c r="C164" s="261"/>
      <c r="D164" s="261"/>
      <c r="E164" s="305"/>
      <c r="F164" s="305"/>
      <c r="G164" s="305"/>
      <c r="H164" s="305"/>
      <c r="I164" s="305"/>
      <c r="J164" s="305"/>
      <c r="K164" s="305"/>
      <c r="L164" s="305"/>
      <c r="M164" s="305"/>
      <c r="N164" s="305"/>
      <c r="O164" s="305"/>
      <c r="P164" s="305"/>
      <c r="Q164" s="305"/>
      <c r="R164" s="305"/>
      <c r="S164" s="305"/>
      <c r="T164" s="305"/>
      <c r="U164" s="305"/>
      <c r="V164" s="305"/>
      <c r="W164" s="305"/>
      <c r="X164" s="305"/>
      <c r="Y164" s="305"/>
      <c r="Z164" s="305"/>
      <c r="AA164" s="305"/>
      <c r="AB164" s="305"/>
      <c r="AC164" s="305"/>
      <c r="AD164" s="305"/>
      <c r="AE164" s="305"/>
      <c r="AF164" s="305"/>
      <c r="AG164" s="305"/>
      <c r="AH164" s="305"/>
      <c r="AI164" s="305"/>
      <c r="AJ164" s="305"/>
    </row>
    <row r="165" spans="2:36" ht="15.75">
      <c r="B165" s="261" t="s">
        <v>246</v>
      </c>
      <c r="C165" s="261"/>
      <c r="D165" s="261"/>
      <c r="E165" s="305"/>
      <c r="F165" s="305"/>
      <c r="G165" s="281">
        <f>G149+G161+G162</f>
        <v>0</v>
      </c>
      <c r="H165" s="281">
        <f t="shared" ref="H165:AJ165" si="58">H149+H161+H162</f>
        <v>0</v>
      </c>
      <c r="I165" s="281">
        <f t="shared" si="58"/>
        <v>0</v>
      </c>
      <c r="J165" s="281">
        <f t="shared" si="58"/>
        <v>0</v>
      </c>
      <c r="K165" s="281">
        <f t="shared" si="58"/>
        <v>0</v>
      </c>
      <c r="L165" s="281">
        <f t="shared" si="58"/>
        <v>0</v>
      </c>
      <c r="M165" s="281">
        <f t="shared" si="58"/>
        <v>0</v>
      </c>
      <c r="N165" s="281">
        <f t="shared" si="58"/>
        <v>0</v>
      </c>
      <c r="O165" s="281">
        <f t="shared" si="58"/>
        <v>0</v>
      </c>
      <c r="P165" s="281">
        <f t="shared" si="58"/>
        <v>0</v>
      </c>
      <c r="Q165" s="281">
        <f t="shared" si="58"/>
        <v>0</v>
      </c>
      <c r="R165" s="281">
        <f t="shared" si="58"/>
        <v>0</v>
      </c>
      <c r="S165" s="281">
        <f t="shared" si="58"/>
        <v>0</v>
      </c>
      <c r="T165" s="281">
        <f t="shared" si="58"/>
        <v>0</v>
      </c>
      <c r="U165" s="281">
        <f t="shared" si="58"/>
        <v>0</v>
      </c>
      <c r="V165" s="281">
        <f t="shared" si="58"/>
        <v>0</v>
      </c>
      <c r="W165" s="281">
        <f t="shared" si="58"/>
        <v>0</v>
      </c>
      <c r="X165" s="281">
        <f t="shared" si="58"/>
        <v>0</v>
      </c>
      <c r="Y165" s="281">
        <f t="shared" si="58"/>
        <v>537283.84552471293</v>
      </c>
      <c r="Z165" s="281">
        <f t="shared" si="58"/>
        <v>1256936.200954095</v>
      </c>
      <c r="AA165" s="281">
        <f t="shared" si="58"/>
        <v>3750</v>
      </c>
      <c r="AB165" s="281">
        <f t="shared" si="58"/>
        <v>0</v>
      </c>
      <c r="AC165" s="281">
        <f t="shared" si="58"/>
        <v>0</v>
      </c>
      <c r="AD165" s="281">
        <f t="shared" si="58"/>
        <v>0</v>
      </c>
      <c r="AE165" s="281">
        <f t="shared" si="58"/>
        <v>0</v>
      </c>
      <c r="AF165" s="281">
        <f t="shared" si="58"/>
        <v>0</v>
      </c>
      <c r="AG165" s="281">
        <f t="shared" si="58"/>
        <v>0</v>
      </c>
      <c r="AH165" s="281">
        <f t="shared" si="58"/>
        <v>0</v>
      </c>
      <c r="AI165" s="281">
        <f t="shared" si="58"/>
        <v>0</v>
      </c>
      <c r="AJ165" s="281">
        <f t="shared" si="58"/>
        <v>0</v>
      </c>
    </row>
    <row r="166" spans="2:36" ht="15.75" thickBot="1">
      <c r="B166" s="307"/>
      <c r="C166" s="307"/>
      <c r="D166" s="307"/>
      <c r="E166" s="307"/>
      <c r="F166" s="307"/>
      <c r="G166" s="307"/>
      <c r="H166" s="307"/>
      <c r="I166" s="307"/>
      <c r="J166" s="307"/>
      <c r="K166" s="307"/>
      <c r="L166" s="307"/>
      <c r="M166" s="307"/>
      <c r="N166" s="307"/>
      <c r="O166" s="307"/>
      <c r="P166" s="307"/>
      <c r="Q166" s="307"/>
      <c r="R166" s="307"/>
      <c r="S166" s="307"/>
      <c r="T166" s="307"/>
      <c r="U166" s="307"/>
      <c r="V166" s="307"/>
      <c r="W166" s="307"/>
      <c r="X166" s="307"/>
      <c r="Y166" s="307"/>
      <c r="Z166" s="307"/>
      <c r="AA166" s="307"/>
      <c r="AB166" s="307"/>
      <c r="AC166" s="307"/>
      <c r="AD166" s="307"/>
      <c r="AE166" s="307"/>
      <c r="AF166" s="307"/>
      <c r="AG166" s="307"/>
      <c r="AH166" s="307"/>
      <c r="AI166" s="307"/>
      <c r="AJ166" s="307"/>
    </row>
    <row r="167" spans="2:36" s="30" customFormat="1" ht="15.75">
      <c r="B167" s="261"/>
      <c r="C167" s="261"/>
      <c r="D167" s="261"/>
      <c r="E167" s="261"/>
      <c r="F167" s="276"/>
      <c r="G167" s="286"/>
      <c r="H167" s="287"/>
      <c r="I167" s="261"/>
      <c r="J167" s="261"/>
      <c r="K167" s="261"/>
      <c r="L167" s="261"/>
      <c r="M167" s="261"/>
      <c r="N167" s="261"/>
      <c r="O167" s="261"/>
      <c r="P167" s="261"/>
      <c r="Q167" s="261"/>
      <c r="R167" s="261"/>
      <c r="S167" s="261"/>
      <c r="T167" s="261"/>
      <c r="U167" s="261"/>
      <c r="V167" s="261"/>
      <c r="W167" s="261"/>
      <c r="X167" s="261"/>
      <c r="Y167" s="261"/>
      <c r="Z167" s="261"/>
      <c r="AA167" s="261"/>
      <c r="AB167" s="261"/>
      <c r="AC167" s="261"/>
      <c r="AD167" s="261"/>
      <c r="AE167" s="261"/>
      <c r="AF167" s="261"/>
      <c r="AG167" s="261"/>
      <c r="AH167" s="261"/>
      <c r="AI167" s="261"/>
      <c r="AJ167" s="261"/>
    </row>
    <row r="168" spans="2:36" s="30" customFormat="1" ht="15.75">
      <c r="B168" s="260" t="s">
        <v>248</v>
      </c>
      <c r="C168" s="260"/>
      <c r="D168" s="260"/>
      <c r="E168" s="261"/>
      <c r="F168" s="276"/>
      <c r="G168" s="286"/>
      <c r="H168" s="287"/>
      <c r="I168" s="261"/>
      <c r="J168" s="261"/>
      <c r="K168" s="261"/>
      <c r="L168" s="261"/>
      <c r="M168" s="261"/>
      <c r="N168" s="261"/>
      <c r="O168" s="261"/>
      <c r="P168" s="261"/>
      <c r="Q168" s="261"/>
      <c r="R168" s="261"/>
      <c r="S168" s="261"/>
      <c r="T168" s="261"/>
      <c r="U168" s="261"/>
      <c r="V168" s="261"/>
      <c r="W168" s="261"/>
      <c r="X168" s="261"/>
      <c r="Y168" s="261"/>
      <c r="Z168" s="261"/>
      <c r="AA168" s="261"/>
      <c r="AB168" s="261"/>
      <c r="AC168" s="261"/>
      <c r="AD168" s="261"/>
      <c r="AE168" s="261"/>
      <c r="AF168" s="261"/>
      <c r="AG168" s="261"/>
      <c r="AH168" s="261"/>
      <c r="AI168" s="261"/>
      <c r="AJ168" s="261"/>
    </row>
    <row r="169" spans="2:36" s="30" customFormat="1">
      <c r="B169" s="261" t="s">
        <v>249</v>
      </c>
      <c r="C169" s="261"/>
      <c r="D169" s="261"/>
      <c r="E169" s="261"/>
      <c r="F169" s="276"/>
      <c r="G169" s="344">
        <f>IF(OR(Inputs!$G$69="No",Inputs!$Q$18="Performance-Based",Inputs!$Q$18="Neither"),0,IF(AND(Inputs!$Q$19="ITC",G$2=1),Inputs!$Q$21,IF(G$2&gt;1,0,IF(Inputs!$Q$19="Cash Grant",0,"ERROR"))))</f>
        <v>0</v>
      </c>
      <c r="H169" s="344">
        <f>IF(OR(Inputs!$G$69="No",Inputs!$Q$18="Performance-Based",Inputs!$Q$18="Neither"),0,IF(AND(Inputs!$Q$19="ITC",H$2=1),Inputs!$Q$21,IF(H$2&gt;1,0,IF(Inputs!$Q$19="Cash Grant",0,"ERROR"))))</f>
        <v>0</v>
      </c>
      <c r="I169" s="344">
        <f>IF(OR(Inputs!$G$69="No",Inputs!$Q$18="Performance-Based",Inputs!$Q$18="Neither"),0,IF(AND(Inputs!$Q$19="ITC",I$2=1),Inputs!$Q$21,IF(I$2&gt;1,0,IF(Inputs!$Q$19="Cash Grant",0,"ERROR"))))</f>
        <v>0</v>
      </c>
      <c r="J169" s="344">
        <f>IF(OR(Inputs!$G$69="No",Inputs!$Q$18="Performance-Based",Inputs!$Q$18="Neither"),0,IF(AND(Inputs!$Q$19="ITC",J$2=1),Inputs!$Q$21,IF(J$2&gt;1,0,IF(Inputs!$Q$19="Cash Grant",0,"ERROR"))))</f>
        <v>0</v>
      </c>
      <c r="K169" s="344">
        <f>IF(OR(Inputs!$G$69="No",Inputs!$Q$18="Performance-Based",Inputs!$Q$18="Neither"),0,IF(AND(Inputs!$Q$19="ITC",K$2=1),Inputs!$Q$21,IF(K$2&gt;1,0,IF(Inputs!$Q$19="Cash Grant",0,"ERROR"))))</f>
        <v>0</v>
      </c>
      <c r="L169" s="344">
        <f>IF(OR(Inputs!$G$69="No",Inputs!$Q$18="Performance-Based",Inputs!$Q$18="Neither"),0,IF(AND(Inputs!$Q$19="ITC",L$2=1),Inputs!$Q$21,IF(L$2&gt;1,0,IF(Inputs!$Q$19="Cash Grant",0,"ERROR"))))</f>
        <v>0</v>
      </c>
      <c r="M169" s="344">
        <f>IF(OR(Inputs!$G$69="No",Inputs!$Q$18="Performance-Based",Inputs!$Q$18="Neither"),0,IF(AND(Inputs!$Q$19="ITC",M$2=1),Inputs!$Q$21,IF(M$2&gt;1,0,IF(Inputs!$Q$19="Cash Grant",0,"ERROR"))))</f>
        <v>0</v>
      </c>
      <c r="N169" s="344">
        <f>IF(OR(Inputs!$G$69="No",Inputs!$Q$18="Performance-Based",Inputs!$Q$18="Neither"),0,IF(AND(Inputs!$Q$19="ITC",N$2=1),Inputs!$Q$21,IF(N$2&gt;1,0,IF(Inputs!$Q$19="Cash Grant",0,"ERROR"))))</f>
        <v>0</v>
      </c>
      <c r="O169" s="344">
        <f>IF(OR(Inputs!$G$69="No",Inputs!$Q$18="Performance-Based",Inputs!$Q$18="Neither"),0,IF(AND(Inputs!$Q$19="ITC",O$2=1),Inputs!$Q$21,IF(O$2&gt;1,0,IF(Inputs!$Q$19="Cash Grant",0,"ERROR"))))</f>
        <v>0</v>
      </c>
      <c r="P169" s="344">
        <f>IF(OR(Inputs!$G$69="No",Inputs!$Q$18="Performance-Based",Inputs!$Q$18="Neither"),0,IF(AND(Inputs!$Q$19="ITC",P$2=1),Inputs!$Q$21,IF(P$2&gt;1,0,IF(Inputs!$Q$19="Cash Grant",0,"ERROR"))))</f>
        <v>0</v>
      </c>
      <c r="Q169" s="344">
        <f>IF(OR(Inputs!$G$69="No",Inputs!$Q$18="Performance-Based",Inputs!$Q$18="Neither"),0,IF(AND(Inputs!$Q$19="ITC",Q$2=1),Inputs!$Q$21,IF(Q$2&gt;1,0,IF(Inputs!$Q$19="Cash Grant",0,"ERROR"))))</f>
        <v>0</v>
      </c>
      <c r="R169" s="344">
        <f>IF(OR(Inputs!$G$69="No",Inputs!$Q$18="Performance-Based",Inputs!$Q$18="Neither"),0,IF(AND(Inputs!$Q$19="ITC",R$2=1),Inputs!$Q$21,IF(R$2&gt;1,0,IF(Inputs!$Q$19="Cash Grant",0,"ERROR"))))</f>
        <v>0</v>
      </c>
      <c r="S169" s="344">
        <f>IF(OR(Inputs!$G$69="No",Inputs!$Q$18="Performance-Based",Inputs!$Q$18="Neither"),0,IF(AND(Inputs!$Q$19="ITC",S$2=1),Inputs!$Q$21,IF(S$2&gt;1,0,IF(Inputs!$Q$19="Cash Grant",0,"ERROR"))))</f>
        <v>0</v>
      </c>
      <c r="T169" s="344">
        <f>IF(OR(Inputs!$G$69="No",Inputs!$Q$18="Performance-Based",Inputs!$Q$18="Neither"),0,IF(AND(Inputs!$Q$19="ITC",T$2=1),Inputs!$Q$21,IF(T$2&gt;1,0,IF(Inputs!$Q$19="Cash Grant",0,"ERROR"))))</f>
        <v>0</v>
      </c>
      <c r="U169" s="344">
        <f>IF(OR(Inputs!$G$69="No",Inputs!$Q$18="Performance-Based",Inputs!$Q$18="Neither"),0,IF(AND(Inputs!$Q$19="ITC",U$2=1),Inputs!$Q$21,IF(U$2&gt;1,0,IF(Inputs!$Q$19="Cash Grant",0,"ERROR"))))</f>
        <v>0</v>
      </c>
      <c r="V169" s="344">
        <f>IF(OR(Inputs!$G$69="No",Inputs!$Q$18="Performance-Based",Inputs!$Q$18="Neither"),0,IF(AND(Inputs!$Q$19="ITC",V$2=1),Inputs!$Q$21,IF(V$2&gt;1,0,IF(Inputs!$Q$19="Cash Grant",0,"ERROR"))))</f>
        <v>0</v>
      </c>
      <c r="W169" s="344">
        <f>IF(OR(Inputs!$G$69="No",Inputs!$Q$18="Performance-Based",Inputs!$Q$18="Neither"),0,IF(AND(Inputs!$Q$19="ITC",W$2=1),Inputs!$Q$21,IF(W$2&gt;1,0,IF(Inputs!$Q$19="Cash Grant",0,"ERROR"))))</f>
        <v>0</v>
      </c>
      <c r="X169" s="344">
        <f>IF(OR(Inputs!$G$69="No",Inputs!$Q$18="Performance-Based",Inputs!$Q$18="Neither"),0,IF(AND(Inputs!$Q$19="ITC",X$2=1),Inputs!$Q$21,IF(X$2&gt;1,0,IF(Inputs!$Q$19="Cash Grant",0,"ERROR"))))</f>
        <v>0</v>
      </c>
      <c r="Y169" s="344">
        <f>IF(OR(Inputs!$G$69="No",Inputs!$Q$18="Performance-Based",Inputs!$Q$18="Neither"),0,IF(AND(Inputs!$Q$19="ITC",Y$2=1),Inputs!$Q$21,IF(Y$2&gt;1,0,IF(Inputs!$Q$19="Cash Grant",0,"ERROR"))))</f>
        <v>0</v>
      </c>
      <c r="Z169" s="344">
        <f>IF(OR(Inputs!$G$69="No",Inputs!$Q$18="Performance-Based",Inputs!$Q$18="Neither"),0,IF(AND(Inputs!$Q$19="ITC",Z$2=1),Inputs!$Q$21,IF(Z$2&gt;1,0,IF(Inputs!$Q$19="Cash Grant",0,"ERROR"))))</f>
        <v>0</v>
      </c>
      <c r="AA169" s="344">
        <f>IF(OR(Inputs!$G$69="No",Inputs!$Q$18="Performance-Based",Inputs!$Q$18="Neither"),0,IF(AND(Inputs!$Q$19="ITC",AA$2=1),Inputs!$Q$21,IF(AA$2&gt;1,0,IF(Inputs!$Q$19="Cash Grant",0,"ERROR"))))</f>
        <v>0</v>
      </c>
      <c r="AB169" s="344">
        <f>IF(OR(Inputs!$G$69="No",Inputs!$Q$18="Performance-Based",Inputs!$Q$18="Neither"),0,IF(AND(Inputs!$Q$19="ITC",AB$2=1),Inputs!$Q$21,IF(AB$2&gt;1,0,IF(Inputs!$Q$19="Cash Grant",0,"ERROR"))))</f>
        <v>0</v>
      </c>
      <c r="AC169" s="344">
        <f>IF(OR(Inputs!$G$69="No",Inputs!$Q$18="Performance-Based",Inputs!$Q$18="Neither"),0,IF(AND(Inputs!$Q$19="ITC",AC$2=1),Inputs!$Q$21,IF(AC$2&gt;1,0,IF(Inputs!$Q$19="Cash Grant",0,"ERROR"))))</f>
        <v>0</v>
      </c>
      <c r="AD169" s="344">
        <f>IF(OR(Inputs!$G$69="No",Inputs!$Q$18="Performance-Based",Inputs!$Q$18="Neither"),0,IF(AND(Inputs!$Q$19="ITC",AD$2=1),Inputs!$Q$21,IF(AD$2&gt;1,0,IF(Inputs!$Q$19="Cash Grant",0,"ERROR"))))</f>
        <v>0</v>
      </c>
      <c r="AE169" s="344">
        <f>IF(OR(Inputs!$G$69="No",Inputs!$Q$18="Performance-Based",Inputs!$Q$18="Neither"),0,IF(AND(Inputs!$Q$19="ITC",AE$2=1),Inputs!$Q$21,IF(AE$2&gt;1,0,IF(Inputs!$Q$19="Cash Grant",0,"ERROR"))))</f>
        <v>0</v>
      </c>
      <c r="AF169" s="344">
        <f>IF(OR(Inputs!$G$69="No",Inputs!$Q$18="Performance-Based",Inputs!$Q$18="Neither"),0,IF(AND(Inputs!$Q$19="ITC",AF$2=1),Inputs!$Q$21,IF(AF$2&gt;1,0,IF(Inputs!$Q$19="Cash Grant",0,"ERROR"))))</f>
        <v>0</v>
      </c>
      <c r="AG169" s="344">
        <f>IF(OR(Inputs!$G$69="No",Inputs!$Q$18="Performance-Based",Inputs!$Q$18="Neither"),0,IF(AND(Inputs!$Q$19="ITC",AG$2=1),Inputs!$Q$21,IF(AG$2&gt;1,0,IF(Inputs!$Q$19="Cash Grant",0,"ERROR"))))</f>
        <v>0</v>
      </c>
      <c r="AH169" s="344">
        <f>IF(OR(Inputs!$G$69="No",Inputs!$Q$18="Performance-Based",Inputs!$Q$18="Neither"),0,IF(AND(Inputs!$Q$19="ITC",AH$2=1),Inputs!$Q$21,IF(AH$2&gt;1,0,IF(Inputs!$Q$19="Cash Grant",0,"ERROR"))))</f>
        <v>0</v>
      </c>
      <c r="AI169" s="344">
        <f>IF(OR(Inputs!$G$69="No",Inputs!$Q$18="Performance-Based",Inputs!$Q$18="Neither"),0,IF(AND(Inputs!$Q$19="ITC",AI$2=1),Inputs!$Q$21,IF(AI$2&gt;1,0,IF(Inputs!$Q$19="Cash Grant",0,"ERROR"))))</f>
        <v>0</v>
      </c>
      <c r="AJ169" s="344">
        <f>IF(OR(Inputs!$G$69="No",Inputs!$Q$18="Performance-Based",Inputs!$Q$18="Neither"),0,IF(AND(Inputs!$Q$19="ITC",AJ$2=1),Inputs!$Q$21,IF(AJ$2&gt;1,0,IF(Inputs!$Q$19="Cash Grant",0,"ERROR"))))</f>
        <v>0</v>
      </c>
    </row>
    <row r="170" spans="2:36" s="30" customFormat="1">
      <c r="B170" s="261" t="s">
        <v>208</v>
      </c>
      <c r="C170" s="261"/>
      <c r="D170" s="261"/>
      <c r="E170" s="261"/>
      <c r="F170" s="276"/>
      <c r="G170" s="281">
        <f>IF(OR(Inputs!$G$69="No",Inputs!$Q$18="Cost-Based",Inputs!$Q$18="Neither"),0,IF(Inputs!$Q$22="Tax Credit",IF(G$2&gt;Inputs!$Q$24,0,Inputs!$Q$23/100*G$9*Inputs!$Q$98*G$5*(1-MIN(Inputs!$Q$26/Inputs!$G$22,50%))),0))</f>
        <v>0</v>
      </c>
      <c r="H170" s="281">
        <f>IF(OR(Inputs!$G$69="No",Inputs!$Q$18="Cost-Based",Inputs!$Q$18="Neither"),0,IF(Inputs!$Q$22="Tax Credit",IF(H$2&gt;Inputs!$Q$24,0,Inputs!$Q$23/100*H$9*Inputs!$Q$98*H$5*(1-MIN(Inputs!$Q$26/Inputs!$G$22,50%))),0))</f>
        <v>0</v>
      </c>
      <c r="I170" s="281">
        <f>IF(OR(Inputs!$G$69="No",Inputs!$Q$18="Cost-Based",Inputs!$Q$18="Neither"),0,IF(Inputs!$Q$22="Tax Credit",IF(I$2&gt;Inputs!$Q$24,0,Inputs!$Q$23/100*I$9*Inputs!$Q$98*I$5*(1-MIN(Inputs!$Q$26/Inputs!$G$22,50%))),0))</f>
        <v>0</v>
      </c>
      <c r="J170" s="281">
        <f>IF(OR(Inputs!$G$69="No",Inputs!$Q$18="Cost-Based",Inputs!$Q$18="Neither"),0,IF(Inputs!$Q$22="Tax Credit",IF(J$2&gt;Inputs!$Q$24,0,Inputs!$Q$23/100*J$9*Inputs!$Q$98*J$5*(1-MIN(Inputs!$Q$26/Inputs!$G$22,50%))),0))</f>
        <v>0</v>
      </c>
      <c r="K170" s="281">
        <f>IF(OR(Inputs!$G$69="No",Inputs!$Q$18="Cost-Based",Inputs!$Q$18="Neither"),0,IF(Inputs!$Q$22="Tax Credit",IF(K$2&gt;Inputs!$Q$24,0,Inputs!$Q$23/100*K$9*Inputs!$Q$98*K$5*(1-MIN(Inputs!$Q$26/Inputs!$G$22,50%))),0))</f>
        <v>0</v>
      </c>
      <c r="L170" s="281">
        <f>IF(OR(Inputs!$G$69="No",Inputs!$Q$18="Cost-Based",Inputs!$Q$18="Neither"),0,IF(Inputs!$Q$22="Tax Credit",IF(L$2&gt;Inputs!$Q$24,0,Inputs!$Q$23/100*L$9*Inputs!$Q$98*L$5*(1-MIN(Inputs!$Q$26/Inputs!$G$22,50%))),0))</f>
        <v>0</v>
      </c>
      <c r="M170" s="281">
        <f>IF(OR(Inputs!$G$69="No",Inputs!$Q$18="Cost-Based",Inputs!$Q$18="Neither"),0,IF(Inputs!$Q$22="Tax Credit",IF(M$2&gt;Inputs!$Q$24,0,Inputs!$Q$23/100*M$9*Inputs!$Q$98*M$5*(1-MIN(Inputs!$Q$26/Inputs!$G$22,50%))),0))</f>
        <v>0</v>
      </c>
      <c r="N170" s="281">
        <f>IF(OR(Inputs!$G$69="No",Inputs!$Q$18="Cost-Based",Inputs!$Q$18="Neither"),0,IF(Inputs!$Q$22="Tax Credit",IF(N$2&gt;Inputs!$Q$24,0,Inputs!$Q$23/100*N$9*Inputs!$Q$98*N$5*(1-MIN(Inputs!$Q$26/Inputs!$G$22,50%))),0))</f>
        <v>0</v>
      </c>
      <c r="O170" s="281">
        <f>IF(OR(Inputs!$G$69="No",Inputs!$Q$18="Cost-Based",Inputs!$Q$18="Neither"),0,IF(Inputs!$Q$22="Tax Credit",IF(O$2&gt;Inputs!$Q$24,0,Inputs!$Q$23/100*O$9*Inputs!$Q$98*O$5*(1-MIN(Inputs!$Q$26/Inputs!$G$22,50%))),0))</f>
        <v>0</v>
      </c>
      <c r="P170" s="281">
        <f>IF(OR(Inputs!$G$69="No",Inputs!$Q$18="Cost-Based",Inputs!$Q$18="Neither"),0,IF(Inputs!$Q$22="Tax Credit",IF(P$2&gt;Inputs!$Q$24,0,Inputs!$Q$23/100*P$9*Inputs!$Q$98*P$5*(1-MIN(Inputs!$Q$26/Inputs!$G$22,50%))),0))</f>
        <v>0</v>
      </c>
      <c r="Q170" s="281">
        <f>IF(OR(Inputs!$G$69="No",Inputs!$Q$18="Cost-Based",Inputs!$Q$18="Neither"),0,IF(Inputs!$Q$22="Tax Credit",IF(Q$2&gt;Inputs!$Q$24,0,Inputs!$Q$23/100*Q$9*Inputs!$Q$98*Q$5*(1-MIN(Inputs!$Q$26/Inputs!$G$22,50%))),0))</f>
        <v>0</v>
      </c>
      <c r="R170" s="281">
        <f>IF(OR(Inputs!$G$69="No",Inputs!$Q$18="Cost-Based",Inputs!$Q$18="Neither"),0,IF(Inputs!$Q$22="Tax Credit",IF(R$2&gt;Inputs!$Q$24,0,Inputs!$Q$23/100*R$9*Inputs!$Q$98*R$5*(1-MIN(Inputs!$Q$26/Inputs!$G$22,50%))),0))</f>
        <v>0</v>
      </c>
      <c r="S170" s="281">
        <f>IF(OR(Inputs!$G$69="No",Inputs!$Q$18="Cost-Based",Inputs!$Q$18="Neither"),0,IF(Inputs!$Q$22="Tax Credit",IF(S$2&gt;Inputs!$Q$24,0,Inputs!$Q$23/100*S$9*Inputs!$Q$98*S$5*(1-MIN(Inputs!$Q$26/Inputs!$G$22,50%))),0))</f>
        <v>0</v>
      </c>
      <c r="T170" s="281">
        <f>IF(OR(Inputs!$G$69="No",Inputs!$Q$18="Cost-Based",Inputs!$Q$18="Neither"),0,IF(Inputs!$Q$22="Tax Credit",IF(T$2&gt;Inputs!$Q$24,0,Inputs!$Q$23/100*T$9*Inputs!$Q$98*T$5*(1-MIN(Inputs!$Q$26/Inputs!$G$22,50%))),0))</f>
        <v>0</v>
      </c>
      <c r="U170" s="281">
        <f>IF(OR(Inputs!$G$69="No",Inputs!$Q$18="Cost-Based",Inputs!$Q$18="Neither"),0,IF(Inputs!$Q$22="Tax Credit",IF(U$2&gt;Inputs!$Q$24,0,Inputs!$Q$23/100*U$9*Inputs!$Q$98*U$5*(1-MIN(Inputs!$Q$26/Inputs!$G$22,50%))),0))</f>
        <v>0</v>
      </c>
      <c r="V170" s="281">
        <f>IF(OR(Inputs!$G$69="No",Inputs!$Q$18="Cost-Based",Inputs!$Q$18="Neither"),0,IF(Inputs!$Q$22="Tax Credit",IF(V$2&gt;Inputs!$Q$24,0,Inputs!$Q$23/100*V$9*Inputs!$Q$98*V$5*(1-MIN(Inputs!$Q$26/Inputs!$G$22,50%))),0))</f>
        <v>0</v>
      </c>
      <c r="W170" s="281">
        <f>IF(OR(Inputs!$G$69="No",Inputs!$Q$18="Cost-Based",Inputs!$Q$18="Neither"),0,IF(Inputs!$Q$22="Tax Credit",IF(W$2&gt;Inputs!$Q$24,0,Inputs!$Q$23/100*W$9*Inputs!$Q$98*W$5*(1-MIN(Inputs!$Q$26/Inputs!$G$22,50%))),0))</f>
        <v>0</v>
      </c>
      <c r="X170" s="281">
        <f>IF(OR(Inputs!$G$69="No",Inputs!$Q$18="Cost-Based",Inputs!$Q$18="Neither"),0,IF(Inputs!$Q$22="Tax Credit",IF(X$2&gt;Inputs!$Q$24,0,Inputs!$Q$23/100*X$9*Inputs!$Q$98*X$5*(1-MIN(Inputs!$Q$26/Inputs!$G$22,50%))),0))</f>
        <v>0</v>
      </c>
      <c r="Y170" s="281">
        <f>IF(OR(Inputs!$G$69="No",Inputs!$Q$18="Cost-Based",Inputs!$Q$18="Neither"),0,IF(Inputs!$Q$22="Tax Credit",IF(Y$2&gt;Inputs!$Q$24,0,Inputs!$Q$23/100*Y$9*Inputs!$Q$98*Y$5*(1-MIN(Inputs!$Q$26/Inputs!$G$22,50%))),0))</f>
        <v>0</v>
      </c>
      <c r="Z170" s="281">
        <f>IF(OR(Inputs!$G$69="No",Inputs!$Q$18="Cost-Based",Inputs!$Q$18="Neither"),0,IF(Inputs!$Q$22="Tax Credit",IF(Z$2&gt;Inputs!$Q$24,0,Inputs!$Q$23/100*Z$9*Inputs!$Q$98*Z$5*(1-MIN(Inputs!$Q$26/Inputs!$G$22,50%))),0))</f>
        <v>0</v>
      </c>
      <c r="AA170" s="281">
        <f>IF(OR(Inputs!$G$69="No",Inputs!$Q$18="Cost-Based",Inputs!$Q$18="Neither"),0,IF(Inputs!$Q$22="Tax Credit",IF(AA$2&gt;Inputs!$Q$24,0,Inputs!$Q$23/100*AA$9*Inputs!$Q$98*AA$5*(1-MIN(Inputs!$Q$26/Inputs!$G$22,50%))),0))</f>
        <v>0</v>
      </c>
      <c r="AB170" s="281">
        <f>IF(OR(Inputs!$G$69="No",Inputs!$Q$18="Cost-Based",Inputs!$Q$18="Neither"),0,IF(Inputs!$Q$22="Tax Credit",IF(AB$2&gt;Inputs!$Q$24,0,Inputs!$Q$23/100*AB$9*Inputs!$Q$98*AB$5*(1-MIN(Inputs!$Q$26/Inputs!$G$22,50%))),0))</f>
        <v>0</v>
      </c>
      <c r="AC170" s="281">
        <f>IF(OR(Inputs!$G$69="No",Inputs!$Q$18="Cost-Based",Inputs!$Q$18="Neither"),0,IF(Inputs!$Q$22="Tax Credit",IF(AC$2&gt;Inputs!$Q$24,0,Inputs!$Q$23/100*AC$9*Inputs!$Q$98*AC$5*(1-MIN(Inputs!$Q$26/Inputs!$G$22,50%))),0))</f>
        <v>0</v>
      </c>
      <c r="AD170" s="281">
        <f>IF(OR(Inputs!$G$69="No",Inputs!$Q$18="Cost-Based",Inputs!$Q$18="Neither"),0,IF(Inputs!$Q$22="Tax Credit",IF(AD$2&gt;Inputs!$Q$24,0,Inputs!$Q$23/100*AD$9*Inputs!$Q$98*AD$5*(1-MIN(Inputs!$Q$26/Inputs!$G$22,50%))),0))</f>
        <v>0</v>
      </c>
      <c r="AE170" s="281">
        <f>IF(OR(Inputs!$G$69="No",Inputs!$Q$18="Cost-Based",Inputs!$Q$18="Neither"),0,IF(Inputs!$Q$22="Tax Credit",IF(AE$2&gt;Inputs!$Q$24,0,Inputs!$Q$23/100*AE$9*Inputs!$Q$98*AE$5*(1-MIN(Inputs!$Q$26/Inputs!$G$22,50%))),0))</f>
        <v>0</v>
      </c>
      <c r="AF170" s="281">
        <f>IF(OR(Inputs!$G$69="No",Inputs!$Q$18="Cost-Based",Inputs!$Q$18="Neither"),0,IF(Inputs!$Q$22="Tax Credit",IF(AF$2&gt;Inputs!$Q$24,0,Inputs!$Q$23/100*AF$9*Inputs!$Q$98*AF$5*(1-MIN(Inputs!$Q$26/Inputs!$G$22,50%))),0))</f>
        <v>0</v>
      </c>
      <c r="AG170" s="281">
        <f>IF(OR(Inputs!$G$69="No",Inputs!$Q$18="Cost-Based",Inputs!$Q$18="Neither"),0,IF(Inputs!$Q$22="Tax Credit",IF(AG$2&gt;Inputs!$Q$24,0,Inputs!$Q$23/100*AG$9*Inputs!$Q$98*AG$5*(1-MIN(Inputs!$Q$26/Inputs!$G$22,50%))),0))</f>
        <v>0</v>
      </c>
      <c r="AH170" s="281">
        <f>IF(OR(Inputs!$G$69="No",Inputs!$Q$18="Cost-Based",Inputs!$Q$18="Neither"),0,IF(Inputs!$Q$22="Tax Credit",IF(AH$2&gt;Inputs!$Q$24,0,Inputs!$Q$23/100*AH$9*Inputs!$Q$98*AH$5*(1-MIN(Inputs!$Q$26/Inputs!$G$22,50%))),0))</f>
        <v>0</v>
      </c>
      <c r="AI170" s="281">
        <f>IF(OR(Inputs!$G$69="No",Inputs!$Q$18="Cost-Based",Inputs!$Q$18="Neither"),0,IF(Inputs!$Q$22="Tax Credit",IF(AI$2&gt;Inputs!$Q$24,0,Inputs!$Q$23/100*AI$9*Inputs!$Q$98*AI$5*(1-MIN(Inputs!$Q$26/Inputs!$G$22,50%))),0))</f>
        <v>0</v>
      </c>
      <c r="AJ170" s="281">
        <f>IF(OR(Inputs!$G$69="No",Inputs!$Q$18="Cost-Based",Inputs!$Q$18="Neither"),0,IF(Inputs!$Q$22="Tax Credit",IF(AJ$2&gt;Inputs!$Q$24,0,Inputs!$Q$23/100*AJ$9*Inputs!$Q$98*AJ$5*(1-MIN(Inputs!$Q$26/Inputs!$G$22,50%))),0))</f>
        <v>0</v>
      </c>
    </row>
    <row r="171" spans="2:36" s="30" customFormat="1">
      <c r="B171" s="261"/>
      <c r="C171" s="261"/>
      <c r="D171" s="261"/>
      <c r="E171" s="261"/>
      <c r="F171" s="276"/>
      <c r="G171" s="281"/>
      <c r="H171" s="281"/>
      <c r="I171" s="281"/>
      <c r="J171" s="281"/>
      <c r="K171" s="281"/>
      <c r="L171" s="281"/>
      <c r="M171" s="281"/>
      <c r="N171" s="281"/>
      <c r="O171" s="281"/>
      <c r="P171" s="281"/>
      <c r="Q171" s="281"/>
      <c r="R171" s="281"/>
      <c r="S171" s="281"/>
      <c r="T171" s="281"/>
      <c r="U171" s="281"/>
      <c r="V171" s="281"/>
      <c r="W171" s="281"/>
      <c r="X171" s="281"/>
      <c r="Y171" s="281"/>
      <c r="Z171" s="281"/>
      <c r="AA171" s="281"/>
      <c r="AB171" s="281"/>
      <c r="AC171" s="281"/>
      <c r="AD171" s="281"/>
      <c r="AE171" s="281"/>
      <c r="AF171" s="281"/>
      <c r="AG171" s="281"/>
      <c r="AH171" s="281"/>
      <c r="AI171" s="281"/>
      <c r="AJ171" s="281"/>
    </row>
    <row r="172" spans="2:36" s="30" customFormat="1">
      <c r="B172" s="261" t="s">
        <v>251</v>
      </c>
      <c r="C172" s="261"/>
      <c r="D172" s="261"/>
      <c r="E172" s="261"/>
      <c r="F172" s="276"/>
      <c r="G172" s="281">
        <f>SUM(G169:G170)</f>
        <v>0</v>
      </c>
      <c r="H172" s="281">
        <f t="shared" ref="H172:AJ172" si="59">SUM(H169:H170)</f>
        <v>0</v>
      </c>
      <c r="I172" s="281">
        <f t="shared" si="59"/>
        <v>0</v>
      </c>
      <c r="J172" s="281">
        <f t="shared" si="59"/>
        <v>0</v>
      </c>
      <c r="K172" s="281">
        <f t="shared" si="59"/>
        <v>0</v>
      </c>
      <c r="L172" s="281">
        <f t="shared" si="59"/>
        <v>0</v>
      </c>
      <c r="M172" s="281">
        <f t="shared" si="59"/>
        <v>0</v>
      </c>
      <c r="N172" s="281">
        <f t="shared" si="59"/>
        <v>0</v>
      </c>
      <c r="O172" s="281">
        <f t="shared" si="59"/>
        <v>0</v>
      </c>
      <c r="P172" s="281">
        <f t="shared" si="59"/>
        <v>0</v>
      </c>
      <c r="Q172" s="281">
        <f t="shared" si="59"/>
        <v>0</v>
      </c>
      <c r="R172" s="281">
        <f t="shared" si="59"/>
        <v>0</v>
      </c>
      <c r="S172" s="281">
        <f t="shared" si="59"/>
        <v>0</v>
      </c>
      <c r="T172" s="281">
        <f t="shared" si="59"/>
        <v>0</v>
      </c>
      <c r="U172" s="281">
        <f t="shared" si="59"/>
        <v>0</v>
      </c>
      <c r="V172" s="281">
        <f t="shared" si="59"/>
        <v>0</v>
      </c>
      <c r="W172" s="281">
        <f t="shared" si="59"/>
        <v>0</v>
      </c>
      <c r="X172" s="281">
        <f t="shared" si="59"/>
        <v>0</v>
      </c>
      <c r="Y172" s="281">
        <f t="shared" si="59"/>
        <v>0</v>
      </c>
      <c r="Z172" s="281">
        <f t="shared" si="59"/>
        <v>0</v>
      </c>
      <c r="AA172" s="281">
        <f t="shared" si="59"/>
        <v>0</v>
      </c>
      <c r="AB172" s="281">
        <f t="shared" si="59"/>
        <v>0</v>
      </c>
      <c r="AC172" s="281">
        <f t="shared" si="59"/>
        <v>0</v>
      </c>
      <c r="AD172" s="281">
        <f t="shared" si="59"/>
        <v>0</v>
      </c>
      <c r="AE172" s="281">
        <f t="shared" si="59"/>
        <v>0</v>
      </c>
      <c r="AF172" s="281">
        <f t="shared" si="59"/>
        <v>0</v>
      </c>
      <c r="AG172" s="281">
        <f t="shared" si="59"/>
        <v>0</v>
      </c>
      <c r="AH172" s="281">
        <f t="shared" si="59"/>
        <v>0</v>
      </c>
      <c r="AI172" s="281">
        <f t="shared" si="59"/>
        <v>0</v>
      </c>
      <c r="AJ172" s="281">
        <f t="shared" si="59"/>
        <v>0</v>
      </c>
    </row>
    <row r="173" spans="2:36" s="30" customFormat="1">
      <c r="B173" s="261"/>
      <c r="C173" s="261"/>
      <c r="D173" s="261"/>
      <c r="E173" s="261"/>
      <c r="F173" s="276"/>
      <c r="G173" s="281"/>
      <c r="H173" s="281"/>
      <c r="I173" s="281"/>
      <c r="J173" s="281"/>
      <c r="K173" s="281"/>
      <c r="L173" s="281"/>
      <c r="M173" s="281"/>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row>
    <row r="174" spans="2:36" s="30" customFormat="1">
      <c r="B174" s="345" t="s">
        <v>252</v>
      </c>
      <c r="C174" s="345"/>
      <c r="D174" s="345"/>
      <c r="E174" s="261"/>
      <c r="F174" s="276"/>
      <c r="G174" s="281"/>
      <c r="H174" s="281"/>
      <c r="I174" s="281"/>
      <c r="J174" s="281"/>
      <c r="K174" s="281"/>
      <c r="L174" s="281"/>
      <c r="M174" s="281"/>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row>
    <row r="175" spans="2:36" s="30" customFormat="1">
      <c r="B175" s="261" t="str">
        <f>B63</f>
        <v>Federal Income Taxes Saved / (Paid), before ITC/PTC</v>
      </c>
      <c r="C175" s="261"/>
      <c r="D175" s="261"/>
      <c r="E175" s="261"/>
      <c r="F175" s="276"/>
      <c r="G175" s="281" t="str">
        <f>IF(Inputs!$G$71="as generated","N/A",'Cash Flow'!G63)</f>
        <v>N/A</v>
      </c>
      <c r="H175" s="281" t="str">
        <f>IF(Inputs!$G$71="as generated","N/A",'Cash Flow'!H63)</f>
        <v>N/A</v>
      </c>
      <c r="I175" s="281" t="str">
        <f>IF(Inputs!$G$71="as generated","N/A",'Cash Flow'!I63)</f>
        <v>N/A</v>
      </c>
      <c r="J175" s="281" t="str">
        <f>IF(Inputs!$G$71="as generated","N/A",'Cash Flow'!J63)</f>
        <v>N/A</v>
      </c>
      <c r="K175" s="281" t="str">
        <f>IF(Inputs!$G$71="as generated","N/A",'Cash Flow'!K63)</f>
        <v>N/A</v>
      </c>
      <c r="L175" s="281" t="str">
        <f>IF(Inputs!$G$71="as generated","N/A",'Cash Flow'!L63)</f>
        <v>N/A</v>
      </c>
      <c r="M175" s="281" t="str">
        <f>IF(Inputs!$G$71="as generated","N/A",'Cash Flow'!M63)</f>
        <v>N/A</v>
      </c>
      <c r="N175" s="281" t="str">
        <f>IF(Inputs!$G$71="as generated","N/A",'Cash Flow'!N63)</f>
        <v>N/A</v>
      </c>
      <c r="O175" s="281" t="str">
        <f>IF(Inputs!$G$71="as generated","N/A",'Cash Flow'!O63)</f>
        <v>N/A</v>
      </c>
      <c r="P175" s="281" t="str">
        <f>IF(Inputs!$G$71="as generated","N/A",'Cash Flow'!P63)</f>
        <v>N/A</v>
      </c>
      <c r="Q175" s="281" t="str">
        <f>IF(Inputs!$G$71="as generated","N/A",'Cash Flow'!Q63)</f>
        <v>N/A</v>
      </c>
      <c r="R175" s="281" t="str">
        <f>IF(Inputs!$G$71="as generated","N/A",'Cash Flow'!R63)</f>
        <v>N/A</v>
      </c>
      <c r="S175" s="281" t="str">
        <f>IF(Inputs!$G$71="as generated","N/A",'Cash Flow'!S63)</f>
        <v>N/A</v>
      </c>
      <c r="T175" s="281" t="str">
        <f>IF(Inputs!$G$71="as generated","N/A",'Cash Flow'!T63)</f>
        <v>N/A</v>
      </c>
      <c r="U175" s="281" t="str">
        <f>IF(Inputs!$G$71="as generated","N/A",'Cash Flow'!U63)</f>
        <v>N/A</v>
      </c>
      <c r="V175" s="281" t="str">
        <f>IF(Inputs!$G$71="as generated","N/A",'Cash Flow'!V63)</f>
        <v>N/A</v>
      </c>
      <c r="W175" s="281" t="str">
        <f>IF(Inputs!$G$71="as generated","N/A",'Cash Flow'!W63)</f>
        <v>N/A</v>
      </c>
      <c r="X175" s="281" t="str">
        <f>IF(Inputs!$G$71="as generated","N/A",'Cash Flow'!X63)</f>
        <v>N/A</v>
      </c>
      <c r="Y175" s="281" t="str">
        <f>IF(Inputs!$G$71="as generated","N/A",'Cash Flow'!Y63)</f>
        <v>N/A</v>
      </c>
      <c r="Z175" s="281" t="str">
        <f>IF(Inputs!$G$71="as generated","N/A",'Cash Flow'!Z63)</f>
        <v>N/A</v>
      </c>
      <c r="AA175" s="281" t="str">
        <f>IF(Inputs!$G$71="as generated","N/A",'Cash Flow'!AA63)</f>
        <v>N/A</v>
      </c>
      <c r="AB175" s="281" t="str">
        <f>IF(Inputs!$G$71="as generated","N/A",'Cash Flow'!AB63)</f>
        <v>N/A</v>
      </c>
      <c r="AC175" s="281" t="str">
        <f>IF(Inputs!$G$71="as generated","N/A",'Cash Flow'!AC63)</f>
        <v>N/A</v>
      </c>
      <c r="AD175" s="281" t="str">
        <f>IF(Inputs!$G$71="as generated","N/A",'Cash Flow'!AD63)</f>
        <v>N/A</v>
      </c>
      <c r="AE175" s="281" t="str">
        <f>IF(Inputs!$G$71="as generated","N/A",'Cash Flow'!AE63)</f>
        <v>N/A</v>
      </c>
      <c r="AF175" s="281" t="str">
        <f>IF(Inputs!$G$71="as generated","N/A",'Cash Flow'!AF63)</f>
        <v>N/A</v>
      </c>
      <c r="AG175" s="281" t="str">
        <f>IF(Inputs!$G$71="as generated","N/A",'Cash Flow'!AG63)</f>
        <v>N/A</v>
      </c>
      <c r="AH175" s="281" t="str">
        <f>IF(Inputs!$G$71="as generated","N/A",'Cash Flow'!AH63)</f>
        <v>N/A</v>
      </c>
      <c r="AI175" s="281" t="str">
        <f>IF(Inputs!$G$71="as generated","N/A",'Cash Flow'!AI63)</f>
        <v>N/A</v>
      </c>
      <c r="AJ175" s="281" t="str">
        <f>IF(Inputs!$G$71="as generated","N/A",'Cash Flow'!AJ63)</f>
        <v>N/A</v>
      </c>
    </row>
    <row r="176" spans="2:36" s="30" customFormat="1">
      <c r="B176" s="261"/>
      <c r="C176" s="261"/>
      <c r="D176" s="261"/>
      <c r="E176" s="261"/>
      <c r="F176" s="276"/>
      <c r="G176" s="281"/>
      <c r="H176" s="281"/>
      <c r="I176" s="281"/>
      <c r="J176" s="281"/>
      <c r="K176" s="281"/>
      <c r="L176" s="281"/>
      <c r="M176" s="281"/>
      <c r="N176" s="281"/>
      <c r="O176" s="281"/>
      <c r="P176" s="281"/>
      <c r="Q176" s="281"/>
      <c r="R176" s="281"/>
      <c r="S176" s="281"/>
      <c r="T176" s="281"/>
      <c r="U176" s="281"/>
      <c r="V176" s="281"/>
      <c r="W176" s="281"/>
      <c r="X176" s="281"/>
      <c r="Y176" s="281"/>
      <c r="Z176" s="281"/>
      <c r="AA176" s="281"/>
      <c r="AB176" s="281"/>
      <c r="AC176" s="281"/>
      <c r="AD176" s="281"/>
      <c r="AE176" s="281"/>
      <c r="AF176" s="281"/>
      <c r="AG176" s="281"/>
      <c r="AH176" s="281"/>
      <c r="AI176" s="281"/>
      <c r="AJ176" s="281"/>
    </row>
    <row r="177" spans="2:36" s="30" customFormat="1">
      <c r="B177" s="261" t="s">
        <v>290</v>
      </c>
      <c r="C177" s="261"/>
      <c r="D177" s="261"/>
      <c r="E177" s="261"/>
      <c r="F177" s="276"/>
      <c r="G177" s="281">
        <v>0</v>
      </c>
      <c r="H177" s="281">
        <f>IF(Inputs!$G$71="as generated",0,G180)</f>
        <v>0</v>
      </c>
      <c r="I177" s="281">
        <f>IF(Inputs!$G$71="as generated",0,H180)</f>
        <v>0</v>
      </c>
      <c r="J177" s="281">
        <f>IF(Inputs!$G$71="as generated",0,I180)</f>
        <v>0</v>
      </c>
      <c r="K177" s="281">
        <f>IF(Inputs!$G$71="as generated",0,J180)</f>
        <v>0</v>
      </c>
      <c r="L177" s="281">
        <f>IF(Inputs!$G$71="as generated",0,K180)</f>
        <v>0</v>
      </c>
      <c r="M177" s="281">
        <f>IF(Inputs!$G$71="as generated",0,L180)</f>
        <v>0</v>
      </c>
      <c r="N177" s="281">
        <f>IF(Inputs!$G$71="as generated",0,M180)</f>
        <v>0</v>
      </c>
      <c r="O177" s="281">
        <f>IF(Inputs!$G$71="as generated",0,N180)</f>
        <v>0</v>
      </c>
      <c r="P177" s="281">
        <f>IF(Inputs!$G$71="as generated",0,O180)</f>
        <v>0</v>
      </c>
      <c r="Q177" s="281">
        <f>IF(Inputs!$G$71="as generated",0,P180)</f>
        <v>0</v>
      </c>
      <c r="R177" s="281">
        <f>IF(Inputs!$G$71="as generated",0,Q180)</f>
        <v>0</v>
      </c>
      <c r="S177" s="281">
        <f>IF(Inputs!$G$71="as generated",0,R180)</f>
        <v>0</v>
      </c>
      <c r="T177" s="281">
        <f>IF(Inputs!$G$71="as generated",0,S180)</f>
        <v>0</v>
      </c>
      <c r="U177" s="281">
        <f>IF(Inputs!$G$71="as generated",0,T180)</f>
        <v>0</v>
      </c>
      <c r="V177" s="281">
        <f>IF(Inputs!$G$71="as generated",0,U180)</f>
        <v>0</v>
      </c>
      <c r="W177" s="281">
        <f>IF(Inputs!$G$71="as generated",0,V180)</f>
        <v>0</v>
      </c>
      <c r="X177" s="281">
        <f>IF(Inputs!$G$71="as generated",0,W180)</f>
        <v>0</v>
      </c>
      <c r="Y177" s="281">
        <f>IF(Inputs!$G$71="as generated",0,X180)</f>
        <v>0</v>
      </c>
      <c r="Z177" s="281">
        <f>IF(Inputs!$G$71="as generated",0,Y180)</f>
        <v>0</v>
      </c>
      <c r="AA177" s="281">
        <f>IF(Inputs!$G$71="as generated",0,Z180)</f>
        <v>0</v>
      </c>
      <c r="AB177" s="281">
        <f>IF(Inputs!$G$71="as generated",0,AA180)</f>
        <v>0</v>
      </c>
      <c r="AC177" s="281">
        <f>IF(Inputs!$G$71="as generated",0,AB180)</f>
        <v>0</v>
      </c>
      <c r="AD177" s="281">
        <f>IF(Inputs!$G$71="as generated",0,AC180)</f>
        <v>0</v>
      </c>
      <c r="AE177" s="281">
        <f>IF(Inputs!$G$71="as generated",0,AD180)</f>
        <v>0</v>
      </c>
      <c r="AF177" s="281">
        <f>IF(Inputs!$G$71="as generated",0,AE180)</f>
        <v>0</v>
      </c>
      <c r="AG177" s="281">
        <f>IF(Inputs!$G$71="as generated",0,AF180)</f>
        <v>0</v>
      </c>
      <c r="AH177" s="281">
        <f>IF(Inputs!$G$71="as generated",0,AG180)</f>
        <v>0</v>
      </c>
      <c r="AI177" s="281">
        <f>IF(Inputs!$G$71="as generated",0,AH180)</f>
        <v>0</v>
      </c>
      <c r="AJ177" s="281">
        <f>IF(Inputs!$G$71="as generated",0,AI180)</f>
        <v>0</v>
      </c>
    </row>
    <row r="178" spans="2:36" s="30" customFormat="1">
      <c r="B178" s="261" t="s">
        <v>291</v>
      </c>
      <c r="C178" s="261"/>
      <c r="D178" s="261"/>
      <c r="E178" s="261"/>
      <c r="F178" s="276"/>
      <c r="G178" s="281">
        <f>IF(Inputs!$G$71="as generated",0,IF(G175&lt;=0,G172,0))</f>
        <v>0</v>
      </c>
      <c r="H178" s="281">
        <f>IF(Inputs!$G$71="as generated",0,IF(H175&lt;=0,H172,0))</f>
        <v>0</v>
      </c>
      <c r="I178" s="281">
        <f>IF(Inputs!$G$71="as generated",0,IF(I175&lt;=0,I172,0))</f>
        <v>0</v>
      </c>
      <c r="J178" s="281">
        <f>IF(Inputs!$G$71="as generated",0,IF(J175&lt;=0,J172,0))</f>
        <v>0</v>
      </c>
      <c r="K178" s="281">
        <f>IF(Inputs!$G$71="as generated",0,IF(K175&lt;=0,K172,0))</f>
        <v>0</v>
      </c>
      <c r="L178" s="281">
        <f>IF(Inputs!$G$71="as generated",0,IF(L175&lt;=0,L172,0))</f>
        <v>0</v>
      </c>
      <c r="M178" s="281">
        <f>IF(Inputs!$G$71="as generated",0,IF(M175&lt;=0,M172,0))</f>
        <v>0</v>
      </c>
      <c r="N178" s="281">
        <f>IF(Inputs!$G$71="as generated",0,IF(N175&lt;=0,N172,0))</f>
        <v>0</v>
      </c>
      <c r="O178" s="281">
        <f>IF(Inputs!$G$71="as generated",0,IF(O175&lt;=0,O172,0))</f>
        <v>0</v>
      </c>
      <c r="P178" s="281">
        <f>IF(Inputs!$G$71="as generated",0,IF(P175&lt;=0,P172,0))</f>
        <v>0</v>
      </c>
      <c r="Q178" s="281">
        <f>IF(Inputs!$G$71="as generated",0,IF(Q175&lt;=0,Q172,0))</f>
        <v>0</v>
      </c>
      <c r="R178" s="281">
        <f>IF(Inputs!$G$71="as generated",0,IF(R175&lt;=0,R172,0))</f>
        <v>0</v>
      </c>
      <c r="S178" s="281">
        <f>IF(Inputs!$G$71="as generated",0,IF(S175&lt;=0,S172,0))</f>
        <v>0</v>
      </c>
      <c r="T178" s="281">
        <f>IF(Inputs!$G$71="as generated",0,IF(T175&lt;=0,T172,0))</f>
        <v>0</v>
      </c>
      <c r="U178" s="281">
        <f>IF(Inputs!$G$71="as generated",0,IF(U175&lt;=0,U172,0))</f>
        <v>0</v>
      </c>
      <c r="V178" s="281">
        <f>IF(Inputs!$G$71="as generated",0,IF(V175&lt;=0,V172,0))</f>
        <v>0</v>
      </c>
      <c r="W178" s="281">
        <f>IF(Inputs!$G$71="as generated",0,IF(W175&lt;=0,W172,0))</f>
        <v>0</v>
      </c>
      <c r="X178" s="281">
        <f>IF(Inputs!$G$71="as generated",0,IF(X175&lt;=0,X172,0))</f>
        <v>0</v>
      </c>
      <c r="Y178" s="281">
        <f>IF(Inputs!$G$71="as generated",0,IF(Y175&lt;=0,Y172,0))</f>
        <v>0</v>
      </c>
      <c r="Z178" s="281">
        <f>IF(Inputs!$G$71="as generated",0,IF(Z175&lt;=0,Z172,0))</f>
        <v>0</v>
      </c>
      <c r="AA178" s="281">
        <f>IF(Inputs!$G$71="as generated",0,IF(AA175&lt;=0,AA172,0))</f>
        <v>0</v>
      </c>
      <c r="AB178" s="281">
        <f>IF(Inputs!$G$71="as generated",0,IF(AB175&lt;=0,AB172,0))</f>
        <v>0</v>
      </c>
      <c r="AC178" s="281">
        <f>IF(Inputs!$G$71="as generated",0,IF(AC175&lt;=0,AC172,0))</f>
        <v>0</v>
      </c>
      <c r="AD178" s="281">
        <f>IF(Inputs!$G$71="as generated",0,IF(AD175&lt;=0,AD172,0))</f>
        <v>0</v>
      </c>
      <c r="AE178" s="281">
        <f>IF(Inputs!$G$71="as generated",0,IF(AE175&lt;=0,AE172,0))</f>
        <v>0</v>
      </c>
      <c r="AF178" s="281">
        <f>IF(Inputs!$G$71="as generated",0,IF(AF175&lt;=0,AF172,0))</f>
        <v>0</v>
      </c>
      <c r="AG178" s="281">
        <f>IF(Inputs!$G$71="as generated",0,IF(AG175&lt;=0,AG172,0))</f>
        <v>0</v>
      </c>
      <c r="AH178" s="281">
        <f>IF(Inputs!$G$71="as generated",0,IF(AH175&lt;=0,AH172,0))</f>
        <v>0</v>
      </c>
      <c r="AI178" s="281">
        <f>IF(Inputs!$G$71="as generated",0,IF(AI175&lt;=0,AI172,0))</f>
        <v>0</v>
      </c>
      <c r="AJ178" s="281">
        <f>IF(Inputs!$G$71="as generated",0,IF(AJ175&lt;=0,AJ172,0))</f>
        <v>0</v>
      </c>
    </row>
    <row r="179" spans="2:36" s="30" customFormat="1">
      <c r="B179" s="261" t="s">
        <v>292</v>
      </c>
      <c r="C179" s="261"/>
      <c r="D179" s="261"/>
      <c r="E179" s="261"/>
      <c r="F179" s="276"/>
      <c r="G179" s="281">
        <f>IF(Inputs!$G$71="as generated",0,IF(G$175&lt;0,MAX(G$175,-G$178),0))</f>
        <v>0</v>
      </c>
      <c r="H179" s="281">
        <f>IF(Inputs!$G$71="as generated",0,IF(H$175&lt;0,MAX(H$175,-G$180),0))</f>
        <v>0</v>
      </c>
      <c r="I179" s="281">
        <f>IF(Inputs!$G$71="as generated",0,IF(I$175&lt;0,MAX(I$175,-H$180),0))</f>
        <v>0</v>
      </c>
      <c r="J179" s="281">
        <f>IF(Inputs!$G$71="as generated",0,IF(J$175&lt;0,MAX(J$175,-I$180),0))</f>
        <v>0</v>
      </c>
      <c r="K179" s="281">
        <f>IF(Inputs!$G$71="as generated",0,IF(K$175&lt;0,MAX(K$175,-J$180),0))</f>
        <v>0</v>
      </c>
      <c r="L179" s="281">
        <f>IF(Inputs!$G$71="as generated",0,IF(L$175&lt;0,MAX(L$175,-K$180),0))</f>
        <v>0</v>
      </c>
      <c r="M179" s="281">
        <f>IF(Inputs!$G$71="as generated",0,IF(M$175&lt;0,MAX(M$175,-L$180),0))</f>
        <v>0</v>
      </c>
      <c r="N179" s="281">
        <f>IF(Inputs!$G$71="as generated",0,IF(N$175&lt;0,MAX(N$175,-M$180),0))</f>
        <v>0</v>
      </c>
      <c r="O179" s="281">
        <f>IF(Inputs!$G$71="as generated",0,IF(O$175&lt;0,MAX(O$175,-N$180),0))</f>
        <v>0</v>
      </c>
      <c r="P179" s="281">
        <f>IF(Inputs!$G$71="as generated",0,IF(P$175&lt;0,MAX(P$175,-O$180),0))</f>
        <v>0</v>
      </c>
      <c r="Q179" s="281">
        <f>IF(Inputs!$G$71="as generated",0,IF(Q$175&lt;0,MAX(Q$175,-P$180),0))</f>
        <v>0</v>
      </c>
      <c r="R179" s="281">
        <f>IF(Inputs!$G$71="as generated",0,IF(R$175&lt;0,MAX(R$175,-Q$180),0))</f>
        <v>0</v>
      </c>
      <c r="S179" s="281">
        <f>IF(Inputs!$G$71="as generated",0,IF(S$175&lt;0,MAX(S$175,-R$180),0))</f>
        <v>0</v>
      </c>
      <c r="T179" s="281">
        <f>IF(Inputs!$G$71="as generated",0,IF(T$175&lt;0,MAX(T$175,-S$180),0))</f>
        <v>0</v>
      </c>
      <c r="U179" s="281">
        <f>IF(Inputs!$G$71="as generated",0,IF(U$175&lt;0,MAX(U$175,-T$180),0))</f>
        <v>0</v>
      </c>
      <c r="V179" s="281">
        <f>IF(Inputs!$G$71="as generated",0,IF(V$175&lt;0,MAX(V$175,-U$180),0))</f>
        <v>0</v>
      </c>
      <c r="W179" s="281">
        <f>IF(Inputs!$G$71="as generated",0,IF(W$175&lt;0,MAX(W$175,-V$180),0))</f>
        <v>0</v>
      </c>
      <c r="X179" s="281">
        <f>IF(Inputs!$G$71="as generated",0,IF(X$175&lt;0,MAX(X$175,-W$180),0))</f>
        <v>0</v>
      </c>
      <c r="Y179" s="281">
        <f>IF(Inputs!$G$71="as generated",0,IF(Y$175&lt;0,MAX(Y$175,-X$180),0))</f>
        <v>0</v>
      </c>
      <c r="Z179" s="281">
        <f>IF(Inputs!$G$71="as generated",0,IF(Z$175&lt;0,MAX(Z$175,-Y$180),0))</f>
        <v>0</v>
      </c>
      <c r="AA179" s="281">
        <f>IF(Inputs!$G$71="as generated",0,IF(AA$175&lt;0,MAX(AA$175,-Z$180),0))</f>
        <v>0</v>
      </c>
      <c r="AB179" s="281">
        <f>IF(Inputs!$G$71="as generated",0,IF(AB$175&lt;0,MAX(AB$175,-AA$180),0))</f>
        <v>0</v>
      </c>
      <c r="AC179" s="281">
        <f>IF(Inputs!$G$71="as generated",0,IF(AC$175&lt;0,MAX(AC$175,-AB$180),0))</f>
        <v>0</v>
      </c>
      <c r="AD179" s="281">
        <f>IF(Inputs!$G$71="as generated",0,IF(AD$175&lt;0,MAX(AD$175,-AC$180),0))</f>
        <v>0</v>
      </c>
      <c r="AE179" s="281">
        <f>IF(Inputs!$G$71="as generated",0,IF(AE$175&lt;0,MAX(AE$175,-AD$180),0))</f>
        <v>0</v>
      </c>
      <c r="AF179" s="281">
        <f>IF(Inputs!$G$71="as generated",0,IF(AF$175&lt;0,MAX(AF$175,-AE$180),0))</f>
        <v>0</v>
      </c>
      <c r="AG179" s="281">
        <f>IF(Inputs!$G$71="as generated",0,IF(AG$175&lt;0,MAX(AG$175,-AF$180),0))</f>
        <v>0</v>
      </c>
      <c r="AH179" s="281">
        <f>IF(Inputs!$G$71="as generated",0,IF(AH$175&lt;0,MAX(AH$175,-AG$180),0))</f>
        <v>0</v>
      </c>
      <c r="AI179" s="281">
        <f>IF(Inputs!$G$71="as generated",0,IF(AI$175&lt;0,MAX(AI$175,-AH$180),0))</f>
        <v>0</v>
      </c>
      <c r="AJ179" s="281">
        <f>IF(Inputs!$G$71="as generated",0,IF(AJ$175&lt;0,MAX(AJ$175,-AI$180),0))</f>
        <v>0</v>
      </c>
    </row>
    <row r="180" spans="2:36" s="30" customFormat="1">
      <c r="B180" s="261" t="s">
        <v>293</v>
      </c>
      <c r="C180" s="261"/>
      <c r="D180" s="261"/>
      <c r="E180" s="261"/>
      <c r="F180" s="281">
        <v>0</v>
      </c>
      <c r="G180" s="281">
        <f>SUM(G177:G179)</f>
        <v>0</v>
      </c>
      <c r="H180" s="281">
        <f t="shared" ref="H180:AJ180" si="60">SUM(H177:H179)</f>
        <v>0</v>
      </c>
      <c r="I180" s="281">
        <f t="shared" si="60"/>
        <v>0</v>
      </c>
      <c r="J180" s="281">
        <f t="shared" si="60"/>
        <v>0</v>
      </c>
      <c r="K180" s="281">
        <f t="shared" si="60"/>
        <v>0</v>
      </c>
      <c r="L180" s="281">
        <f t="shared" si="60"/>
        <v>0</v>
      </c>
      <c r="M180" s="281">
        <f t="shared" si="60"/>
        <v>0</v>
      </c>
      <c r="N180" s="281">
        <f t="shared" si="60"/>
        <v>0</v>
      </c>
      <c r="O180" s="281">
        <f t="shared" si="60"/>
        <v>0</v>
      </c>
      <c r="P180" s="281">
        <f t="shared" si="60"/>
        <v>0</v>
      </c>
      <c r="Q180" s="281">
        <f t="shared" si="60"/>
        <v>0</v>
      </c>
      <c r="R180" s="281">
        <f t="shared" si="60"/>
        <v>0</v>
      </c>
      <c r="S180" s="281">
        <f t="shared" si="60"/>
        <v>0</v>
      </c>
      <c r="T180" s="281">
        <f t="shared" si="60"/>
        <v>0</v>
      </c>
      <c r="U180" s="281">
        <f t="shared" si="60"/>
        <v>0</v>
      </c>
      <c r="V180" s="281">
        <f t="shared" si="60"/>
        <v>0</v>
      </c>
      <c r="W180" s="281">
        <f t="shared" si="60"/>
        <v>0</v>
      </c>
      <c r="X180" s="281">
        <f t="shared" si="60"/>
        <v>0</v>
      </c>
      <c r="Y180" s="281">
        <f t="shared" si="60"/>
        <v>0</v>
      </c>
      <c r="Z180" s="281">
        <f t="shared" si="60"/>
        <v>0</v>
      </c>
      <c r="AA180" s="281">
        <f t="shared" si="60"/>
        <v>0</v>
      </c>
      <c r="AB180" s="281">
        <f t="shared" si="60"/>
        <v>0</v>
      </c>
      <c r="AC180" s="281">
        <f t="shared" si="60"/>
        <v>0</v>
      </c>
      <c r="AD180" s="281">
        <f t="shared" si="60"/>
        <v>0</v>
      </c>
      <c r="AE180" s="281">
        <f t="shared" si="60"/>
        <v>0</v>
      </c>
      <c r="AF180" s="281">
        <f t="shared" si="60"/>
        <v>0</v>
      </c>
      <c r="AG180" s="281">
        <f t="shared" si="60"/>
        <v>0</v>
      </c>
      <c r="AH180" s="281">
        <f t="shared" si="60"/>
        <v>0</v>
      </c>
      <c r="AI180" s="281">
        <f t="shared" si="60"/>
        <v>0</v>
      </c>
      <c r="AJ180" s="281">
        <f t="shared" si="60"/>
        <v>0</v>
      </c>
    </row>
    <row r="181" spans="2:36" s="30" customFormat="1">
      <c r="B181" s="261"/>
      <c r="C181" s="261"/>
      <c r="D181" s="261"/>
      <c r="E181" s="261"/>
      <c r="F181" s="276"/>
      <c r="G181" s="276"/>
      <c r="H181" s="287"/>
      <c r="I181" s="261"/>
      <c r="J181" s="261"/>
      <c r="K181" s="261"/>
      <c r="L181" s="261"/>
      <c r="M181" s="261"/>
      <c r="N181" s="261"/>
      <c r="O181" s="261"/>
      <c r="P181" s="261"/>
      <c r="Q181" s="261"/>
      <c r="R181" s="261"/>
      <c r="S181" s="261"/>
      <c r="T181" s="261"/>
      <c r="U181" s="261"/>
      <c r="V181" s="261"/>
      <c r="W181" s="261"/>
      <c r="X181" s="261"/>
      <c r="Y181" s="261"/>
      <c r="Z181" s="261"/>
      <c r="AA181" s="261"/>
      <c r="AB181" s="261"/>
      <c r="AC181" s="261"/>
      <c r="AD181" s="261"/>
      <c r="AE181" s="261"/>
      <c r="AF181" s="261"/>
      <c r="AG181" s="261"/>
      <c r="AH181" s="261"/>
      <c r="AI181" s="261"/>
      <c r="AJ181" s="261"/>
    </row>
    <row r="182" spans="2:36" s="30" customFormat="1" ht="15.75">
      <c r="B182" s="260" t="s">
        <v>253</v>
      </c>
      <c r="C182" s="260"/>
      <c r="D182" s="260"/>
      <c r="E182" s="261"/>
      <c r="F182" s="276"/>
      <c r="G182" s="286"/>
      <c r="H182" s="287"/>
      <c r="I182" s="261"/>
      <c r="J182" s="261"/>
      <c r="K182" s="261"/>
      <c r="L182" s="261"/>
      <c r="M182" s="261"/>
      <c r="N182" s="261"/>
      <c r="O182" s="261"/>
      <c r="P182" s="261"/>
      <c r="Q182" s="261"/>
      <c r="R182" s="261"/>
      <c r="S182" s="261"/>
      <c r="T182" s="261"/>
      <c r="U182" s="261"/>
      <c r="V182" s="261"/>
      <c r="W182" s="261"/>
      <c r="X182" s="261"/>
      <c r="Y182" s="261"/>
      <c r="Z182" s="261"/>
      <c r="AA182" s="261"/>
      <c r="AB182" s="261"/>
      <c r="AC182" s="261"/>
      <c r="AD182" s="261"/>
      <c r="AE182" s="261"/>
      <c r="AF182" s="261"/>
      <c r="AG182" s="261"/>
      <c r="AH182" s="261"/>
      <c r="AI182" s="261"/>
      <c r="AJ182" s="261"/>
    </row>
    <row r="183" spans="2:36" s="30" customFormat="1">
      <c r="B183" s="261" t="s">
        <v>250</v>
      </c>
      <c r="C183" s="261"/>
      <c r="D183" s="261"/>
      <c r="E183" s="261"/>
      <c r="F183" s="276"/>
      <c r="G183" s="344">
        <f>IF(OR(Inputs!$G$69="No",Inputs!$Q$30="Performance-Based",Inputs!$Q$30="Neither"),0,IF(G$2&lt;=Inputs!$Q$32,($C$99*(Inputs!$Q$31*(1-Inputs!$G$70))*Inputs!$Q$99)/Inputs!$Q$32,0))</f>
        <v>0</v>
      </c>
      <c r="H183" s="344">
        <f>IF(OR(Inputs!$G$69="No",Inputs!$Q$30="Performance-Based",Inputs!$Q$30="Neither"),0,IF(H$2&lt;=Inputs!$Q$32,($C$99*(Inputs!$Q$31*(1-Inputs!$G$70))*Inputs!$Q$99)/Inputs!$Q$32,0))</f>
        <v>0</v>
      </c>
      <c r="I183" s="344">
        <f>IF(OR(Inputs!$G$69="No",Inputs!$Q$30="Performance-Based",Inputs!$Q$30="Neither"),0,IF(I$2&lt;=Inputs!$Q$32,($C$99*(Inputs!$Q$31*(1-Inputs!$G$70))*Inputs!$Q$99)/Inputs!$Q$32,0))</f>
        <v>0</v>
      </c>
      <c r="J183" s="344">
        <f>IF(OR(Inputs!$G$69="No",Inputs!$Q$30="Performance-Based",Inputs!$Q$30="Neither"),0,IF(J$2&lt;=Inputs!$Q$32,($C$99*(Inputs!$Q$31*(1-Inputs!$G$70))*Inputs!$Q$99)/Inputs!$Q$32,0))</f>
        <v>0</v>
      </c>
      <c r="K183" s="344">
        <f>IF(OR(Inputs!$G$69="No",Inputs!$Q$30="Performance-Based",Inputs!$Q$30="Neither"),0,IF(K$2&lt;=Inputs!$Q$32,($C$99*(Inputs!$Q$31*(1-Inputs!$G$70))*Inputs!$Q$99)/Inputs!$Q$32,0))</f>
        <v>0</v>
      </c>
      <c r="L183" s="344">
        <f>IF(OR(Inputs!$G$69="No",Inputs!$Q$30="Performance-Based",Inputs!$Q$30="Neither"),0,IF(L$2&lt;=Inputs!$Q$32,($C$99*(Inputs!$Q$31*(1-Inputs!$G$70))*Inputs!$Q$99)/Inputs!$Q$32,0))</f>
        <v>0</v>
      </c>
      <c r="M183" s="344">
        <f>IF(OR(Inputs!$G$69="No",Inputs!$Q$30="Performance-Based",Inputs!$Q$30="Neither"),0,IF(M$2&lt;=Inputs!$Q$32,($C$99*(Inputs!$Q$31*(1-Inputs!$G$70))*Inputs!$Q$99)/Inputs!$Q$32,0))</f>
        <v>0</v>
      </c>
      <c r="N183" s="344">
        <f>IF(OR(Inputs!$G$69="No",Inputs!$Q$30="Performance-Based",Inputs!$Q$30="Neither"),0,IF(N$2&lt;=Inputs!$Q$32,($C$99*(Inputs!$Q$31*(1-Inputs!$G$70))*Inputs!$Q$99)/Inputs!$Q$32,0))</f>
        <v>0</v>
      </c>
      <c r="O183" s="344">
        <f>IF(OR(Inputs!$G$69="No",Inputs!$Q$30="Performance-Based",Inputs!$Q$30="Neither"),0,IF(O$2&lt;=Inputs!$Q$32,($C$99*(Inputs!$Q$31*(1-Inputs!$G$70))*Inputs!$Q$99)/Inputs!$Q$32,0))</f>
        <v>0</v>
      </c>
      <c r="P183" s="344">
        <f>IF(OR(Inputs!$G$69="No",Inputs!$Q$30="Performance-Based",Inputs!$Q$30="Neither"),0,IF(P$2&lt;=Inputs!$Q$32,($C$99*(Inputs!$Q$31*(1-Inputs!$G$70))*Inputs!$Q$99)/Inputs!$Q$32,0))</f>
        <v>0</v>
      </c>
      <c r="Q183" s="344">
        <f>IF(OR(Inputs!$G$69="No",Inputs!$Q$30="Performance-Based",Inputs!$Q$30="Neither"),0,IF(Q$2&lt;=Inputs!$Q$32,($C$99*(Inputs!$Q$31*(1-Inputs!$G$70))*Inputs!$Q$99)/Inputs!$Q$32,0))</f>
        <v>0</v>
      </c>
      <c r="R183" s="344">
        <f>IF(OR(Inputs!$G$69="No",Inputs!$Q$30="Performance-Based",Inputs!$Q$30="Neither"),0,IF(R$2&lt;=Inputs!$Q$32,($C$99*(Inputs!$Q$31*(1-Inputs!$G$70))*Inputs!$Q$99)/Inputs!$Q$32,0))</f>
        <v>0</v>
      </c>
      <c r="S183" s="344">
        <f>IF(OR(Inputs!$G$69="No",Inputs!$Q$30="Performance-Based",Inputs!$Q$30="Neither"),0,IF(S$2&lt;=Inputs!$Q$32,($C$99*(Inputs!$Q$31*(1-Inputs!$G$70))*Inputs!$Q$99)/Inputs!$Q$32,0))</f>
        <v>0</v>
      </c>
      <c r="T183" s="344">
        <f>IF(OR(Inputs!$G$69="No",Inputs!$Q$30="Performance-Based",Inputs!$Q$30="Neither"),0,IF(T$2&lt;=Inputs!$Q$32,($C$99*(Inputs!$Q$31*(1-Inputs!$G$70))*Inputs!$Q$99)/Inputs!$Q$32,0))</f>
        <v>0</v>
      </c>
      <c r="U183" s="344">
        <f>IF(OR(Inputs!$G$69="No",Inputs!$Q$30="Performance-Based",Inputs!$Q$30="Neither"),0,IF(U$2&lt;=Inputs!$Q$32,($C$99*(Inputs!$Q$31*(1-Inputs!$G$70))*Inputs!$Q$99)/Inputs!$Q$32,0))</f>
        <v>0</v>
      </c>
      <c r="V183" s="344">
        <f>IF(OR(Inputs!$G$69="No",Inputs!$Q$30="Performance-Based",Inputs!$Q$30="Neither"),0,IF(V$2&lt;=Inputs!$Q$32,($C$99*(Inputs!$Q$31*(1-Inputs!$G$70))*Inputs!$Q$99)/Inputs!$Q$32,0))</f>
        <v>0</v>
      </c>
      <c r="W183" s="344">
        <f>IF(OR(Inputs!$G$69="No",Inputs!$Q$30="Performance-Based",Inputs!$Q$30="Neither"),0,IF(W$2&lt;=Inputs!$Q$32,($C$99*(Inputs!$Q$31*(1-Inputs!$G$70))*Inputs!$Q$99)/Inputs!$Q$32,0))</f>
        <v>0</v>
      </c>
      <c r="X183" s="344">
        <f>IF(OR(Inputs!$G$69="No",Inputs!$Q$30="Performance-Based",Inputs!$Q$30="Neither"),0,IF(X$2&lt;=Inputs!$Q$32,($C$99*(Inputs!$Q$31*(1-Inputs!$G$70))*Inputs!$Q$99)/Inputs!$Q$32,0))</f>
        <v>0</v>
      </c>
      <c r="Y183" s="344">
        <f>IF(OR(Inputs!$G$69="No",Inputs!$Q$30="Performance-Based",Inputs!$Q$30="Neither"),0,IF(Y$2&lt;=Inputs!$Q$32,($C$99*(Inputs!$Q$31*(1-Inputs!$G$70))*Inputs!$Q$99)/Inputs!$Q$32,0))</f>
        <v>0</v>
      </c>
      <c r="Z183" s="344">
        <f>IF(OR(Inputs!$G$69="No",Inputs!$Q$30="Performance-Based",Inputs!$Q$30="Neither"),0,IF(Z$2&lt;=Inputs!$Q$32,($C$99*(Inputs!$Q$31*(1-Inputs!$G$70))*Inputs!$Q$99)/Inputs!$Q$32,0))</f>
        <v>0</v>
      </c>
      <c r="AA183" s="344">
        <f>IF(OR(Inputs!$G$69="No",Inputs!$Q$30="Performance-Based",Inputs!$Q$30="Neither"),0,IF(AA$2&lt;=Inputs!$Q$32,($C$99*(Inputs!$Q$31*(1-Inputs!$G$70))*Inputs!$Q$99)/Inputs!$Q$32,0))</f>
        <v>0</v>
      </c>
      <c r="AB183" s="344">
        <f>IF(OR(Inputs!$G$69="No",Inputs!$Q$30="Performance-Based",Inputs!$Q$30="Neither"),0,IF(AB$2&lt;=Inputs!$Q$32,($C$99*(Inputs!$Q$31*(1-Inputs!$G$70))*Inputs!$Q$99)/Inputs!$Q$32,0))</f>
        <v>0</v>
      </c>
      <c r="AC183" s="344">
        <f>IF(OR(Inputs!$G$69="No",Inputs!$Q$30="Performance-Based",Inputs!$Q$30="Neither"),0,IF(AC$2&lt;=Inputs!$Q$32,($C$99*(Inputs!$Q$31*(1-Inputs!$G$70))*Inputs!$Q$99)/Inputs!$Q$32,0))</f>
        <v>0</v>
      </c>
      <c r="AD183" s="344">
        <f>IF(OR(Inputs!$G$69="No",Inputs!$Q$30="Performance-Based",Inputs!$Q$30="Neither"),0,IF(AD$2&lt;=Inputs!$Q$32,($C$99*(Inputs!$Q$31*(1-Inputs!$G$70))*Inputs!$Q$99)/Inputs!$Q$32,0))</f>
        <v>0</v>
      </c>
      <c r="AE183" s="344">
        <f>IF(OR(Inputs!$G$69="No",Inputs!$Q$30="Performance-Based",Inputs!$Q$30="Neither"),0,IF(AE$2&lt;=Inputs!$Q$32,($C$99*(Inputs!$Q$31*(1-Inputs!$G$70))*Inputs!$Q$99)/Inputs!$Q$32,0))</f>
        <v>0</v>
      </c>
      <c r="AF183" s="344">
        <f>IF(OR(Inputs!$G$69="No",Inputs!$Q$30="Performance-Based",Inputs!$Q$30="Neither"),0,IF(AF$2&lt;=Inputs!$Q$32,($C$99*(Inputs!$Q$31*(1-Inputs!$G$70))*Inputs!$Q$99)/Inputs!$Q$32,0))</f>
        <v>0</v>
      </c>
      <c r="AG183" s="344">
        <f>IF(OR(Inputs!$G$69="No",Inputs!$Q$30="Performance-Based",Inputs!$Q$30="Neither"),0,IF(AG$2&lt;=Inputs!$Q$32,($C$99*(Inputs!$Q$31*(1-Inputs!$G$70))*Inputs!$Q$99)/Inputs!$Q$32,0))</f>
        <v>0</v>
      </c>
      <c r="AH183" s="344">
        <f>IF(OR(Inputs!$G$69="No",Inputs!$Q$30="Performance-Based",Inputs!$Q$30="Neither"),0,IF(AH$2&lt;=Inputs!$Q$32,($C$99*(Inputs!$Q$31*(1-Inputs!$G$70))*Inputs!$Q$99)/Inputs!$Q$32,0))</f>
        <v>0</v>
      </c>
      <c r="AI183" s="344">
        <f>IF(OR(Inputs!$G$69="No",Inputs!$Q$30="Performance-Based",Inputs!$Q$30="Neither"),0,IF(AI$2&lt;=Inputs!$Q$32,($C$99*(Inputs!$Q$31*(1-Inputs!$G$70))*Inputs!$Q$99)/Inputs!$Q$32,0))</f>
        <v>0</v>
      </c>
      <c r="AJ183" s="344">
        <f>IF(OR(Inputs!$G$69="No",Inputs!$Q$30="Performance-Based",Inputs!$Q$30="Neither"),0,IF(AJ$2&lt;=Inputs!$Q$32,($C$99*(Inputs!$Q$31*(1-Inputs!$G$70))*Inputs!$Q$99)/Inputs!$Q$32,0))</f>
        <v>0</v>
      </c>
    </row>
    <row r="184" spans="2:36" s="30" customFormat="1">
      <c r="B184" s="261" t="s">
        <v>209</v>
      </c>
      <c r="C184" s="261"/>
      <c r="D184" s="261"/>
      <c r="E184" s="261"/>
      <c r="F184" s="276"/>
      <c r="G184" s="281">
        <f>IF(OR(Inputs!$G$69="No",Inputs!$Q$30="Cost-Based",Inputs!$Q$30="Neither"),0,IF(Inputs!$Q$34="Tax Credit",IF(G$2&gt;Inputs!$Q$38,0,IF(Inputs!$Q$35=0,Inputs!$Q$37/100*G$10*Inputs!$Q$100*G$5,MIN(Inputs!$Q$35,Inputs!$Q$37/100*G$10*Inputs!$Q$100*G$5))),0))</f>
        <v>0</v>
      </c>
      <c r="H184" s="281">
        <f>IF(OR(Inputs!$G$69="No",Inputs!$Q$30="Cost-Based",Inputs!$Q$30="Neither"),0,IF(Inputs!$Q$34="Tax Credit",IF(H$2&gt;Inputs!$Q$38,0,IF(Inputs!$Q$35=0,Inputs!$Q$37/100*H$10*Inputs!$Q$100*H$5,MIN(Inputs!$Q$35,Inputs!$Q$37/100*H$10*Inputs!$Q$100*H$5))),0))</f>
        <v>0</v>
      </c>
      <c r="I184" s="281">
        <f>IF(OR(Inputs!$G$69="No",Inputs!$Q$30="Cost-Based",Inputs!$Q$30="Neither"),0,IF(Inputs!$Q$34="Tax Credit",IF(I$2&gt;Inputs!$Q$38,0,IF(Inputs!$Q$35=0,Inputs!$Q$37/100*I$10*Inputs!$Q$100*I$5,MIN(Inputs!$Q$35,Inputs!$Q$37/100*I$10*Inputs!$Q$100*I$5))),0))</f>
        <v>0</v>
      </c>
      <c r="J184" s="281">
        <f>IF(OR(Inputs!$G$69="No",Inputs!$Q$30="Cost-Based",Inputs!$Q$30="Neither"),0,IF(Inputs!$Q$34="Tax Credit",IF(J$2&gt;Inputs!$Q$38,0,IF(Inputs!$Q$35=0,Inputs!$Q$37/100*J$10*Inputs!$Q$100*J$5,MIN(Inputs!$Q$35,Inputs!$Q$37/100*J$10*Inputs!$Q$100*J$5))),0))</f>
        <v>0</v>
      </c>
      <c r="K184" s="281">
        <f>IF(OR(Inputs!$G$69="No",Inputs!$Q$30="Cost-Based",Inputs!$Q$30="Neither"),0,IF(Inputs!$Q$34="Tax Credit",IF(K$2&gt;Inputs!$Q$38,0,IF(Inputs!$Q$35=0,Inputs!$Q$37/100*K$10*Inputs!$Q$100*K$5,MIN(Inputs!$Q$35,Inputs!$Q$37/100*K$10*Inputs!$Q$100*K$5))),0))</f>
        <v>0</v>
      </c>
      <c r="L184" s="281">
        <f>IF(OR(Inputs!$G$69="No",Inputs!$Q$30="Cost-Based",Inputs!$Q$30="Neither"),0,IF(Inputs!$Q$34="Tax Credit",IF(L$2&gt;Inputs!$Q$38,0,IF(Inputs!$Q$35=0,Inputs!$Q$37/100*L$10*Inputs!$Q$100*L$5,MIN(Inputs!$Q$35,Inputs!$Q$37/100*L$10*Inputs!$Q$100*L$5))),0))</f>
        <v>0</v>
      </c>
      <c r="M184" s="281">
        <f>IF(OR(Inputs!$G$69="No",Inputs!$Q$30="Cost-Based",Inputs!$Q$30="Neither"),0,IF(Inputs!$Q$34="Tax Credit",IF(M$2&gt;Inputs!$Q$38,0,IF(Inputs!$Q$35=0,Inputs!$Q$37/100*M$10*Inputs!$Q$100*M$5,MIN(Inputs!$Q$35,Inputs!$Q$37/100*M$10*Inputs!$Q$100*M$5))),0))</f>
        <v>0</v>
      </c>
      <c r="N184" s="281">
        <f>IF(OR(Inputs!$G$69="No",Inputs!$Q$30="Cost-Based",Inputs!$Q$30="Neither"),0,IF(Inputs!$Q$34="Tax Credit",IF(N$2&gt;Inputs!$Q$38,0,IF(Inputs!$Q$35=0,Inputs!$Q$37/100*N$10*Inputs!$Q$100*N$5,MIN(Inputs!$Q$35,Inputs!$Q$37/100*N$10*Inputs!$Q$100*N$5))),0))</f>
        <v>0</v>
      </c>
      <c r="O184" s="281">
        <f>IF(OR(Inputs!$G$69="No",Inputs!$Q$30="Cost-Based",Inputs!$Q$30="Neither"),0,IF(Inputs!$Q$34="Tax Credit",IF(O$2&gt;Inputs!$Q$38,0,IF(Inputs!$Q$35=0,Inputs!$Q$37/100*O$10*Inputs!$Q$100*O$5,MIN(Inputs!$Q$35,Inputs!$Q$37/100*O$10*Inputs!$Q$100*O$5))),0))</f>
        <v>0</v>
      </c>
      <c r="P184" s="281">
        <f>IF(OR(Inputs!$G$69="No",Inputs!$Q$30="Cost-Based",Inputs!$Q$30="Neither"),0,IF(Inputs!$Q$34="Tax Credit",IF(P$2&gt;Inputs!$Q$38,0,IF(Inputs!$Q$35=0,Inputs!$Q$37/100*P$10*Inputs!$Q$100*P$5,MIN(Inputs!$Q$35,Inputs!$Q$37/100*P$10*Inputs!$Q$100*P$5))),0))</f>
        <v>0</v>
      </c>
      <c r="Q184" s="281">
        <f>IF(OR(Inputs!$G$69="No",Inputs!$Q$30="Cost-Based",Inputs!$Q$30="Neither"),0,IF(Inputs!$Q$34="Tax Credit",IF(Q$2&gt;Inputs!$Q$38,0,IF(Inputs!$Q$35=0,Inputs!$Q$37/100*Q$10*Inputs!$Q$100*Q$5,MIN(Inputs!$Q$35,Inputs!$Q$37/100*Q$10*Inputs!$Q$100*Q$5))),0))</f>
        <v>0</v>
      </c>
      <c r="R184" s="281">
        <f>IF(OR(Inputs!$G$69="No",Inputs!$Q$30="Cost-Based",Inputs!$Q$30="Neither"),0,IF(Inputs!$Q$34="Tax Credit",IF(R$2&gt;Inputs!$Q$38,0,IF(Inputs!$Q$35=0,Inputs!$Q$37/100*R$10*Inputs!$Q$100*R$5,MIN(Inputs!$Q$35,Inputs!$Q$37/100*R$10*Inputs!$Q$100*R$5))),0))</f>
        <v>0</v>
      </c>
      <c r="S184" s="281">
        <f>IF(OR(Inputs!$G$69="No",Inputs!$Q$30="Cost-Based",Inputs!$Q$30="Neither"),0,IF(Inputs!$Q$34="Tax Credit",IF(S$2&gt;Inputs!$Q$38,0,IF(Inputs!$Q$35=0,Inputs!$Q$37/100*S$10*Inputs!$Q$100*S$5,MIN(Inputs!$Q$35,Inputs!$Q$37/100*S$10*Inputs!$Q$100*S$5))),0))</f>
        <v>0</v>
      </c>
      <c r="T184" s="281">
        <f>IF(OR(Inputs!$G$69="No",Inputs!$Q$30="Cost-Based",Inputs!$Q$30="Neither"),0,IF(Inputs!$Q$34="Tax Credit",IF(T$2&gt;Inputs!$Q$38,0,IF(Inputs!$Q$35=0,Inputs!$Q$37/100*T$10*Inputs!$Q$100*T$5,MIN(Inputs!$Q$35,Inputs!$Q$37/100*T$10*Inputs!$Q$100*T$5))),0))</f>
        <v>0</v>
      </c>
      <c r="U184" s="281">
        <f>IF(OR(Inputs!$G$69="No",Inputs!$Q$30="Cost-Based",Inputs!$Q$30="Neither"),0,IF(Inputs!$Q$34="Tax Credit",IF(U$2&gt;Inputs!$Q$38,0,IF(Inputs!$Q$35=0,Inputs!$Q$37/100*U$10*Inputs!$Q$100*U$5,MIN(Inputs!$Q$35,Inputs!$Q$37/100*U$10*Inputs!$Q$100*U$5))),0))</f>
        <v>0</v>
      </c>
      <c r="V184" s="281">
        <f>IF(OR(Inputs!$G$69="No",Inputs!$Q$30="Cost-Based",Inputs!$Q$30="Neither"),0,IF(Inputs!$Q$34="Tax Credit",IF(V$2&gt;Inputs!$Q$38,0,IF(Inputs!$Q$35=0,Inputs!$Q$37/100*V$10*Inputs!$Q$100*V$5,MIN(Inputs!$Q$35,Inputs!$Q$37/100*V$10*Inputs!$Q$100*V$5))),0))</f>
        <v>0</v>
      </c>
      <c r="W184" s="281">
        <f>IF(OR(Inputs!$G$69="No",Inputs!$Q$30="Cost-Based",Inputs!$Q$30="Neither"),0,IF(Inputs!$Q$34="Tax Credit",IF(W$2&gt;Inputs!$Q$38,0,IF(Inputs!$Q$35=0,Inputs!$Q$37/100*W$10*Inputs!$Q$100*W$5,MIN(Inputs!$Q$35,Inputs!$Q$37/100*W$10*Inputs!$Q$100*W$5))),0))</f>
        <v>0</v>
      </c>
      <c r="X184" s="281">
        <f>IF(OR(Inputs!$G$69="No",Inputs!$Q$30="Cost-Based",Inputs!$Q$30="Neither"),0,IF(Inputs!$Q$34="Tax Credit",IF(X$2&gt;Inputs!$Q$38,0,IF(Inputs!$Q$35=0,Inputs!$Q$37/100*X$10*Inputs!$Q$100*X$5,MIN(Inputs!$Q$35,Inputs!$Q$37/100*X$10*Inputs!$Q$100*X$5))),0))</f>
        <v>0</v>
      </c>
      <c r="Y184" s="281">
        <f>IF(OR(Inputs!$G$69="No",Inputs!$Q$30="Cost-Based",Inputs!$Q$30="Neither"),0,IF(Inputs!$Q$34="Tax Credit",IF(Y$2&gt;Inputs!$Q$38,0,IF(Inputs!$Q$35=0,Inputs!$Q$37/100*Y$10*Inputs!$Q$100*Y$5,MIN(Inputs!$Q$35,Inputs!$Q$37/100*Y$10*Inputs!$Q$100*Y$5))),0))</f>
        <v>0</v>
      </c>
      <c r="Z184" s="281">
        <f>IF(OR(Inputs!$G$69="No",Inputs!$Q$30="Cost-Based",Inputs!$Q$30="Neither"),0,IF(Inputs!$Q$34="Tax Credit",IF(Z$2&gt;Inputs!$Q$38,0,IF(Inputs!$Q$35=0,Inputs!$Q$37/100*Z$10*Inputs!$Q$100*Z$5,MIN(Inputs!$Q$35,Inputs!$Q$37/100*Z$10*Inputs!$Q$100*Z$5))),0))</f>
        <v>0</v>
      </c>
      <c r="AA184" s="281">
        <f>IF(OR(Inputs!$G$69="No",Inputs!$Q$30="Cost-Based",Inputs!$Q$30="Neither"),0,IF(Inputs!$Q$34="Tax Credit",IF(AA$2&gt;Inputs!$Q$38,0,IF(Inputs!$Q$35=0,Inputs!$Q$37/100*AA$10*Inputs!$Q$100*AA$5,MIN(Inputs!$Q$35,Inputs!$Q$37/100*AA$10*Inputs!$Q$100*AA$5))),0))</f>
        <v>0</v>
      </c>
      <c r="AB184" s="281">
        <f>IF(OR(Inputs!$G$69="No",Inputs!$Q$30="Cost-Based",Inputs!$Q$30="Neither"),0,IF(Inputs!$Q$34="Tax Credit",IF(AB$2&gt;Inputs!$Q$38,0,IF(Inputs!$Q$35=0,Inputs!$Q$37/100*AB$10*Inputs!$Q$100*AB$5,MIN(Inputs!$Q$35,Inputs!$Q$37/100*AB$10*Inputs!$Q$100*AB$5))),0))</f>
        <v>0</v>
      </c>
      <c r="AC184" s="281">
        <f>IF(OR(Inputs!$G$69="No",Inputs!$Q$30="Cost-Based",Inputs!$Q$30="Neither"),0,IF(Inputs!$Q$34="Tax Credit",IF(AC$2&gt;Inputs!$Q$38,0,IF(Inputs!$Q$35=0,Inputs!$Q$37/100*AC$10*Inputs!$Q$100*AC$5,MIN(Inputs!$Q$35,Inputs!$Q$37/100*AC$10*Inputs!$Q$100*AC$5))),0))</f>
        <v>0</v>
      </c>
      <c r="AD184" s="281">
        <f>IF(OR(Inputs!$G$69="No",Inputs!$Q$30="Cost-Based",Inputs!$Q$30="Neither"),0,IF(Inputs!$Q$34="Tax Credit",IF(AD$2&gt;Inputs!$Q$38,0,IF(Inputs!$Q$35=0,Inputs!$Q$37/100*AD$10*Inputs!$Q$100*AD$5,MIN(Inputs!$Q$35,Inputs!$Q$37/100*AD$10*Inputs!$Q$100*AD$5))),0))</f>
        <v>0</v>
      </c>
      <c r="AE184" s="281">
        <f>IF(OR(Inputs!$G$69="No",Inputs!$Q$30="Cost-Based",Inputs!$Q$30="Neither"),0,IF(Inputs!$Q$34="Tax Credit",IF(AE$2&gt;Inputs!$Q$38,0,IF(Inputs!$Q$35=0,Inputs!$Q$37/100*AE$10*Inputs!$Q$100*AE$5,MIN(Inputs!$Q$35,Inputs!$Q$37/100*AE$10*Inputs!$Q$100*AE$5))),0))</f>
        <v>0</v>
      </c>
      <c r="AF184" s="281">
        <f>IF(OR(Inputs!$G$69="No",Inputs!$Q$30="Cost-Based",Inputs!$Q$30="Neither"),0,IF(Inputs!$Q$34="Tax Credit",IF(AF$2&gt;Inputs!$Q$38,0,IF(Inputs!$Q$35=0,Inputs!$Q$37/100*AF$10*Inputs!$Q$100*AF$5,MIN(Inputs!$Q$35,Inputs!$Q$37/100*AF$10*Inputs!$Q$100*AF$5))),0))</f>
        <v>0</v>
      </c>
      <c r="AG184" s="281">
        <f>IF(OR(Inputs!$G$69="No",Inputs!$Q$30="Cost-Based",Inputs!$Q$30="Neither"),0,IF(Inputs!$Q$34="Tax Credit",IF(AG$2&gt;Inputs!$Q$38,0,IF(Inputs!$Q$35=0,Inputs!$Q$37/100*AG$10*Inputs!$Q$100*AG$5,MIN(Inputs!$Q$35,Inputs!$Q$37/100*AG$10*Inputs!$Q$100*AG$5))),0))</f>
        <v>0</v>
      </c>
      <c r="AH184" s="281">
        <f>IF(OR(Inputs!$G$69="No",Inputs!$Q$30="Cost-Based",Inputs!$Q$30="Neither"),0,IF(Inputs!$Q$34="Tax Credit",IF(AH$2&gt;Inputs!$Q$38,0,IF(Inputs!$Q$35=0,Inputs!$Q$37/100*AH$10*Inputs!$Q$100*AH$5,MIN(Inputs!$Q$35,Inputs!$Q$37/100*AH$10*Inputs!$Q$100*AH$5))),0))</f>
        <v>0</v>
      </c>
      <c r="AI184" s="281">
        <f>IF(OR(Inputs!$G$69="No",Inputs!$Q$30="Cost-Based",Inputs!$Q$30="Neither"),0,IF(Inputs!$Q$34="Tax Credit",IF(AI$2&gt;Inputs!$Q$38,0,IF(Inputs!$Q$35=0,Inputs!$Q$37/100*AI$10*Inputs!$Q$100*AI$5,MIN(Inputs!$Q$35,Inputs!$Q$37/100*AI$10*Inputs!$Q$100*AI$5))),0))</f>
        <v>0</v>
      </c>
      <c r="AJ184" s="281">
        <f>IF(OR(Inputs!$G$69="No",Inputs!$Q$30="Cost-Based",Inputs!$Q$30="Neither"),0,IF(Inputs!$Q$34="Tax Credit",IF(AJ$2&gt;Inputs!$Q$38,0,IF(Inputs!$Q$35=0,Inputs!$Q$37/100*AJ$10*Inputs!$Q$100*AJ$5,MIN(Inputs!$Q$35,Inputs!$Q$37/100*AJ$10*Inputs!$Q$100*AJ$5))),0))</f>
        <v>0</v>
      </c>
    </row>
    <row r="185" spans="2:36" s="30" customFormat="1" ht="15.75">
      <c r="B185" s="261"/>
      <c r="C185" s="261"/>
      <c r="D185" s="261"/>
      <c r="E185" s="261"/>
      <c r="F185" s="276"/>
      <c r="G185" s="286"/>
      <c r="H185" s="287"/>
      <c r="I185" s="261"/>
      <c r="J185" s="261"/>
      <c r="K185" s="261"/>
      <c r="L185" s="261"/>
      <c r="M185" s="261"/>
      <c r="N185" s="261"/>
      <c r="O185" s="261"/>
      <c r="P185" s="261"/>
      <c r="Q185" s="261"/>
      <c r="R185" s="261"/>
      <c r="S185" s="261"/>
      <c r="T185" s="261"/>
      <c r="U185" s="261"/>
      <c r="V185" s="261"/>
      <c r="W185" s="261"/>
      <c r="X185" s="261"/>
      <c r="Y185" s="261"/>
      <c r="Z185" s="261"/>
      <c r="AA185" s="261"/>
      <c r="AB185" s="261"/>
      <c r="AC185" s="261"/>
      <c r="AD185" s="261"/>
      <c r="AE185" s="261"/>
      <c r="AF185" s="261"/>
      <c r="AG185" s="261"/>
      <c r="AH185" s="261"/>
      <c r="AI185" s="261"/>
      <c r="AJ185" s="261"/>
    </row>
    <row r="186" spans="2:36" s="30" customFormat="1">
      <c r="B186" s="261" t="s">
        <v>251</v>
      </c>
      <c r="C186" s="261"/>
      <c r="D186" s="261"/>
      <c r="E186" s="261"/>
      <c r="F186" s="276"/>
      <c r="G186" s="281">
        <f>SUM(G183:G184)</f>
        <v>0</v>
      </c>
      <c r="H186" s="281">
        <f t="shared" ref="H186:AJ186" si="61">SUM(H183:H184)</f>
        <v>0</v>
      </c>
      <c r="I186" s="281">
        <f t="shared" si="61"/>
        <v>0</v>
      </c>
      <c r="J186" s="281">
        <f t="shared" si="61"/>
        <v>0</v>
      </c>
      <c r="K186" s="281">
        <f t="shared" si="61"/>
        <v>0</v>
      </c>
      <c r="L186" s="281">
        <f t="shared" si="61"/>
        <v>0</v>
      </c>
      <c r="M186" s="281">
        <f t="shared" si="61"/>
        <v>0</v>
      </c>
      <c r="N186" s="281">
        <f t="shared" si="61"/>
        <v>0</v>
      </c>
      <c r="O186" s="281">
        <f t="shared" si="61"/>
        <v>0</v>
      </c>
      <c r="P186" s="281">
        <f t="shared" si="61"/>
        <v>0</v>
      </c>
      <c r="Q186" s="281">
        <f t="shared" si="61"/>
        <v>0</v>
      </c>
      <c r="R186" s="281">
        <f t="shared" si="61"/>
        <v>0</v>
      </c>
      <c r="S186" s="281">
        <f t="shared" si="61"/>
        <v>0</v>
      </c>
      <c r="T186" s="281">
        <f t="shared" si="61"/>
        <v>0</v>
      </c>
      <c r="U186" s="281">
        <f t="shared" si="61"/>
        <v>0</v>
      </c>
      <c r="V186" s="281">
        <f t="shared" si="61"/>
        <v>0</v>
      </c>
      <c r="W186" s="281">
        <f t="shared" si="61"/>
        <v>0</v>
      </c>
      <c r="X186" s="281">
        <f t="shared" si="61"/>
        <v>0</v>
      </c>
      <c r="Y186" s="281">
        <f t="shared" si="61"/>
        <v>0</v>
      </c>
      <c r="Z186" s="281">
        <f t="shared" si="61"/>
        <v>0</v>
      </c>
      <c r="AA186" s="281">
        <f t="shared" si="61"/>
        <v>0</v>
      </c>
      <c r="AB186" s="281">
        <f t="shared" si="61"/>
        <v>0</v>
      </c>
      <c r="AC186" s="281">
        <f t="shared" si="61"/>
        <v>0</v>
      </c>
      <c r="AD186" s="281">
        <f t="shared" si="61"/>
        <v>0</v>
      </c>
      <c r="AE186" s="281">
        <f t="shared" si="61"/>
        <v>0</v>
      </c>
      <c r="AF186" s="281">
        <f t="shared" si="61"/>
        <v>0</v>
      </c>
      <c r="AG186" s="281">
        <f t="shared" si="61"/>
        <v>0</v>
      </c>
      <c r="AH186" s="281">
        <f t="shared" si="61"/>
        <v>0</v>
      </c>
      <c r="AI186" s="281">
        <f t="shared" si="61"/>
        <v>0</v>
      </c>
      <c r="AJ186" s="281">
        <f t="shared" si="61"/>
        <v>0</v>
      </c>
    </row>
    <row r="187" spans="2:36" s="30" customFormat="1">
      <c r="B187" s="261"/>
      <c r="C187" s="261"/>
      <c r="D187" s="261"/>
      <c r="E187" s="261"/>
      <c r="F187" s="276"/>
      <c r="G187" s="281"/>
      <c r="H187" s="281"/>
      <c r="I187" s="281"/>
      <c r="J187" s="281"/>
      <c r="K187" s="281"/>
      <c r="L187" s="281"/>
      <c r="M187" s="281"/>
      <c r="N187" s="281"/>
      <c r="O187" s="281"/>
      <c r="P187" s="281"/>
      <c r="Q187" s="281"/>
      <c r="R187" s="281"/>
      <c r="S187" s="281"/>
      <c r="T187" s="281"/>
      <c r="U187" s="281"/>
      <c r="V187" s="281"/>
      <c r="W187" s="281"/>
      <c r="X187" s="281"/>
      <c r="Y187" s="281"/>
      <c r="Z187" s="281"/>
      <c r="AA187" s="281"/>
      <c r="AB187" s="281"/>
      <c r="AC187" s="281"/>
      <c r="AD187" s="281"/>
      <c r="AE187" s="281"/>
      <c r="AF187" s="281"/>
      <c r="AG187" s="281"/>
      <c r="AH187" s="281"/>
      <c r="AI187" s="281"/>
      <c r="AJ187" s="281"/>
    </row>
    <row r="188" spans="2:36" s="30" customFormat="1">
      <c r="B188" s="345" t="s">
        <v>252</v>
      </c>
      <c r="C188" s="345"/>
      <c r="D188" s="345"/>
      <c r="E188" s="261"/>
      <c r="F188" s="276"/>
      <c r="G188" s="281"/>
      <c r="H188" s="281"/>
      <c r="I188" s="281"/>
      <c r="J188" s="281"/>
      <c r="K188" s="281"/>
      <c r="L188" s="281"/>
      <c r="M188" s="281"/>
      <c r="N188" s="281"/>
      <c r="O188" s="281"/>
      <c r="P188" s="281"/>
      <c r="Q188" s="281"/>
      <c r="R188" s="281"/>
      <c r="S188" s="281"/>
      <c r="T188" s="281"/>
      <c r="U188" s="281"/>
      <c r="V188" s="281"/>
      <c r="W188" s="281"/>
      <c r="X188" s="281"/>
      <c r="Y188" s="281"/>
      <c r="Z188" s="281"/>
      <c r="AA188" s="281"/>
      <c r="AB188" s="281"/>
      <c r="AC188" s="281"/>
      <c r="AD188" s="281"/>
      <c r="AE188" s="281"/>
      <c r="AF188" s="281"/>
      <c r="AG188" s="281"/>
      <c r="AH188" s="281"/>
      <c r="AI188" s="281"/>
      <c r="AJ188" s="281"/>
    </row>
    <row r="189" spans="2:36" s="30" customFormat="1">
      <c r="B189" s="261" t="str">
        <f>B64</f>
        <v>State Income Taxes Saved / (Paid), before ITC/PTC</v>
      </c>
      <c r="C189" s="261"/>
      <c r="D189" s="261"/>
      <c r="E189" s="261"/>
      <c r="F189" s="276"/>
      <c r="G189" s="281" t="str">
        <f>IF(Inputs!$G$73="as generated","N/A",'Cash Flow'!G64)</f>
        <v>N/A</v>
      </c>
      <c r="H189" s="281" t="str">
        <f>IF(Inputs!$G$73="as generated","N/A",'Cash Flow'!H64)</f>
        <v>N/A</v>
      </c>
      <c r="I189" s="281" t="str">
        <f>IF(Inputs!$G$73="as generated","N/A",'Cash Flow'!I64)</f>
        <v>N/A</v>
      </c>
      <c r="J189" s="281" t="str">
        <f>IF(Inputs!$G$73="as generated","N/A",'Cash Flow'!J64)</f>
        <v>N/A</v>
      </c>
      <c r="K189" s="281" t="str">
        <f>IF(Inputs!$G$73="as generated","N/A",'Cash Flow'!K64)</f>
        <v>N/A</v>
      </c>
      <c r="L189" s="281" t="str">
        <f>IF(Inputs!$G$73="as generated","N/A",'Cash Flow'!L64)</f>
        <v>N/A</v>
      </c>
      <c r="M189" s="281" t="str">
        <f>IF(Inputs!$G$73="as generated","N/A",'Cash Flow'!M64)</f>
        <v>N/A</v>
      </c>
      <c r="N189" s="281" t="str">
        <f>IF(Inputs!$G$73="as generated","N/A",'Cash Flow'!N64)</f>
        <v>N/A</v>
      </c>
      <c r="O189" s="281" t="str">
        <f>IF(Inputs!$G$73="as generated","N/A",'Cash Flow'!O64)</f>
        <v>N/A</v>
      </c>
      <c r="P189" s="281" t="str">
        <f>IF(Inputs!$G$73="as generated","N/A",'Cash Flow'!P64)</f>
        <v>N/A</v>
      </c>
      <c r="Q189" s="281" t="str">
        <f>IF(Inputs!$G$73="as generated","N/A",'Cash Flow'!Q64)</f>
        <v>N/A</v>
      </c>
      <c r="R189" s="281" t="str">
        <f>IF(Inputs!$G$73="as generated","N/A",'Cash Flow'!R64)</f>
        <v>N/A</v>
      </c>
      <c r="S189" s="281" t="str">
        <f>IF(Inputs!$G$73="as generated","N/A",'Cash Flow'!S64)</f>
        <v>N/A</v>
      </c>
      <c r="T189" s="281" t="str">
        <f>IF(Inputs!$G$73="as generated","N/A",'Cash Flow'!T64)</f>
        <v>N/A</v>
      </c>
      <c r="U189" s="281" t="str">
        <f>IF(Inputs!$G$73="as generated","N/A",'Cash Flow'!U64)</f>
        <v>N/A</v>
      </c>
      <c r="V189" s="281" t="str">
        <f>IF(Inputs!$G$73="as generated","N/A",'Cash Flow'!V64)</f>
        <v>N/A</v>
      </c>
      <c r="W189" s="281" t="str">
        <f>IF(Inputs!$G$73="as generated","N/A",'Cash Flow'!W64)</f>
        <v>N/A</v>
      </c>
      <c r="X189" s="281" t="str">
        <f>IF(Inputs!$G$73="as generated","N/A",'Cash Flow'!X64)</f>
        <v>N/A</v>
      </c>
      <c r="Y189" s="281" t="str">
        <f>IF(Inputs!$G$73="as generated","N/A",'Cash Flow'!Y64)</f>
        <v>N/A</v>
      </c>
      <c r="Z189" s="281" t="str">
        <f>IF(Inputs!$G$73="as generated","N/A",'Cash Flow'!Z64)</f>
        <v>N/A</v>
      </c>
      <c r="AA189" s="281" t="str">
        <f>IF(Inputs!$G$73="as generated","N/A",'Cash Flow'!AA64)</f>
        <v>N/A</v>
      </c>
      <c r="AB189" s="281" t="str">
        <f>IF(Inputs!$G$73="as generated","N/A",'Cash Flow'!AB64)</f>
        <v>N/A</v>
      </c>
      <c r="AC189" s="281" t="str">
        <f>IF(Inputs!$G$73="as generated","N/A",'Cash Flow'!AC64)</f>
        <v>N/A</v>
      </c>
      <c r="AD189" s="281" t="str">
        <f>IF(Inputs!$G$73="as generated","N/A",'Cash Flow'!AD64)</f>
        <v>N/A</v>
      </c>
      <c r="AE189" s="281" t="str">
        <f>IF(Inputs!$G$73="as generated","N/A",'Cash Flow'!AE64)</f>
        <v>N/A</v>
      </c>
      <c r="AF189" s="281" t="str">
        <f>IF(Inputs!$G$73="as generated","N/A",'Cash Flow'!AF64)</f>
        <v>N/A</v>
      </c>
      <c r="AG189" s="281" t="str">
        <f>IF(Inputs!$G$73="as generated","N/A",'Cash Flow'!AG64)</f>
        <v>N/A</v>
      </c>
      <c r="AH189" s="281" t="str">
        <f>IF(Inputs!$G$73="as generated","N/A",'Cash Flow'!AH64)</f>
        <v>N/A</v>
      </c>
      <c r="AI189" s="281" t="str">
        <f>IF(Inputs!$G$73="as generated","N/A",'Cash Flow'!AI64)</f>
        <v>N/A</v>
      </c>
      <c r="AJ189" s="281" t="str">
        <f>IF(Inputs!$G$73="as generated","N/A",'Cash Flow'!AJ64)</f>
        <v>N/A</v>
      </c>
    </row>
    <row r="190" spans="2:36" s="30" customFormat="1">
      <c r="B190" s="261"/>
      <c r="C190" s="261"/>
      <c r="D190" s="261"/>
      <c r="E190" s="261"/>
      <c r="F190" s="276"/>
      <c r="G190" s="281"/>
      <c r="H190" s="281"/>
      <c r="I190" s="281"/>
      <c r="J190" s="281"/>
      <c r="K190" s="281"/>
      <c r="L190" s="281"/>
      <c r="M190" s="281"/>
      <c r="N190" s="281"/>
      <c r="O190" s="281"/>
      <c r="P190" s="281"/>
      <c r="Q190" s="281"/>
      <c r="R190" s="281"/>
      <c r="S190" s="281"/>
      <c r="T190" s="281"/>
      <c r="U190" s="281"/>
      <c r="V190" s="281"/>
      <c r="W190" s="281"/>
      <c r="X190" s="281"/>
      <c r="Y190" s="281"/>
      <c r="Z190" s="281"/>
      <c r="AA190" s="281"/>
      <c r="AB190" s="281"/>
      <c r="AC190" s="281"/>
      <c r="AD190" s="281"/>
      <c r="AE190" s="281"/>
      <c r="AF190" s="281"/>
      <c r="AG190" s="281"/>
      <c r="AH190" s="281"/>
      <c r="AI190" s="281"/>
      <c r="AJ190" s="281"/>
    </row>
    <row r="191" spans="2:36" s="30" customFormat="1">
      <c r="B191" s="261" t="s">
        <v>290</v>
      </c>
      <c r="C191" s="261"/>
      <c r="D191" s="261"/>
      <c r="E191" s="261"/>
      <c r="F191" s="276"/>
      <c r="G191" s="281">
        <v>0</v>
      </c>
      <c r="H191" s="281">
        <f>IF(Inputs!$G$73="as generated",0,G194)</f>
        <v>0</v>
      </c>
      <c r="I191" s="281">
        <f>IF(Inputs!$G$73="as generated",0,H194)</f>
        <v>0</v>
      </c>
      <c r="J191" s="281">
        <f>IF(Inputs!$G$73="as generated",0,I194)</f>
        <v>0</v>
      </c>
      <c r="K191" s="281">
        <f>IF(Inputs!$G$73="as generated",0,J194)</f>
        <v>0</v>
      </c>
      <c r="L191" s="281">
        <f>IF(Inputs!$G$73="as generated",0,K194)</f>
        <v>0</v>
      </c>
      <c r="M191" s="281">
        <f>IF(Inputs!$G$73="as generated",0,L194)</f>
        <v>0</v>
      </c>
      <c r="N191" s="281">
        <f>IF(Inputs!$G$73="as generated",0,M194)</f>
        <v>0</v>
      </c>
      <c r="O191" s="281">
        <f>IF(Inputs!$G$73="as generated",0,N194)</f>
        <v>0</v>
      </c>
      <c r="P191" s="281">
        <f>IF(Inputs!$G$73="as generated",0,O194)</f>
        <v>0</v>
      </c>
      <c r="Q191" s="281">
        <f>IF(Inputs!$G$73="as generated",0,P194)</f>
        <v>0</v>
      </c>
      <c r="R191" s="281">
        <f>IF(Inputs!$G$73="as generated",0,Q194)</f>
        <v>0</v>
      </c>
      <c r="S191" s="281">
        <f>IF(Inputs!$G$73="as generated",0,R194)</f>
        <v>0</v>
      </c>
      <c r="T191" s="281">
        <f>IF(Inputs!$G$73="as generated",0,S194)</f>
        <v>0</v>
      </c>
      <c r="U191" s="281">
        <f>IF(Inputs!$G$73="as generated",0,T194)</f>
        <v>0</v>
      </c>
      <c r="V191" s="281">
        <f>IF(Inputs!$G$73="as generated",0,U194)</f>
        <v>0</v>
      </c>
      <c r="W191" s="281">
        <f>IF(Inputs!$G$73="as generated",0,V194)</f>
        <v>0</v>
      </c>
      <c r="X191" s="281">
        <f>IF(Inputs!$G$73="as generated",0,W194)</f>
        <v>0</v>
      </c>
      <c r="Y191" s="281">
        <f>IF(Inputs!$G$73="as generated",0,X194)</f>
        <v>0</v>
      </c>
      <c r="Z191" s="281">
        <f>IF(Inputs!$G$73="as generated",0,Y194)</f>
        <v>0</v>
      </c>
      <c r="AA191" s="281">
        <f>IF(Inputs!$G$73="as generated",0,Z194)</f>
        <v>0</v>
      </c>
      <c r="AB191" s="281">
        <f>IF(Inputs!$G$73="as generated",0,AA194)</f>
        <v>0</v>
      </c>
      <c r="AC191" s="281">
        <f>IF(Inputs!$G$73="as generated",0,AB194)</f>
        <v>0</v>
      </c>
      <c r="AD191" s="281">
        <f>IF(Inputs!$G$73="as generated",0,AC194)</f>
        <v>0</v>
      </c>
      <c r="AE191" s="281">
        <f>IF(Inputs!$G$73="as generated",0,AD194)</f>
        <v>0</v>
      </c>
      <c r="AF191" s="281">
        <f>IF(Inputs!$G$73="as generated",0,AE194)</f>
        <v>0</v>
      </c>
      <c r="AG191" s="281">
        <f>IF(Inputs!$G$73="as generated",0,AF194)</f>
        <v>0</v>
      </c>
      <c r="AH191" s="281">
        <f>IF(Inputs!$G$73="as generated",0,AG194)</f>
        <v>0</v>
      </c>
      <c r="AI191" s="281">
        <f>IF(Inputs!$G$73="as generated",0,AH194)</f>
        <v>0</v>
      </c>
      <c r="AJ191" s="281">
        <f>IF(Inputs!$G$73="as generated",0,AI194)</f>
        <v>0</v>
      </c>
    </row>
    <row r="192" spans="2:36" s="30" customFormat="1">
      <c r="B192" s="261" t="s">
        <v>291</v>
      </c>
      <c r="C192" s="261"/>
      <c r="D192" s="261"/>
      <c r="E192" s="261"/>
      <c r="F192" s="276"/>
      <c r="G192" s="281">
        <f>IF(Inputs!$G$73="as generated",0,IF(G189&lt;=0,G186,0))</f>
        <v>0</v>
      </c>
      <c r="H192" s="281">
        <f>IF(Inputs!$G$73="as generated",0,IF(H189&lt;=0,H186,0))</f>
        <v>0</v>
      </c>
      <c r="I192" s="281">
        <f>IF(Inputs!$G$73="as generated",0,IF(I189&lt;=0,I186,0))</f>
        <v>0</v>
      </c>
      <c r="J192" s="281">
        <f>IF(Inputs!$G$73="as generated",0,IF(J189&lt;=0,J186,0))</f>
        <v>0</v>
      </c>
      <c r="K192" s="281">
        <f>IF(Inputs!$G$73="as generated",0,IF(K189&lt;=0,K186,0))</f>
        <v>0</v>
      </c>
      <c r="L192" s="281">
        <f>IF(Inputs!$G$73="as generated",0,IF(L189&lt;=0,L186,0))</f>
        <v>0</v>
      </c>
      <c r="M192" s="281">
        <f>IF(Inputs!$G$73="as generated",0,IF(M189&lt;=0,M186,0))</f>
        <v>0</v>
      </c>
      <c r="N192" s="281">
        <f>IF(Inputs!$G$73="as generated",0,IF(N189&lt;=0,N186,0))</f>
        <v>0</v>
      </c>
      <c r="O192" s="281">
        <f>IF(Inputs!$G$73="as generated",0,IF(O189&lt;=0,O186,0))</f>
        <v>0</v>
      </c>
      <c r="P192" s="281">
        <f>IF(Inputs!$G$73="as generated",0,IF(P189&lt;=0,P186,0))</f>
        <v>0</v>
      </c>
      <c r="Q192" s="281">
        <f>IF(Inputs!$G$73="as generated",0,IF(Q189&lt;=0,Q186,0))</f>
        <v>0</v>
      </c>
      <c r="R192" s="281">
        <f>IF(Inputs!$G$73="as generated",0,IF(R189&lt;=0,R186,0))</f>
        <v>0</v>
      </c>
      <c r="S192" s="281">
        <f>IF(Inputs!$G$73="as generated",0,IF(S189&lt;=0,S186,0))</f>
        <v>0</v>
      </c>
      <c r="T192" s="281">
        <f>IF(Inputs!$G$73="as generated",0,IF(T189&lt;=0,T186,0))</f>
        <v>0</v>
      </c>
      <c r="U192" s="281">
        <f>IF(Inputs!$G$73="as generated",0,IF(U189&lt;=0,U186,0))</f>
        <v>0</v>
      </c>
      <c r="V192" s="281">
        <f>IF(Inputs!$G$73="as generated",0,IF(V189&lt;=0,V186,0))</f>
        <v>0</v>
      </c>
      <c r="W192" s="281">
        <f>IF(Inputs!$G$73="as generated",0,IF(W189&lt;=0,W186,0))</f>
        <v>0</v>
      </c>
      <c r="X192" s="281">
        <f>IF(Inputs!$G$73="as generated",0,IF(X189&lt;=0,X186,0))</f>
        <v>0</v>
      </c>
      <c r="Y192" s="281">
        <f>IF(Inputs!$G$73="as generated",0,IF(Y189&lt;=0,Y186,0))</f>
        <v>0</v>
      </c>
      <c r="Z192" s="281">
        <f>IF(Inputs!$G$73="as generated",0,IF(Z189&lt;=0,Z186,0))</f>
        <v>0</v>
      </c>
      <c r="AA192" s="281">
        <f>IF(Inputs!$G$73="as generated",0,IF(AA189&lt;=0,AA186,0))</f>
        <v>0</v>
      </c>
      <c r="AB192" s="281">
        <f>IF(Inputs!$G$73="as generated",0,IF(AB189&lt;=0,AB186,0))</f>
        <v>0</v>
      </c>
      <c r="AC192" s="281">
        <f>IF(Inputs!$G$73="as generated",0,IF(AC189&lt;=0,AC186,0))</f>
        <v>0</v>
      </c>
      <c r="AD192" s="281">
        <f>IF(Inputs!$G$73="as generated",0,IF(AD189&lt;=0,AD186,0))</f>
        <v>0</v>
      </c>
      <c r="AE192" s="281">
        <f>IF(Inputs!$G$73="as generated",0,IF(AE189&lt;=0,AE186,0))</f>
        <v>0</v>
      </c>
      <c r="AF192" s="281">
        <f>IF(Inputs!$G$73="as generated",0,IF(AF189&lt;=0,AF186,0))</f>
        <v>0</v>
      </c>
      <c r="AG192" s="281">
        <f>IF(Inputs!$G$73="as generated",0,IF(AG189&lt;=0,AG186,0))</f>
        <v>0</v>
      </c>
      <c r="AH192" s="281">
        <f>IF(Inputs!$G$73="as generated",0,IF(AH189&lt;=0,AH186,0))</f>
        <v>0</v>
      </c>
      <c r="AI192" s="281">
        <f>IF(Inputs!$G$73="as generated",0,IF(AI189&lt;=0,AI186,0))</f>
        <v>0</v>
      </c>
      <c r="AJ192" s="281">
        <f>IF(Inputs!$G$73="as generated",0,IF(AJ189&lt;=0,AJ186,0))</f>
        <v>0</v>
      </c>
    </row>
    <row r="193" spans="2:36" s="30" customFormat="1">
      <c r="B193" s="261" t="s">
        <v>292</v>
      </c>
      <c r="C193" s="261"/>
      <c r="D193" s="261"/>
      <c r="E193" s="261"/>
      <c r="F193" s="276"/>
      <c r="G193" s="281">
        <f>IF(Inputs!$G$73="as generated",0,IF(G$189&lt;0,MAX(G$189,-F$194),0))</f>
        <v>0</v>
      </c>
      <c r="H193" s="281">
        <f>IF(Inputs!$G$73="as generated",0,IF(H$189&lt;0,MAX(H$189,-G$194),0))</f>
        <v>0</v>
      </c>
      <c r="I193" s="281">
        <f>IF(Inputs!$G$73="as generated",0,IF(I$189&lt;0,MAX(I$189,-H$194),0))</f>
        <v>0</v>
      </c>
      <c r="J193" s="281">
        <f>IF(Inputs!$G$73="as generated",0,IF(J$189&lt;0,MAX(J$189,-I$194),0))</f>
        <v>0</v>
      </c>
      <c r="K193" s="281">
        <f>IF(Inputs!$G$73="as generated",0,IF(K$189&lt;0,MAX(K$189,-J$194),0))</f>
        <v>0</v>
      </c>
      <c r="L193" s="281">
        <f>IF(Inputs!$G$73="as generated",0,IF(L$189&lt;0,MAX(L$189,-K$194),0))</f>
        <v>0</v>
      </c>
      <c r="M193" s="281">
        <f>IF(Inputs!$G$73="as generated",0,IF(M$189&lt;0,MAX(M$189,-L$194),0))</f>
        <v>0</v>
      </c>
      <c r="N193" s="281">
        <f>IF(Inputs!$G$73="as generated",0,IF(N$189&lt;0,MAX(N$189,-M$194),0))</f>
        <v>0</v>
      </c>
      <c r="O193" s="281">
        <f>IF(Inputs!$G$73="as generated",0,IF(O$189&lt;0,MAX(O$189,-N$194),0))</f>
        <v>0</v>
      </c>
      <c r="P193" s="281">
        <f>IF(Inputs!$G$73="as generated",0,IF(P$189&lt;0,MAX(P$189,-O$194),0))</f>
        <v>0</v>
      </c>
      <c r="Q193" s="281">
        <f>IF(Inputs!$G$73="as generated",0,IF(Q$189&lt;0,MAX(Q$189,-P$194),0))</f>
        <v>0</v>
      </c>
      <c r="R193" s="281">
        <f>IF(Inputs!$G$73="as generated",0,IF(R$189&lt;0,MAX(R$189,-Q$194),0))</f>
        <v>0</v>
      </c>
      <c r="S193" s="281">
        <f>IF(Inputs!$G$73="as generated",0,IF(S$189&lt;0,MAX(S$189,-R$194),0))</f>
        <v>0</v>
      </c>
      <c r="T193" s="281">
        <f>IF(Inputs!$G$73="as generated",0,IF(T$189&lt;0,MAX(T$189,-S$194),0))</f>
        <v>0</v>
      </c>
      <c r="U193" s="281">
        <f>IF(Inputs!$G$73="as generated",0,IF(U$189&lt;0,MAX(U$189,-T$194),0))</f>
        <v>0</v>
      </c>
      <c r="V193" s="281">
        <f>IF(Inputs!$G$73="as generated",0,IF(V$189&lt;0,MAX(V$189,-U$194),0))</f>
        <v>0</v>
      </c>
      <c r="W193" s="281">
        <f>IF(Inputs!$G$73="as generated",0,IF(W$189&lt;0,MAX(W$189,-V$194),0))</f>
        <v>0</v>
      </c>
      <c r="X193" s="281">
        <f>IF(Inputs!$G$73="as generated",0,IF(X$189&lt;0,MAX(X$189,-W$194),0))</f>
        <v>0</v>
      </c>
      <c r="Y193" s="281">
        <f>IF(Inputs!$G$73="as generated",0,IF(Y$189&lt;0,MAX(Y$189,-X$194),0))</f>
        <v>0</v>
      </c>
      <c r="Z193" s="281">
        <f>IF(Inputs!$G$73="as generated",0,IF(Z$189&lt;0,MAX(Z$189,-Y$194),0))</f>
        <v>0</v>
      </c>
      <c r="AA193" s="281">
        <f>IF(Inputs!$G$73="as generated",0,IF(AA$189&lt;0,MAX(AA$189,-Z$194),0))</f>
        <v>0</v>
      </c>
      <c r="AB193" s="281">
        <f>IF(Inputs!$G$73="as generated",0,IF(AB$189&lt;0,MAX(AB$189,-AA$194),0))</f>
        <v>0</v>
      </c>
      <c r="AC193" s="281">
        <f>IF(Inputs!$G$73="as generated",0,IF(AC$189&lt;0,MAX(AC$189,-AB$194),0))</f>
        <v>0</v>
      </c>
      <c r="AD193" s="281">
        <f>IF(Inputs!$G$73="as generated",0,IF(AD$189&lt;0,MAX(AD$189,-AC$194),0))</f>
        <v>0</v>
      </c>
      <c r="AE193" s="281">
        <f>IF(Inputs!$G$73="as generated",0,IF(AE$189&lt;0,MAX(AE$189,-AD$194),0))</f>
        <v>0</v>
      </c>
      <c r="AF193" s="281">
        <f>IF(Inputs!$G$73="as generated",0,IF(AF$189&lt;0,MAX(AF$189,-AE$194),0))</f>
        <v>0</v>
      </c>
      <c r="AG193" s="281">
        <f>IF(Inputs!$G$73="as generated",0,IF(AG$189&lt;0,MAX(AG$189,-AF$194),0))</f>
        <v>0</v>
      </c>
      <c r="AH193" s="281">
        <f>IF(Inputs!$G$73="as generated",0,IF(AH$189&lt;0,MAX(AH$189,-AG$194),0))</f>
        <v>0</v>
      </c>
      <c r="AI193" s="281">
        <f>IF(Inputs!$G$73="as generated",0,IF(AI$189&lt;0,MAX(AI$189,-AH$194),0))</f>
        <v>0</v>
      </c>
      <c r="AJ193" s="281">
        <f>IF(Inputs!$G$73="as generated",0,IF(AJ$189&lt;0,MAX(AJ$189,-AI$194),0))</f>
        <v>0</v>
      </c>
    </row>
    <row r="194" spans="2:36" s="30" customFormat="1">
      <c r="B194" s="261" t="s">
        <v>293</v>
      </c>
      <c r="C194" s="261"/>
      <c r="D194" s="261"/>
      <c r="E194" s="261"/>
      <c r="F194" s="281">
        <v>0</v>
      </c>
      <c r="G194" s="281">
        <f>SUM(G191:G193)</f>
        <v>0</v>
      </c>
      <c r="H194" s="281">
        <f t="shared" ref="H194:AJ194" si="62">SUM(H191:H193)</f>
        <v>0</v>
      </c>
      <c r="I194" s="281">
        <f t="shared" si="62"/>
        <v>0</v>
      </c>
      <c r="J194" s="281">
        <f t="shared" si="62"/>
        <v>0</v>
      </c>
      <c r="K194" s="281">
        <f t="shared" si="62"/>
        <v>0</v>
      </c>
      <c r="L194" s="281">
        <f t="shared" si="62"/>
        <v>0</v>
      </c>
      <c r="M194" s="281">
        <f t="shared" si="62"/>
        <v>0</v>
      </c>
      <c r="N194" s="281">
        <f t="shared" si="62"/>
        <v>0</v>
      </c>
      <c r="O194" s="281">
        <f t="shared" si="62"/>
        <v>0</v>
      </c>
      <c r="P194" s="281">
        <f t="shared" si="62"/>
        <v>0</v>
      </c>
      <c r="Q194" s="281">
        <f t="shared" si="62"/>
        <v>0</v>
      </c>
      <c r="R194" s="281">
        <f t="shared" si="62"/>
        <v>0</v>
      </c>
      <c r="S194" s="281">
        <f t="shared" si="62"/>
        <v>0</v>
      </c>
      <c r="T194" s="281">
        <f t="shared" si="62"/>
        <v>0</v>
      </c>
      <c r="U194" s="281">
        <f t="shared" si="62"/>
        <v>0</v>
      </c>
      <c r="V194" s="281">
        <f t="shared" si="62"/>
        <v>0</v>
      </c>
      <c r="W194" s="281">
        <f t="shared" si="62"/>
        <v>0</v>
      </c>
      <c r="X194" s="281">
        <f t="shared" si="62"/>
        <v>0</v>
      </c>
      <c r="Y194" s="281">
        <f t="shared" si="62"/>
        <v>0</v>
      </c>
      <c r="Z194" s="281">
        <f t="shared" si="62"/>
        <v>0</v>
      </c>
      <c r="AA194" s="281">
        <f t="shared" si="62"/>
        <v>0</v>
      </c>
      <c r="AB194" s="281">
        <f t="shared" si="62"/>
        <v>0</v>
      </c>
      <c r="AC194" s="281">
        <f t="shared" si="62"/>
        <v>0</v>
      </c>
      <c r="AD194" s="281">
        <f t="shared" si="62"/>
        <v>0</v>
      </c>
      <c r="AE194" s="281">
        <f t="shared" si="62"/>
        <v>0</v>
      </c>
      <c r="AF194" s="281">
        <f t="shared" si="62"/>
        <v>0</v>
      </c>
      <c r="AG194" s="281">
        <f t="shared" si="62"/>
        <v>0</v>
      </c>
      <c r="AH194" s="281">
        <f t="shared" si="62"/>
        <v>0</v>
      </c>
      <c r="AI194" s="281">
        <f t="shared" si="62"/>
        <v>0</v>
      </c>
      <c r="AJ194" s="281">
        <f t="shared" si="62"/>
        <v>0</v>
      </c>
    </row>
    <row r="195" spans="2:36" s="30" customFormat="1" ht="16.5" thickBot="1">
      <c r="B195" s="283"/>
      <c r="C195" s="283"/>
      <c r="D195" s="283"/>
      <c r="E195" s="283"/>
      <c r="F195" s="283"/>
      <c r="G195" s="284"/>
      <c r="H195" s="285"/>
      <c r="I195" s="283"/>
      <c r="J195" s="283"/>
      <c r="K195" s="283"/>
      <c r="L195" s="283"/>
      <c r="M195" s="283"/>
      <c r="N195" s="283"/>
      <c r="O195" s="283"/>
      <c r="P195" s="283"/>
      <c r="Q195" s="283"/>
      <c r="R195" s="283"/>
      <c r="S195" s="283"/>
      <c r="T195" s="283"/>
      <c r="U195" s="283"/>
      <c r="V195" s="283"/>
      <c r="W195" s="283"/>
      <c r="X195" s="283"/>
      <c r="Y195" s="283"/>
      <c r="Z195" s="283"/>
      <c r="AA195" s="283"/>
      <c r="AB195" s="283"/>
      <c r="AC195" s="283"/>
      <c r="AD195" s="283"/>
      <c r="AE195" s="283"/>
      <c r="AF195" s="283"/>
      <c r="AG195" s="283"/>
      <c r="AH195" s="283"/>
      <c r="AI195" s="283"/>
      <c r="AJ195" s="283"/>
    </row>
    <row r="196" spans="2:36">
      <c r="B196" s="305"/>
      <c r="C196" s="305"/>
      <c r="D196" s="305"/>
      <c r="E196" s="305"/>
      <c r="F196" s="305"/>
      <c r="G196" s="305"/>
      <c r="H196" s="305"/>
      <c r="I196" s="305"/>
      <c r="J196" s="305"/>
      <c r="K196" s="305"/>
      <c r="L196" s="305"/>
      <c r="M196" s="305"/>
      <c r="N196" s="305"/>
      <c r="O196" s="305"/>
      <c r="P196" s="305"/>
      <c r="Q196" s="305"/>
      <c r="R196" s="305"/>
      <c r="S196" s="305"/>
      <c r="T196" s="305"/>
      <c r="U196" s="305"/>
      <c r="V196" s="305"/>
      <c r="W196" s="305"/>
      <c r="X196" s="305"/>
      <c r="Y196" s="305"/>
      <c r="Z196" s="305"/>
      <c r="AA196" s="305"/>
      <c r="AB196" s="305"/>
      <c r="AC196" s="305"/>
      <c r="AD196" s="305"/>
      <c r="AE196" s="305"/>
      <c r="AF196" s="305"/>
      <c r="AG196" s="305"/>
      <c r="AH196" s="305"/>
      <c r="AI196" s="305"/>
      <c r="AJ196" s="305"/>
    </row>
    <row r="197" spans="2:36" ht="15.75">
      <c r="B197" s="260" t="s">
        <v>149</v>
      </c>
      <c r="C197" s="260"/>
      <c r="D197" s="260"/>
      <c r="E197" s="305"/>
      <c r="F197" s="305"/>
      <c r="G197" s="305"/>
      <c r="H197" s="305"/>
      <c r="I197" s="305"/>
      <c r="J197" s="305"/>
      <c r="K197" s="305"/>
      <c r="L197" s="305"/>
      <c r="M197" s="305"/>
      <c r="N197" s="305"/>
      <c r="O197" s="305"/>
      <c r="P197" s="305"/>
      <c r="Q197" s="305"/>
      <c r="R197" s="305"/>
      <c r="S197" s="305"/>
      <c r="T197" s="305"/>
      <c r="U197" s="305"/>
      <c r="V197" s="305"/>
      <c r="W197" s="305"/>
      <c r="X197" s="305"/>
      <c r="Y197" s="305"/>
      <c r="Z197" s="305"/>
      <c r="AA197" s="305"/>
      <c r="AB197" s="305"/>
      <c r="AC197" s="305"/>
      <c r="AD197" s="305"/>
      <c r="AE197" s="305"/>
      <c r="AF197" s="305"/>
      <c r="AG197" s="305"/>
      <c r="AH197" s="305"/>
      <c r="AI197" s="305"/>
      <c r="AJ197" s="305"/>
    </row>
    <row r="198" spans="2:36" ht="15.75">
      <c r="B198" s="261" t="s">
        <v>89</v>
      </c>
      <c r="C198" s="280"/>
      <c r="D198" s="280"/>
      <c r="E198" s="305"/>
      <c r="F198" s="322">
        <v>0</v>
      </c>
      <c r="G198" s="298">
        <f>F206</f>
        <v>1262906.6212895242</v>
      </c>
      <c r="H198" s="298">
        <f t="shared" ref="H198:AJ198" si="63">G206</f>
        <v>1287906.6212895242</v>
      </c>
      <c r="I198" s="298">
        <f t="shared" si="63"/>
        <v>1312906.6212895242</v>
      </c>
      <c r="J198" s="298">
        <f t="shared" si="63"/>
        <v>1337906.6212895242</v>
      </c>
      <c r="K198" s="298">
        <f t="shared" si="63"/>
        <v>1362906.6212895242</v>
      </c>
      <c r="L198" s="298">
        <f t="shared" si="63"/>
        <v>1387906.6212895242</v>
      </c>
      <c r="M198" s="298">
        <f t="shared" si="63"/>
        <v>1412906.6212895242</v>
      </c>
      <c r="N198" s="298">
        <f t="shared" si="63"/>
        <v>1437906.6212895242</v>
      </c>
      <c r="O198" s="298">
        <f t="shared" si="63"/>
        <v>1462906.6212895242</v>
      </c>
      <c r="P198" s="298">
        <f t="shared" si="63"/>
        <v>1487906.6212895242</v>
      </c>
      <c r="Q198" s="298">
        <f t="shared" si="63"/>
        <v>1512906.6212895242</v>
      </c>
      <c r="R198" s="298">
        <f t="shared" si="63"/>
        <v>1537906.6212895242</v>
      </c>
      <c r="S198" s="298">
        <f t="shared" si="63"/>
        <v>1562906.6212895242</v>
      </c>
      <c r="T198" s="298">
        <f t="shared" si="63"/>
        <v>1587906.6212895242</v>
      </c>
      <c r="U198" s="298">
        <f t="shared" si="63"/>
        <v>1612906.6212895242</v>
      </c>
      <c r="V198" s="298">
        <f t="shared" si="63"/>
        <v>1637906.6212895242</v>
      </c>
      <c r="W198" s="298">
        <f t="shared" si="63"/>
        <v>976690.21690823347</v>
      </c>
      <c r="X198" s="298">
        <f t="shared" si="63"/>
        <v>1001690.2169082335</v>
      </c>
      <c r="Y198" s="298">
        <f t="shared" si="63"/>
        <v>1026690.2169082335</v>
      </c>
      <c r="Z198" s="298">
        <f t="shared" si="63"/>
        <v>1051690.2169082335</v>
      </c>
      <c r="AA198" s="298">
        <f t="shared" si="63"/>
        <v>500000</v>
      </c>
      <c r="AB198" s="298">
        <f t="shared" si="63"/>
        <v>0</v>
      </c>
      <c r="AC198" s="298">
        <f t="shared" si="63"/>
        <v>0</v>
      </c>
      <c r="AD198" s="298">
        <f t="shared" si="63"/>
        <v>0</v>
      </c>
      <c r="AE198" s="298">
        <f t="shared" si="63"/>
        <v>0</v>
      </c>
      <c r="AF198" s="298">
        <f t="shared" si="63"/>
        <v>0</v>
      </c>
      <c r="AG198" s="298">
        <f t="shared" si="63"/>
        <v>0</v>
      </c>
      <c r="AH198" s="298">
        <f t="shared" si="63"/>
        <v>0</v>
      </c>
      <c r="AI198" s="298">
        <f t="shared" si="63"/>
        <v>0</v>
      </c>
      <c r="AJ198" s="298">
        <f t="shared" si="63"/>
        <v>0</v>
      </c>
    </row>
    <row r="199" spans="2:36" ht="15.75">
      <c r="B199" s="280" t="s">
        <v>39</v>
      </c>
      <c r="C199" s="280"/>
      <c r="D199" s="280"/>
      <c r="E199" s="305"/>
      <c r="F199" s="298">
        <f>Inputs!$Q$62</f>
        <v>686216.40438129078</v>
      </c>
      <c r="G199" s="298">
        <f>IF(G$2=Inputs!$G$48+1,-$F$199,0)</f>
        <v>0</v>
      </c>
      <c r="H199" s="298">
        <f>IF(H$2=Inputs!$G$48+1,-$F$199,0)</f>
        <v>0</v>
      </c>
      <c r="I199" s="298">
        <f>IF(I$2=Inputs!$G$48+1,-$F$199,0)</f>
        <v>0</v>
      </c>
      <c r="J199" s="298">
        <f>IF(J$2=Inputs!$G$48+1,-$F$199,0)</f>
        <v>0</v>
      </c>
      <c r="K199" s="298">
        <f>IF(K$2=Inputs!$G$48+1,-$F$199,0)</f>
        <v>0</v>
      </c>
      <c r="L199" s="298">
        <f>IF(L$2=Inputs!$G$48+1,-$F$199,0)</f>
        <v>0</v>
      </c>
      <c r="M199" s="298">
        <f>IF(M$2=Inputs!$G$48+1,-$F$199,0)</f>
        <v>0</v>
      </c>
      <c r="N199" s="298">
        <f>IF(N$2=Inputs!$G$48+1,-$F$199,0)</f>
        <v>0</v>
      </c>
      <c r="O199" s="298">
        <f>IF(O$2=Inputs!$G$48+1,-$F$199,0)</f>
        <v>0</v>
      </c>
      <c r="P199" s="298">
        <f>IF(P$2=Inputs!$G$48+1,-$F$199,0)</f>
        <v>0</v>
      </c>
      <c r="Q199" s="298">
        <f>IF(Q$2=Inputs!$G$48+1,-$F$199,0)</f>
        <v>0</v>
      </c>
      <c r="R199" s="298">
        <f>IF(R$2=Inputs!$G$48+1,-$F$199,0)</f>
        <v>0</v>
      </c>
      <c r="S199" s="298">
        <f>IF(S$2=Inputs!$G$48+1,-$F$199,0)</f>
        <v>0</v>
      </c>
      <c r="T199" s="298">
        <f>IF(T$2=Inputs!$G$48+1,-$F$199,0)</f>
        <v>0</v>
      </c>
      <c r="U199" s="298">
        <f>IF(U$2=Inputs!$G$48+1,-$F$199,0)</f>
        <v>0</v>
      </c>
      <c r="V199" s="298">
        <f>IF(V$2=Inputs!$G$48+1,-$F$199,0)</f>
        <v>-686216.40438129078</v>
      </c>
      <c r="W199" s="298">
        <f>IF(W$2=Inputs!$G$48+1,-$F$199,0)</f>
        <v>0</v>
      </c>
      <c r="X199" s="298">
        <f>IF(X$2=Inputs!$G$48+1,-$F$199,0)</f>
        <v>0</v>
      </c>
      <c r="Y199" s="298">
        <f>IF(Y$2=Inputs!$G$48+1,-$F$199,0)</f>
        <v>0</v>
      </c>
      <c r="Z199" s="298">
        <f>IF(Z$2=Inputs!$G$48+1,-$F$199,0)</f>
        <v>0</v>
      </c>
      <c r="AA199" s="298">
        <f>IF(AA$2=Inputs!$G$48+1,-$F$199,0)</f>
        <v>0</v>
      </c>
      <c r="AB199" s="298">
        <f>IF(AB$2=Inputs!$G$48+1,-$F$199,0)</f>
        <v>0</v>
      </c>
      <c r="AC199" s="298">
        <f>IF(AC$2=Inputs!$G$48+1,-$F$199,0)</f>
        <v>0</v>
      </c>
      <c r="AD199" s="298">
        <f>IF(AD$2=Inputs!$G$48+1,-$F$199,0)</f>
        <v>0</v>
      </c>
      <c r="AE199" s="298">
        <f>IF(AE$2=Inputs!$G$48+1,-$F$199,0)</f>
        <v>0</v>
      </c>
      <c r="AF199" s="298">
        <f>IF(AF$2=Inputs!$G$48+1,-$F$199,0)</f>
        <v>0</v>
      </c>
      <c r="AG199" s="298">
        <f>IF(AG$2=Inputs!$G$48+1,-$F$199,0)</f>
        <v>0</v>
      </c>
      <c r="AH199" s="298">
        <f>IF(AH$2=Inputs!$G$48+1,-$F$199,0)</f>
        <v>0</v>
      </c>
      <c r="AI199" s="298">
        <f>IF(AI$2=Inputs!$G$48+1,-$F$199,0)</f>
        <v>0</v>
      </c>
      <c r="AJ199" s="298">
        <f>IF(AJ$2=Inputs!$G$48+1,-$F$199,0)</f>
        <v>0</v>
      </c>
    </row>
    <row r="200" spans="2:36" ht="15.75">
      <c r="B200" s="280" t="s">
        <v>196</v>
      </c>
      <c r="C200" s="280"/>
      <c r="D200" s="280"/>
      <c r="E200" s="305"/>
      <c r="F200" s="298">
        <f>Inputs!$Q$65</f>
        <v>576690.21690823347</v>
      </c>
      <c r="G200" s="298">
        <f>IF(G$2=Inputs!$G$11,-$F$200,0)</f>
        <v>0</v>
      </c>
      <c r="H200" s="298">
        <f>IF(H$2=Inputs!$G$11,-$F$200,0)</f>
        <v>0</v>
      </c>
      <c r="I200" s="298">
        <f>IF(I$2=Inputs!$G$11,-$F$200,0)</f>
        <v>0</v>
      </c>
      <c r="J200" s="298">
        <f>IF(J$2=Inputs!$G$11,-$F$200,0)</f>
        <v>0</v>
      </c>
      <c r="K200" s="298">
        <f>IF(K$2=Inputs!$G$11,-$F$200,0)</f>
        <v>0</v>
      </c>
      <c r="L200" s="298">
        <f>IF(L$2=Inputs!$G$11,-$F$200,0)</f>
        <v>0</v>
      </c>
      <c r="M200" s="298">
        <f>IF(M$2=Inputs!$G$11,-$F$200,0)</f>
        <v>0</v>
      </c>
      <c r="N200" s="298">
        <f>IF(N$2=Inputs!$G$11,-$F$200,0)</f>
        <v>0</v>
      </c>
      <c r="O200" s="298">
        <f>IF(O$2=Inputs!$G$11,-$F$200,0)</f>
        <v>0</v>
      </c>
      <c r="P200" s="298">
        <f>IF(P$2=Inputs!$G$11,-$F$200,0)</f>
        <v>0</v>
      </c>
      <c r="Q200" s="298">
        <f>IF(Q$2=Inputs!$G$11,-$F$200,0)</f>
        <v>0</v>
      </c>
      <c r="R200" s="298">
        <f>IF(R$2=Inputs!$G$11,-$F$200,0)</f>
        <v>0</v>
      </c>
      <c r="S200" s="298">
        <f>IF(S$2=Inputs!$G$11,-$F$200,0)</f>
        <v>0</v>
      </c>
      <c r="T200" s="298">
        <f>IF(T$2=Inputs!$G$11,-$F$200,0)</f>
        <v>0</v>
      </c>
      <c r="U200" s="298">
        <f>IF(U$2=Inputs!$G$11,-$F$200,0)</f>
        <v>0</v>
      </c>
      <c r="V200" s="298">
        <f>IF(V$2=Inputs!$G$11,-$F$200,0)</f>
        <v>0</v>
      </c>
      <c r="W200" s="298">
        <f>IF(W$2=Inputs!$G$11,-$F$200,0)</f>
        <v>0</v>
      </c>
      <c r="X200" s="298">
        <f>IF(X$2=Inputs!$G$11,-$F$200,0)</f>
        <v>0</v>
      </c>
      <c r="Y200" s="298">
        <f>IF(Y$2=Inputs!$G$11,-$F$200,0)</f>
        <v>0</v>
      </c>
      <c r="Z200" s="298">
        <f>IF(Z$2=Inputs!$G$11,-$F$200,0)</f>
        <v>-576690.21690823347</v>
      </c>
      <c r="AA200" s="298">
        <f>IF(AA$2=Inputs!$G$11,-$F$200,0)</f>
        <v>0</v>
      </c>
      <c r="AB200" s="298">
        <f>IF(AB$2=Inputs!$G$11,-$F$200,0)</f>
        <v>0</v>
      </c>
      <c r="AC200" s="298">
        <f>IF(AC$2=Inputs!$G$11,-$F$200,0)</f>
        <v>0</v>
      </c>
      <c r="AD200" s="298">
        <f>IF(AD$2=Inputs!$G$11,-$F$200,0)</f>
        <v>0</v>
      </c>
      <c r="AE200" s="298">
        <f>IF(AE$2=Inputs!$G$11,-$F$200,0)</f>
        <v>0</v>
      </c>
      <c r="AF200" s="298">
        <f>IF(AF$2=Inputs!$G$11,-$F$200,0)</f>
        <v>0</v>
      </c>
      <c r="AG200" s="298">
        <f>IF(AG$2=Inputs!$G$11,-$F$200,0)</f>
        <v>0</v>
      </c>
      <c r="AH200" s="298">
        <f>IF(AH$2=Inputs!$G$11,-$F$200,0)</f>
        <v>0</v>
      </c>
      <c r="AI200" s="298">
        <f>IF(AI$2=Inputs!$G$11,-$F$200,0)</f>
        <v>0</v>
      </c>
      <c r="AJ200" s="298">
        <f>IF(AJ$2=Inputs!$G$11,-$F$200,0)</f>
        <v>0</v>
      </c>
    </row>
    <row r="201" spans="2:36" ht="15.75">
      <c r="B201" s="280" t="s">
        <v>396</v>
      </c>
      <c r="C201" s="280"/>
      <c r="D201" s="673" t="s">
        <v>400</v>
      </c>
      <c r="E201" s="674">
        <v>10</v>
      </c>
      <c r="F201" s="322">
        <v>0</v>
      </c>
      <c r="G201" s="298">
        <f>IF(AND(G$2&lt;Inputs!$Q$45,(G$2+$E$201)&gt;=Inputs!$Q$45),$E$129/MIN($E201,(Inputs!$Q$45-1)),IF(G$2=Inputs!$Q$45,-($E$129),0))</f>
        <v>0</v>
      </c>
      <c r="H201" s="298">
        <f>IF(AND(H$2&lt;Inputs!$Q$45,(H$2+$E$201)&gt;=Inputs!$Q$45),$E$129/MIN($E201,(Inputs!$Q$45-1)),IF(H$2=Inputs!$Q$45,-($E$129),0))</f>
        <v>0</v>
      </c>
      <c r="I201" s="298">
        <f>IF(AND(I$2&lt;Inputs!$Q$45,(I$2+$E$201)&gt;=Inputs!$Q$45),$E$129/MIN($E201,(Inputs!$Q$45-1)),IF(I$2=Inputs!$Q$45,-($E$129),0))</f>
        <v>0</v>
      </c>
      <c r="J201" s="298">
        <f>IF(AND(J$2&lt;Inputs!$Q$45,(J$2+$E$201)&gt;=Inputs!$Q$45),$E$129/MIN($E201,(Inputs!$Q$45-1)),IF(J$2=Inputs!$Q$45,-($E$129),0))</f>
        <v>0</v>
      </c>
      <c r="K201" s="298">
        <f>IF(AND(K$2&lt;Inputs!$Q$45,(K$2+$E$201)&gt;=Inputs!$Q$45),$E$129/MIN($E201,(Inputs!$Q$45-1)),IF(K$2=Inputs!$Q$45,-($E$129),0))</f>
        <v>0</v>
      </c>
      <c r="L201" s="298">
        <f>IF(AND(L$2&lt;Inputs!$Q$45,(L$2+$E$201)&gt;=Inputs!$Q$45),$E$129/MIN($E201,(Inputs!$Q$45-1)),IF(L$2=Inputs!$Q$45,-($E$129),0))</f>
        <v>0</v>
      </c>
      <c r="M201" s="298">
        <f>IF(AND(M$2&lt;Inputs!$Q$45,(M$2+$E$201)&gt;=Inputs!$Q$45),$E$129/MIN($E201,(Inputs!$Q$45-1)),IF(M$2=Inputs!$Q$45,-($E$129),0))</f>
        <v>0</v>
      </c>
      <c r="N201" s="298">
        <f>IF(AND(N$2&lt;Inputs!$Q$45,(N$2+$E$201)&gt;=Inputs!$Q$45),$E$129/MIN($E201,(Inputs!$Q$45-1)),IF(N$2=Inputs!$Q$45,-($E$129),0))</f>
        <v>0</v>
      </c>
      <c r="O201" s="298">
        <f>IF(AND(O$2&lt;Inputs!$Q$45,(O$2+$E$201)&gt;=Inputs!$Q$45),$E$129/MIN($E201,(Inputs!$Q$45-1)),IF(O$2=Inputs!$Q$45,-($E$129),0))</f>
        <v>0</v>
      </c>
      <c r="P201" s="298">
        <f>IF(AND(P$2&lt;Inputs!$Q$45,(P$2+$E$201)&gt;=Inputs!$Q$45),$E$129/MIN($E201,(Inputs!$Q$45-1)),IF(P$2=Inputs!$Q$45,-($E$129),0))</f>
        <v>0</v>
      </c>
      <c r="Q201" s="298">
        <f>IF(AND(Q$2&lt;Inputs!$Q$45,(Q$2+$E$201)&gt;=Inputs!$Q$45),$E$129/MIN($E201,(Inputs!$Q$45-1)),IF(Q$2=Inputs!$Q$45,-($E$129),0))</f>
        <v>0</v>
      </c>
      <c r="R201" s="298">
        <f>IF(AND(R$2&lt;Inputs!$Q$45,(R$2+$E$201)&gt;=Inputs!$Q$45),$E$129/MIN($E201,(Inputs!$Q$45-1)),IF(R$2=Inputs!$Q$45,-($E$129),0))</f>
        <v>0</v>
      </c>
      <c r="S201" s="298">
        <f>IF(AND(S$2&lt;Inputs!$Q$45,(S$2+$E$201)&gt;=Inputs!$Q$45),$E$129/MIN($E201,(Inputs!$Q$45-1)),IF(S$2=Inputs!$Q$45,-($E$129),0))</f>
        <v>0</v>
      </c>
      <c r="T201" s="298">
        <f>IF(AND(T$2&lt;Inputs!$Q$45,(T$2+$E$201)&gt;=Inputs!$Q$45),$E$129/MIN($E201,(Inputs!$Q$45-1)),IF(T$2=Inputs!$Q$45,-($E$129),0))</f>
        <v>0</v>
      </c>
      <c r="U201" s="298">
        <f>IF(AND(U$2&lt;Inputs!$Q$45,(U$2+$E$201)&gt;=Inputs!$Q$45),$E$129/MIN($E201,(Inputs!$Q$45-1)),IF(U$2=Inputs!$Q$45,-($E$129),0))</f>
        <v>0</v>
      </c>
      <c r="V201" s="298">
        <f>IF(AND(V$2&lt;Inputs!$Q$45,(V$2+$E$201)&gt;=Inputs!$Q$45),$E$129/MIN($E201,(Inputs!$Q$45-1)),IF(V$2=Inputs!$Q$45,-($E$129),0))</f>
        <v>0</v>
      </c>
      <c r="W201" s="298">
        <f>IF(AND(W$2&lt;Inputs!$Q$45,(W$2+$E$201)&gt;=Inputs!$Q$45),$E$129/MIN($E201,(Inputs!$Q$45-1)),IF(W$2=Inputs!$Q$45,-($E$129),0))</f>
        <v>0</v>
      </c>
      <c r="X201" s="298">
        <f>IF(AND(X$2&lt;Inputs!$Q$45,(X$2+$E$201)&gt;=Inputs!$Q$45),$E$129/MIN($E201,(Inputs!$Q$45-1)),IF(X$2=Inputs!$Q$45,-($E$129),0))</f>
        <v>0</v>
      </c>
      <c r="Y201" s="298">
        <f>IF(AND(Y$2&lt;Inputs!$Q$45,(Y$2+$E$201)&gt;=Inputs!$Q$45),$E$129/MIN($E201,(Inputs!$Q$45-1)),IF(Y$2=Inputs!$Q$45,-($E$129),0))</f>
        <v>0</v>
      </c>
      <c r="Z201" s="298">
        <f>IF(AND(Z$2&lt;Inputs!$Q$45,(Z$2+$E$201)&gt;=Inputs!$Q$45),$E$129/MIN($E201,(Inputs!$Q$45-1)),IF(Z$2=Inputs!$Q$45,-($E$129),0))</f>
        <v>0</v>
      </c>
      <c r="AA201" s="298">
        <f>IF(AND(AA$2&lt;Inputs!$Q$45,(AA$2+$E$201)&gt;=Inputs!$Q$45),$E$129/MIN($E201,(Inputs!$Q$45-1)),IF(AA$2=Inputs!$Q$45,-($E$129),0))</f>
        <v>0</v>
      </c>
      <c r="AB201" s="298">
        <f>IF(AND(AB$2&lt;Inputs!$Q$45,(AB$2+$E$201)&gt;=Inputs!$Q$45),$E$129/MIN($E201,(Inputs!$Q$45-1)),IF(AB$2=Inputs!$Q$45,-($E$129),0))</f>
        <v>0</v>
      </c>
      <c r="AC201" s="298">
        <f>IF(AND(AC$2&lt;Inputs!$Q$45,(AC$2+$E$201)&gt;=Inputs!$Q$45),$E$129/MIN($E201,(Inputs!$Q$45-1)),IF(AC$2=Inputs!$Q$45,-($E$129),0))</f>
        <v>0</v>
      </c>
      <c r="AD201" s="298">
        <f>IF(AND(AD$2&lt;Inputs!$Q$45,(AD$2+$E$201)&gt;=Inputs!$Q$45),$E$129/MIN($E201,(Inputs!$Q$45-1)),IF(AD$2=Inputs!$Q$45,-($E$129),0))</f>
        <v>0</v>
      </c>
      <c r="AE201" s="298">
        <f>IF(AND(AE$2&lt;Inputs!$Q$45,(AE$2+$E$201)&gt;=Inputs!$Q$45),$E$129/MIN($E201,(Inputs!$Q$45-1)),IF(AE$2=Inputs!$Q$45,-($E$129),0))</f>
        <v>0</v>
      </c>
      <c r="AF201" s="298">
        <f>IF(AND(AF$2&lt;Inputs!$Q$45,(AF$2+$E$201)&gt;=Inputs!$Q$45),$E$129/MIN($E201,(Inputs!$Q$45-1)),IF(AF$2=Inputs!$Q$45,-($E$129),0))</f>
        <v>0</v>
      </c>
      <c r="AG201" s="298">
        <f>IF(AND(AG$2&lt;Inputs!$Q$45,(AG$2+$E$201)&gt;=Inputs!$Q$45),$E$129/MIN($E201,(Inputs!$Q$45-1)),IF(AG$2=Inputs!$Q$45,-($E$129),0))</f>
        <v>0</v>
      </c>
      <c r="AH201" s="298">
        <f>IF(AND(AH$2&lt;Inputs!$Q$45,(AH$2+$E$201)&gt;=Inputs!$Q$45),$E$129/MIN($E201,(Inputs!$Q$45-1)),IF(AH$2=Inputs!$Q$45,-($E$129),0))</f>
        <v>0</v>
      </c>
      <c r="AI201" s="298">
        <f>IF(AND(AI$2&lt;Inputs!$Q$45,(AI$2+$E$201)&gt;=Inputs!$Q$45),$E$129/MIN($E201,(Inputs!$Q$45-1)),IF(AI$2=Inputs!$Q$45,-($E$129),0))</f>
        <v>0</v>
      </c>
      <c r="AJ201" s="298">
        <f>IF(AND(AJ$2&lt;Inputs!$Q$45,(AJ$2+$E$201)&gt;=Inputs!$Q$45),$E$129/MIN($E201,(Inputs!$Q$45-1)),IF(AJ$2=Inputs!$Q$45,-($E$129),0))</f>
        <v>0</v>
      </c>
    </row>
    <row r="202" spans="2:36" ht="15.75">
      <c r="B202" s="280" t="s">
        <v>397</v>
      </c>
      <c r="C202" s="280"/>
      <c r="D202" s="673" t="s">
        <v>400</v>
      </c>
      <c r="E202" s="674">
        <v>10</v>
      </c>
      <c r="F202" s="322">
        <v>0</v>
      </c>
      <c r="G202" s="298">
        <f>IF(AND(G$2&lt;Inputs!$Q$47,(G$2+$E$202)&gt;=Inputs!$Q$47),$E$132/MIN($E202,(Inputs!$Q$47-1)),IF(G$2=Inputs!$Q$47,-($E$132),0))</f>
        <v>0</v>
      </c>
      <c r="H202" s="298">
        <f>IF(AND(H$2&lt;Inputs!$Q$47,(H$2+$E$202)&gt;=Inputs!$Q$47),$E$132/MIN($E202,(Inputs!$Q$47-1)),IF(H$2=Inputs!$Q$47,-($E$132),0))</f>
        <v>0</v>
      </c>
      <c r="I202" s="298">
        <f>IF(AND(I$2&lt;Inputs!$Q$47,(I$2+$E$202)&gt;=Inputs!$Q$47),$E$132/MIN($E202,(Inputs!$Q$47-1)),IF(I$2=Inputs!$Q$47,-($E$132),0))</f>
        <v>0</v>
      </c>
      <c r="J202" s="298">
        <f>IF(AND(J$2&lt;Inputs!$Q$47,(J$2+$E$202)&gt;=Inputs!$Q$47),$E$132/MIN($E202,(Inputs!$Q$47-1)),IF(J$2=Inputs!$Q$47,-($E$132),0))</f>
        <v>0</v>
      </c>
      <c r="K202" s="298">
        <f>IF(AND(K$2&lt;Inputs!$Q$47,(K$2+$E$202)&gt;=Inputs!$Q$47),$E$132/MIN($E202,(Inputs!$Q$47-1)),IF(K$2=Inputs!$Q$47,-($E$132),0))</f>
        <v>0</v>
      </c>
      <c r="L202" s="298">
        <f>IF(AND(L$2&lt;Inputs!$Q$47,(L$2+$E$202)&gt;=Inputs!$Q$47),$E$132/MIN($E202,(Inputs!$Q$47-1)),IF(L$2=Inputs!$Q$47,-($E$132),0))</f>
        <v>0</v>
      </c>
      <c r="M202" s="298">
        <f>IF(AND(M$2&lt;Inputs!$Q$47,(M$2+$E$202)&gt;=Inputs!$Q$47),$E$132/MIN($E202,(Inputs!$Q$47-1)),IF(M$2=Inputs!$Q$47,-($E$132),0))</f>
        <v>0</v>
      </c>
      <c r="N202" s="298">
        <f>IF(AND(N$2&lt;Inputs!$Q$47,(N$2+$E$202)&gt;=Inputs!$Q$47),$E$132/MIN($E202,(Inputs!$Q$47-1)),IF(N$2=Inputs!$Q$47,-($E$132),0))</f>
        <v>0</v>
      </c>
      <c r="O202" s="298">
        <f>IF(AND(O$2&lt;Inputs!$Q$47,(O$2+$E$202)&gt;=Inputs!$Q$47),$E$132/MIN($E202,(Inputs!$Q$47-1)),IF(O$2=Inputs!$Q$47,-($E$132),0))</f>
        <v>0</v>
      </c>
      <c r="P202" s="298">
        <f>IF(AND(P$2&lt;Inputs!$Q$47,(P$2+$E$202)&gt;=Inputs!$Q$47),$E$132/MIN($E202,(Inputs!$Q$47-1)),IF(P$2=Inputs!$Q$47,-($E$132),0))</f>
        <v>0</v>
      </c>
      <c r="Q202" s="298">
        <f>IF(AND(Q$2&lt;Inputs!$Q$47,(Q$2+$E$202)&gt;=Inputs!$Q$47),$E$132/MIN($E202,(Inputs!$Q$47-1)),IF(Q$2=Inputs!$Q$47,-($E$132),0))</f>
        <v>0</v>
      </c>
      <c r="R202" s="298">
        <f>IF(AND(R$2&lt;Inputs!$Q$47,(R$2+$E$202)&gt;=Inputs!$Q$47),$E$132/MIN($E202,(Inputs!$Q$47-1)),IF(R$2=Inputs!$Q$47,-($E$132),0))</f>
        <v>0</v>
      </c>
      <c r="S202" s="298">
        <f>IF(AND(S$2&lt;Inputs!$Q$47,(S$2+$E$202)&gt;=Inputs!$Q$47),$E$132/MIN($E202,(Inputs!$Q$47-1)),IF(S$2=Inputs!$Q$47,-($E$132),0))</f>
        <v>0</v>
      </c>
      <c r="T202" s="298">
        <f>IF(AND(T$2&lt;Inputs!$Q$47,(T$2+$E$202)&gt;=Inputs!$Q$47),$E$132/MIN($E202,(Inputs!$Q$47-1)),IF(T$2=Inputs!$Q$47,-($E$132),0))</f>
        <v>0</v>
      </c>
      <c r="U202" s="298">
        <f>IF(AND(U$2&lt;Inputs!$Q$47,(U$2+$E$202)&gt;=Inputs!$Q$47),$E$132/MIN($E202,(Inputs!$Q$47-1)),IF(U$2=Inputs!$Q$47,-($E$132),0))</f>
        <v>0</v>
      </c>
      <c r="V202" s="298">
        <f>IF(AND(V$2&lt;Inputs!$Q$47,(V$2+$E$202)&gt;=Inputs!$Q$47),$E$132/MIN($E202,(Inputs!$Q$47-1)),IF(V$2=Inputs!$Q$47,-($E$132),0))</f>
        <v>0</v>
      </c>
      <c r="W202" s="298">
        <f>IF(AND(W$2&lt;Inputs!$Q$47,(W$2+$E$202)&gt;=Inputs!$Q$47),$E$132/MIN($E202,(Inputs!$Q$47-1)),IF(W$2=Inputs!$Q$47,-($E$132),0))</f>
        <v>0</v>
      </c>
      <c r="X202" s="298">
        <f>IF(AND(X$2&lt;Inputs!$Q$47,(X$2+$E$202)&gt;=Inputs!$Q$47),$E$132/MIN($E202,(Inputs!$Q$47-1)),IF(X$2=Inputs!$Q$47,-($E$132),0))</f>
        <v>0</v>
      </c>
      <c r="Y202" s="298">
        <f>IF(AND(Y$2&lt;Inputs!$Q$47,(Y$2+$E$202)&gt;=Inputs!$Q$47),$E$132/MIN($E202,(Inputs!$Q$47-1)),IF(Y$2=Inputs!$Q$47,-($E$132),0))</f>
        <v>0</v>
      </c>
      <c r="Z202" s="298">
        <f>IF(AND(Z$2&lt;Inputs!$Q$47,(Z$2+$E$202)&gt;=Inputs!$Q$47),$E$132/MIN($E202,(Inputs!$Q$47-1)),IF(Z$2=Inputs!$Q$47,-($E$132),0))</f>
        <v>0</v>
      </c>
      <c r="AA202" s="298">
        <f>IF(AND(AA$2&lt;Inputs!$Q$47,(AA$2+$E$202)&gt;=Inputs!$Q$47),$E$132/MIN($E202,(Inputs!$Q$47-1)),IF(AA$2=Inputs!$Q$47,-($E$132),0))</f>
        <v>0</v>
      </c>
      <c r="AB202" s="298">
        <f>IF(AND(AB$2&lt;Inputs!$Q$47,(AB$2+$E$202)&gt;=Inputs!$Q$47),$E$132/MIN($E202,(Inputs!$Q$47-1)),IF(AB$2=Inputs!$Q$47,-($E$132),0))</f>
        <v>0</v>
      </c>
      <c r="AC202" s="298">
        <f>IF(AND(AC$2&lt;Inputs!$Q$47,(AC$2+$E$202)&gt;=Inputs!$Q$47),$E$132/MIN($E202,(Inputs!$Q$47-1)),IF(AC$2=Inputs!$Q$47,-($E$132),0))</f>
        <v>0</v>
      </c>
      <c r="AD202" s="298">
        <f>IF(AND(AD$2&lt;Inputs!$Q$47,(AD$2+$E$202)&gt;=Inputs!$Q$47),$E$132/MIN($E202,(Inputs!$Q$47-1)),IF(AD$2=Inputs!$Q$47,-($E$132),0))</f>
        <v>0</v>
      </c>
      <c r="AE202" s="298">
        <f>IF(AND(AE$2&lt;Inputs!$Q$47,(AE$2+$E$202)&gt;=Inputs!$Q$47),$E$132/MIN($E202,(Inputs!$Q$47-1)),IF(AE$2=Inputs!$Q$47,-($E$132),0))</f>
        <v>0</v>
      </c>
      <c r="AF202" s="298">
        <f>IF(AND(AF$2&lt;Inputs!$Q$47,(AF$2+$E$202)&gt;=Inputs!$Q$47),$E$132/MIN($E202,(Inputs!$Q$47-1)),IF(AF$2=Inputs!$Q$47,-($E$132),0))</f>
        <v>0</v>
      </c>
      <c r="AG202" s="298">
        <f>IF(AND(AG$2&lt;Inputs!$Q$47,(AG$2+$E$202)&gt;=Inputs!$Q$47),$E$132/MIN($E202,(Inputs!$Q$47-1)),IF(AG$2=Inputs!$Q$47,-($E$132),0))</f>
        <v>0</v>
      </c>
      <c r="AH202" s="298">
        <f>IF(AND(AH$2&lt;Inputs!$Q$47,(AH$2+$E$202)&gt;=Inputs!$Q$47),$E$132/MIN($E202,(Inputs!$Q$47-1)),IF(AH$2=Inputs!$Q$47,-($E$132),0))</f>
        <v>0</v>
      </c>
      <c r="AI202" s="298">
        <f>IF(AND(AI$2&lt;Inputs!$Q$47,(AI$2+$E$202)&gt;=Inputs!$Q$47),$E$132/MIN($E202,(Inputs!$Q$47-1)),IF(AI$2=Inputs!$Q$47,-($E$132),0))</f>
        <v>0</v>
      </c>
      <c r="AJ202" s="298">
        <f>IF(AND(AJ$2&lt;Inputs!$Q$47,(AJ$2+$E$202)&gt;=Inputs!$Q$47),$E$132/MIN($E202,(Inputs!$Q$47-1)),IF(AJ$2=Inputs!$Q$47,-($E$132),0))</f>
        <v>0</v>
      </c>
    </row>
    <row r="203" spans="2:36" ht="15.75">
      <c r="B203" s="280" t="s">
        <v>398</v>
      </c>
      <c r="C203" s="280"/>
      <c r="D203" s="673" t="s">
        <v>400</v>
      </c>
      <c r="E203" s="674">
        <v>10</v>
      </c>
      <c r="F203" s="322">
        <v>0</v>
      </c>
      <c r="G203" s="298">
        <f>IF(AND(G$2&lt;Inputs!$Q$49,(G$2+$E$203)&gt;=Inputs!$Q$49),$E$135/MIN($E203,(Inputs!$Q$49-1)),IF(G$2=Inputs!$Q$49,-($E$135),0))</f>
        <v>0</v>
      </c>
      <c r="H203" s="298">
        <f>IF(AND(H$2&lt;Inputs!$Q$49,(H$2+$E$203)&gt;=Inputs!$Q$49),$E$135/MIN($E203,(Inputs!$Q$49-1)),IF(H$2=Inputs!$Q$49,-($E$135),0))</f>
        <v>0</v>
      </c>
      <c r="I203" s="298">
        <f>IF(AND(I$2&lt;Inputs!$Q$49,(I$2+$E$203)&gt;=Inputs!$Q$49),$E$135/MIN($E203,(Inputs!$Q$49-1)),IF(I$2=Inputs!$Q$49,-($E$135),0))</f>
        <v>0</v>
      </c>
      <c r="J203" s="298">
        <f>IF(AND(J$2&lt;Inputs!$Q$49,(J$2+$E$203)&gt;=Inputs!$Q$49),$E$135/MIN($E203,(Inputs!$Q$49-1)),IF(J$2=Inputs!$Q$49,-($E$135),0))</f>
        <v>0</v>
      </c>
      <c r="K203" s="298">
        <f>IF(AND(K$2&lt;Inputs!$Q$49,(K$2+$E$203)&gt;=Inputs!$Q$49),$E$135/MIN($E203,(Inputs!$Q$49-1)),IF(K$2=Inputs!$Q$49,-($E$135),0))</f>
        <v>0</v>
      </c>
      <c r="L203" s="298">
        <f>IF(AND(L$2&lt;Inputs!$Q$49,(L$2+$E$203)&gt;=Inputs!$Q$49),$E$135/MIN($E203,(Inputs!$Q$49-1)),IF(L$2=Inputs!$Q$49,-($E$135),0))</f>
        <v>0</v>
      </c>
      <c r="M203" s="298">
        <f>IF(AND(M$2&lt;Inputs!$Q$49,(M$2+$E$203)&gt;=Inputs!$Q$49),$E$135/MIN($E203,(Inputs!$Q$49-1)),IF(M$2=Inputs!$Q$49,-($E$135),0))</f>
        <v>0</v>
      </c>
      <c r="N203" s="298">
        <f>IF(AND(N$2&lt;Inputs!$Q$49,(N$2+$E$203)&gt;=Inputs!$Q$49),$E$135/MIN($E203,(Inputs!$Q$49-1)),IF(N$2=Inputs!$Q$49,-($E$135),0))</f>
        <v>0</v>
      </c>
      <c r="O203" s="298">
        <f>IF(AND(O$2&lt;Inputs!$Q$49,(O$2+$E$203)&gt;=Inputs!$Q$49),$E$135/MIN($E203,(Inputs!$Q$49-1)),IF(O$2=Inputs!$Q$49,-($E$135),0))</f>
        <v>0</v>
      </c>
      <c r="P203" s="298">
        <f>IF(AND(P$2&lt;Inputs!$Q$49,(P$2+$E$203)&gt;=Inputs!$Q$49),$E$135/MIN($E203,(Inputs!$Q$49-1)),IF(P$2=Inputs!$Q$49,-($E$135),0))</f>
        <v>0</v>
      </c>
      <c r="Q203" s="298">
        <f>IF(AND(Q$2&lt;Inputs!$Q$49,(Q$2+$E$203)&gt;=Inputs!$Q$49),$E$135/MIN($E203,(Inputs!$Q$49-1)),IF(Q$2=Inputs!$Q$49,-($E$135),0))</f>
        <v>0</v>
      </c>
      <c r="R203" s="298">
        <f>IF(AND(R$2&lt;Inputs!$Q$49,(R$2+$E$203)&gt;=Inputs!$Q$49),$E$135/MIN($E203,(Inputs!$Q$49-1)),IF(R$2=Inputs!$Q$49,-($E$135),0))</f>
        <v>0</v>
      </c>
      <c r="S203" s="298">
        <f>IF(AND(S$2&lt;Inputs!$Q$49,(S$2+$E$203)&gt;=Inputs!$Q$49),$E$135/MIN($E203,(Inputs!$Q$49-1)),IF(S$2=Inputs!$Q$49,-($E$135),0))</f>
        <v>0</v>
      </c>
      <c r="T203" s="298">
        <f>IF(AND(T$2&lt;Inputs!$Q$49,(T$2+$E$203)&gt;=Inputs!$Q$49),$E$135/MIN($E203,(Inputs!$Q$49-1)),IF(T$2=Inputs!$Q$49,-($E$135),0))</f>
        <v>0</v>
      </c>
      <c r="U203" s="298">
        <f>IF(AND(U$2&lt;Inputs!$Q$49,(U$2+$E$203)&gt;=Inputs!$Q$49),$E$135/MIN($E203,(Inputs!$Q$49-1)),IF(U$2=Inputs!$Q$49,-($E$135),0))</f>
        <v>0</v>
      </c>
      <c r="V203" s="298">
        <f>IF(AND(V$2&lt;Inputs!$Q$49,(V$2+$E$203)&gt;=Inputs!$Q$49),$E$135/MIN($E203,(Inputs!$Q$49-1)),IF(V$2=Inputs!$Q$49,-($E$135),0))</f>
        <v>0</v>
      </c>
      <c r="W203" s="298">
        <f>IF(AND(W$2&lt;Inputs!$Q$49,(W$2+$E$203)&gt;=Inputs!$Q$49),$E$135/MIN($E203,(Inputs!$Q$49-1)),IF(W$2=Inputs!$Q$49,-($E$135),0))</f>
        <v>0</v>
      </c>
      <c r="X203" s="298">
        <f>IF(AND(X$2&lt;Inputs!$Q$49,(X$2+$E$203)&gt;=Inputs!$Q$49),$E$135/MIN($E203,(Inputs!$Q$49-1)),IF(X$2=Inputs!$Q$49,-($E$135),0))</f>
        <v>0</v>
      </c>
      <c r="Y203" s="298">
        <f>IF(AND(Y$2&lt;Inputs!$Q$49,(Y$2+$E$203)&gt;=Inputs!$Q$49),$E$135/MIN($E203,(Inputs!$Q$49-1)),IF(Y$2=Inputs!$Q$49,-($E$135),0))</f>
        <v>0</v>
      </c>
      <c r="Z203" s="298">
        <f>IF(AND(Z$2&lt;Inputs!$Q$49,(Z$2+$E$203)&gt;=Inputs!$Q$49),$E$135/MIN($E203,(Inputs!$Q$49-1)),IF(Z$2=Inputs!$Q$49,-($E$135),0))</f>
        <v>0</v>
      </c>
      <c r="AA203" s="298">
        <f>IF(AND(AA$2&lt;Inputs!$Q$49,(AA$2+$E$203)&gt;=Inputs!$Q$49),$E$135/MIN($E203,(Inputs!$Q$49-1)),IF(AA$2=Inputs!$Q$49,-($E$135),0))</f>
        <v>0</v>
      </c>
      <c r="AB203" s="298">
        <f>IF(AND(AB$2&lt;Inputs!$Q$49,(AB$2+$E$203)&gt;=Inputs!$Q$49),$E$135/MIN($E203,(Inputs!$Q$49-1)),IF(AB$2=Inputs!$Q$49,-($E$135),0))</f>
        <v>0</v>
      </c>
      <c r="AC203" s="298">
        <f>IF(AND(AC$2&lt;Inputs!$Q$49,(AC$2+$E$203)&gt;=Inputs!$Q$49),$E$135/MIN($E203,(Inputs!$Q$49-1)),IF(AC$2=Inputs!$Q$49,-($E$135),0))</f>
        <v>0</v>
      </c>
      <c r="AD203" s="298">
        <f>IF(AND(AD$2&lt;Inputs!$Q$49,(AD$2+$E$203)&gt;=Inputs!$Q$49),$E$135/MIN($E203,(Inputs!$Q$49-1)),IF(AD$2=Inputs!$Q$49,-($E$135),0))</f>
        <v>0</v>
      </c>
      <c r="AE203" s="298">
        <f>IF(AND(AE$2&lt;Inputs!$Q$49,(AE$2+$E$203)&gt;=Inputs!$Q$49),$E$135/MIN($E203,(Inputs!$Q$49-1)),IF(AE$2=Inputs!$Q$49,-($E$135),0))</f>
        <v>0</v>
      </c>
      <c r="AF203" s="298">
        <f>IF(AND(AF$2&lt;Inputs!$Q$49,(AF$2+$E$203)&gt;=Inputs!$Q$49),$E$135/MIN($E203,(Inputs!$Q$49-1)),IF(AF$2=Inputs!$Q$49,-($E$135),0))</f>
        <v>0</v>
      </c>
      <c r="AG203" s="298">
        <f>IF(AND(AG$2&lt;Inputs!$Q$49,(AG$2+$E$203)&gt;=Inputs!$Q$49),$E$135/MIN($E203,(Inputs!$Q$49-1)),IF(AG$2=Inputs!$Q$49,-($E$135),0))</f>
        <v>0</v>
      </c>
      <c r="AH203" s="298">
        <f>IF(AND(AH$2&lt;Inputs!$Q$49,(AH$2+$E$203)&gt;=Inputs!$Q$49),$E$135/MIN($E203,(Inputs!$Q$49-1)),IF(AH$2=Inputs!$Q$49,-($E$135),0))</f>
        <v>0</v>
      </c>
      <c r="AI203" s="298">
        <f>IF(AND(AI$2&lt;Inputs!$Q$49,(AI$2+$E$203)&gt;=Inputs!$Q$49),$E$135/MIN($E203,(Inputs!$Q$49-1)),IF(AI$2=Inputs!$Q$49,-($E$135),0))</f>
        <v>0</v>
      </c>
      <c r="AJ203" s="298">
        <f>IF(AND(AJ$2&lt;Inputs!$Q$49,(AJ$2+$E$203)&gt;=Inputs!$Q$49),$E$135/MIN($E203,(Inputs!$Q$49-1)),IF(AJ$2=Inputs!$Q$49,-($E$135),0))</f>
        <v>0</v>
      </c>
    </row>
    <row r="204" spans="2:36" ht="15.75">
      <c r="B204" s="280" t="s">
        <v>399</v>
      </c>
      <c r="C204" s="280"/>
      <c r="D204" s="673" t="s">
        <v>400</v>
      </c>
      <c r="E204" s="674">
        <v>10</v>
      </c>
      <c r="F204" s="322">
        <v>0</v>
      </c>
      <c r="G204" s="298">
        <f>IF(AND(G$2&lt;Inputs!$Q$51,(G$2+$E$204)&gt;=Inputs!$Q$51),$E$138/MIN($E204,(Inputs!$Q$51-1)),IF(G$2=Inputs!$Q$51,-($E$138),0))</f>
        <v>0</v>
      </c>
      <c r="H204" s="298">
        <f>IF(AND(H$2&lt;Inputs!$Q$51,(H$2+$E$204)&gt;=Inputs!$Q$51),$E$138/MIN($E204,(Inputs!$Q$51-1)),IF(H$2=Inputs!$Q$51,-($E$138),0))</f>
        <v>0</v>
      </c>
      <c r="I204" s="298">
        <f>IF(AND(I$2&lt;Inputs!$Q$51,(I$2+$E$204)&gt;=Inputs!$Q$51),$E$138/MIN($E204,(Inputs!$Q$51-1)),IF(I$2=Inputs!$Q$51,-($E$138),0))</f>
        <v>0</v>
      </c>
      <c r="J204" s="298">
        <f>IF(AND(J$2&lt;Inputs!$Q$51,(J$2+$E$204)&gt;=Inputs!$Q$51),$E$138/MIN($E204,(Inputs!$Q$51-1)),IF(J$2=Inputs!$Q$51,-($E$138),0))</f>
        <v>0</v>
      </c>
      <c r="K204" s="298">
        <f>IF(AND(K$2&lt;Inputs!$Q$51,(K$2+$E$204)&gt;=Inputs!$Q$51),$E$138/MIN($E204,(Inputs!$Q$51-1)),IF(K$2=Inputs!$Q$51,-($E$138),0))</f>
        <v>0</v>
      </c>
      <c r="L204" s="298">
        <f>IF(AND(L$2&lt;Inputs!$Q$51,(L$2+$E$204)&gt;=Inputs!$Q$51),$E$138/MIN($E204,(Inputs!$Q$51-1)),IF(L$2=Inputs!$Q$51,-($E$138),0))</f>
        <v>0</v>
      </c>
      <c r="M204" s="298">
        <f>IF(AND(M$2&lt;Inputs!$Q$51,(M$2+$E$204)&gt;=Inputs!$Q$51),$E$138/MIN($E204,(Inputs!$Q$51-1)),IF(M$2=Inputs!$Q$51,-($E$138),0))</f>
        <v>0</v>
      </c>
      <c r="N204" s="298">
        <f>IF(AND(N$2&lt;Inputs!$Q$51,(N$2+$E$204)&gt;=Inputs!$Q$51),$E$138/MIN($E204,(Inputs!$Q$51-1)),IF(N$2=Inputs!$Q$51,-($E$138),0))</f>
        <v>0</v>
      </c>
      <c r="O204" s="298">
        <f>IF(AND(O$2&lt;Inputs!$Q$51,(O$2+$E$204)&gt;=Inputs!$Q$51),$E$138/MIN($E204,(Inputs!$Q$51-1)),IF(O$2=Inputs!$Q$51,-($E$138),0))</f>
        <v>0</v>
      </c>
      <c r="P204" s="298">
        <f>IF(AND(P$2&lt;Inputs!$Q$51,(P$2+$E$204)&gt;=Inputs!$Q$51),$E$138/MIN($E204,(Inputs!$Q$51-1)),IF(P$2=Inputs!$Q$51,-($E$138),0))</f>
        <v>0</v>
      </c>
      <c r="Q204" s="298">
        <f>IF(AND(Q$2&lt;Inputs!$Q$51,(Q$2+$E$204)&gt;=Inputs!$Q$51),$E$138/MIN($E204,(Inputs!$Q$51-1)),IF(Q$2=Inputs!$Q$51,-($E$138),0))</f>
        <v>0</v>
      </c>
      <c r="R204" s="298">
        <f>IF(AND(R$2&lt;Inputs!$Q$51,(R$2+$E$204)&gt;=Inputs!$Q$51),$E$138/MIN($E204,(Inputs!$Q$51-1)),IF(R$2=Inputs!$Q$51,-($E$138),0))</f>
        <v>0</v>
      </c>
      <c r="S204" s="298">
        <f>IF(AND(S$2&lt;Inputs!$Q$51,(S$2+$E$204)&gt;=Inputs!$Q$51),$E$138/MIN($E204,(Inputs!$Q$51-1)),IF(S$2=Inputs!$Q$51,-($E$138),0))</f>
        <v>0</v>
      </c>
      <c r="T204" s="298">
        <f>IF(AND(T$2&lt;Inputs!$Q$51,(T$2+$E$204)&gt;=Inputs!$Q$51),$E$138/MIN($E204,(Inputs!$Q$51-1)),IF(T$2=Inputs!$Q$51,-($E$138),0))</f>
        <v>0</v>
      </c>
      <c r="U204" s="298">
        <f>IF(AND(U$2&lt;Inputs!$Q$51,(U$2+$E$204)&gt;=Inputs!$Q$51),$E$138/MIN($E204,(Inputs!$Q$51-1)),IF(U$2=Inputs!$Q$51,-($E$138),0))</f>
        <v>0</v>
      </c>
      <c r="V204" s="298">
        <f>IF(AND(V$2&lt;Inputs!$Q$51,(V$2+$E$204)&gt;=Inputs!$Q$51),$E$138/MIN($E204,(Inputs!$Q$51-1)),IF(V$2=Inputs!$Q$51,-($E$138),0))</f>
        <v>0</v>
      </c>
      <c r="W204" s="298">
        <f>IF(AND(W$2&lt;Inputs!$Q$51,(W$2+$E$204)&gt;=Inputs!$Q$51),$E$138/MIN($E204,(Inputs!$Q$51-1)),IF(W$2=Inputs!$Q$51,-($E$138),0))</f>
        <v>0</v>
      </c>
      <c r="X204" s="298">
        <f>IF(AND(X$2&lt;Inputs!$Q$51,(X$2+$E$204)&gt;=Inputs!$Q$51),$E$138/MIN($E204,(Inputs!$Q$51-1)),IF(X$2=Inputs!$Q$51,-($E$138),0))</f>
        <v>0</v>
      </c>
      <c r="Y204" s="298">
        <f>IF(AND(Y$2&lt;Inputs!$Q$51,(Y$2+$E$204)&gt;=Inputs!$Q$51),$E$138/MIN($E204,(Inputs!$Q$51-1)),IF(Y$2=Inputs!$Q$51,-($E$138),0))</f>
        <v>0</v>
      </c>
      <c r="Z204" s="298">
        <f>IF(AND(Z$2&lt;Inputs!$Q$51,(Z$2+$E$204)&gt;=Inputs!$Q$51),$E$138/MIN($E204,(Inputs!$Q$51-1)),IF(Z$2=Inputs!$Q$51,-($E$138),0))</f>
        <v>0</v>
      </c>
      <c r="AA204" s="298">
        <f>IF(AND(AA$2&lt;Inputs!$Q$51,(AA$2+$E$204)&gt;=Inputs!$Q$51),$E$138/MIN($E204,(Inputs!$Q$51-1)),IF(AA$2=Inputs!$Q$51,-($E$138),0))</f>
        <v>0</v>
      </c>
      <c r="AB204" s="298">
        <f>IF(AND(AB$2&lt;Inputs!$Q$51,(AB$2+$E$204)&gt;=Inputs!$Q$51),$E$138/MIN($E204,(Inputs!$Q$51-1)),IF(AB$2=Inputs!$Q$51,-($E$138),0))</f>
        <v>0</v>
      </c>
      <c r="AC204" s="298">
        <f>IF(AND(AC$2&lt;Inputs!$Q$51,(AC$2+$E$204)&gt;=Inputs!$Q$51),$E$138/MIN($E204,(Inputs!$Q$51-1)),IF(AC$2=Inputs!$Q$51,-($E$138),0))</f>
        <v>0</v>
      </c>
      <c r="AD204" s="298">
        <f>IF(AND(AD$2&lt;Inputs!$Q$51,(AD$2+$E$204)&gt;=Inputs!$Q$51),$E$138/MIN($E204,(Inputs!$Q$51-1)),IF(AD$2=Inputs!$Q$51,-($E$138),0))</f>
        <v>0</v>
      </c>
      <c r="AE204" s="298">
        <f>IF(AND(AE$2&lt;Inputs!$Q$51,(AE$2+$E$204)&gt;=Inputs!$Q$51),$E$138/MIN($E204,(Inputs!$Q$51-1)),IF(AE$2=Inputs!$Q$51,-($E$138),0))</f>
        <v>0</v>
      </c>
      <c r="AF204" s="298">
        <f>IF(AND(AF$2&lt;Inputs!$Q$51,(AF$2+$E$204)&gt;=Inputs!$Q$51),$E$138/MIN($E204,(Inputs!$Q$51-1)),IF(AF$2=Inputs!$Q$51,-($E$138),0))</f>
        <v>0</v>
      </c>
      <c r="AG204" s="298">
        <f>IF(AND(AG$2&lt;Inputs!$Q$51,(AG$2+$E$204)&gt;=Inputs!$Q$51),$E$138/MIN($E204,(Inputs!$Q$51-1)),IF(AG$2=Inputs!$Q$51,-($E$138),0))</f>
        <v>0</v>
      </c>
      <c r="AH204" s="298">
        <f>IF(AND(AH$2&lt;Inputs!$Q$51,(AH$2+$E$204)&gt;=Inputs!$Q$51),$E$138/MIN($E204,(Inputs!$Q$51-1)),IF(AH$2=Inputs!$Q$51,-($E$138),0))</f>
        <v>0</v>
      </c>
      <c r="AI204" s="298">
        <f>IF(AND(AI$2&lt;Inputs!$Q$51,(AI$2+$E$204)&gt;=Inputs!$Q$51),$E$138/MIN($E204,(Inputs!$Q$51-1)),IF(AI$2=Inputs!$Q$51,-($E$138),0))</f>
        <v>0</v>
      </c>
      <c r="AJ204" s="298">
        <f>IF(AND(AJ$2&lt;Inputs!$Q$51,(AJ$2+$E$204)&gt;=Inputs!$Q$51),$E$138/MIN($E204,(Inputs!$Q$51-1)),IF(AJ$2=Inputs!$Q$51,-($E$138),0))</f>
        <v>0</v>
      </c>
    </row>
    <row r="205" spans="2:36" ht="15.75">
      <c r="B205" s="280" t="s">
        <v>44</v>
      </c>
      <c r="C205" s="280"/>
      <c r="D205" s="280"/>
      <c r="E205" s="305"/>
      <c r="F205" s="322">
        <v>0</v>
      </c>
      <c r="G205" s="298">
        <f>IF(OR(G$2&gt;Inputs!$G$11,Inputs!$Q$56="salvage"),0,Inputs!$Q$57/Inputs!$Q$7)</f>
        <v>25000</v>
      </c>
      <c r="H205" s="298">
        <f>IF(OR(H$2&gt;Inputs!$G$11,Inputs!$Q$56="salvage"),0,Inputs!$Q$57/Inputs!$Q$7)</f>
        <v>25000</v>
      </c>
      <c r="I205" s="298">
        <f>IF(OR(I$2&gt;Inputs!$G$11,Inputs!$Q$56="salvage"),0,Inputs!$Q$57/Inputs!$Q$7)</f>
        <v>25000</v>
      </c>
      <c r="J205" s="298">
        <f>IF(OR(J$2&gt;Inputs!$G$11,Inputs!$Q$56="salvage"),0,Inputs!$Q$57/Inputs!$Q$7)</f>
        <v>25000</v>
      </c>
      <c r="K205" s="298">
        <f>IF(OR(K$2&gt;Inputs!$G$11,Inputs!$Q$56="salvage"),0,Inputs!$Q$57/Inputs!$Q$7)</f>
        <v>25000</v>
      </c>
      <c r="L205" s="298">
        <f>IF(OR(L$2&gt;Inputs!$G$11,Inputs!$Q$56="salvage"),0,Inputs!$Q$57/Inputs!$Q$7)</f>
        <v>25000</v>
      </c>
      <c r="M205" s="298">
        <f>IF(OR(M$2&gt;Inputs!$G$11,Inputs!$Q$56="salvage"),0,Inputs!$Q$57/Inputs!$Q$7)</f>
        <v>25000</v>
      </c>
      <c r="N205" s="298">
        <f>IF(OR(N$2&gt;Inputs!$G$11,Inputs!$Q$56="salvage"),0,Inputs!$Q$57/Inputs!$Q$7)</f>
        <v>25000</v>
      </c>
      <c r="O205" s="298">
        <f>IF(OR(O$2&gt;Inputs!$G$11,Inputs!$Q$56="salvage"),0,Inputs!$Q$57/Inputs!$Q$7)</f>
        <v>25000</v>
      </c>
      <c r="P205" s="298">
        <f>IF(OR(P$2&gt;Inputs!$G$11,Inputs!$Q$56="salvage"),0,Inputs!$Q$57/Inputs!$Q$7)</f>
        <v>25000</v>
      </c>
      <c r="Q205" s="298">
        <f>IF(OR(Q$2&gt;Inputs!$G$11,Inputs!$Q$56="salvage"),0,Inputs!$Q$57/Inputs!$Q$7)</f>
        <v>25000</v>
      </c>
      <c r="R205" s="298">
        <f>IF(OR(R$2&gt;Inputs!$G$11,Inputs!$Q$56="salvage"),0,Inputs!$Q$57/Inputs!$Q$7)</f>
        <v>25000</v>
      </c>
      <c r="S205" s="298">
        <f>IF(OR(S$2&gt;Inputs!$G$11,Inputs!$Q$56="salvage"),0,Inputs!$Q$57/Inputs!$Q$7)</f>
        <v>25000</v>
      </c>
      <c r="T205" s="298">
        <f>IF(OR(T$2&gt;Inputs!$G$11,Inputs!$Q$56="salvage"),0,Inputs!$Q$57/Inputs!$Q$7)</f>
        <v>25000</v>
      </c>
      <c r="U205" s="298">
        <f>IF(OR(U$2&gt;Inputs!$G$11,Inputs!$Q$56="salvage"),0,Inputs!$Q$57/Inputs!$Q$7)</f>
        <v>25000</v>
      </c>
      <c r="V205" s="298">
        <f>IF(OR(V$2&gt;Inputs!$G$11,Inputs!$Q$56="salvage"),0,Inputs!$Q$57/Inputs!$Q$7)</f>
        <v>25000</v>
      </c>
      <c r="W205" s="298">
        <f>IF(OR(W$2&gt;Inputs!$G$11,Inputs!$Q$56="salvage"),0,Inputs!$Q$57/Inputs!$Q$7)</f>
        <v>25000</v>
      </c>
      <c r="X205" s="298">
        <f>IF(OR(X$2&gt;Inputs!$G$11,Inputs!$Q$56="salvage"),0,Inputs!$Q$57/Inputs!$Q$7)</f>
        <v>25000</v>
      </c>
      <c r="Y205" s="298">
        <f>IF(OR(Y$2&gt;Inputs!$G$11,Inputs!$Q$56="salvage"),0,Inputs!$Q$57/Inputs!$Q$7)</f>
        <v>25000</v>
      </c>
      <c r="Z205" s="298">
        <f>IF(OR(Z$2&gt;Inputs!$G$11,Inputs!$Q$56="salvage"),0,Inputs!$Q$57/Inputs!$Q$7)</f>
        <v>25000</v>
      </c>
      <c r="AA205" s="298">
        <f>IF(OR(AA$2&gt;Inputs!$G$11,Inputs!$Q$56="salvage"),0,Inputs!$Q$57/Inputs!$Q$7)</f>
        <v>0</v>
      </c>
      <c r="AB205" s="298">
        <f>IF(OR(AB$2&gt;Inputs!$G$11,Inputs!$Q$56="salvage"),0,Inputs!$Q$57/Inputs!$Q$7)</f>
        <v>0</v>
      </c>
      <c r="AC205" s="298">
        <f>IF(OR(AC$2&gt;Inputs!$G$11,Inputs!$Q$56="salvage"),0,Inputs!$Q$57/Inputs!$Q$7)</f>
        <v>0</v>
      </c>
      <c r="AD205" s="298">
        <f>IF(OR(AD$2&gt;Inputs!$G$11,Inputs!$Q$56="salvage"),0,Inputs!$Q$57/Inputs!$Q$7)</f>
        <v>0</v>
      </c>
      <c r="AE205" s="298">
        <f>IF(OR(AE$2&gt;Inputs!$G$11,Inputs!$Q$56="salvage"),0,Inputs!$Q$57/Inputs!$Q$7)</f>
        <v>0</v>
      </c>
      <c r="AF205" s="298">
        <f>IF(OR(AF$2&gt;Inputs!$G$11,Inputs!$Q$56="salvage"),0,Inputs!$Q$57/Inputs!$Q$7)</f>
        <v>0</v>
      </c>
      <c r="AG205" s="298">
        <f>IF(OR(AG$2&gt;Inputs!$G$11,Inputs!$Q$56="salvage"),0,Inputs!$Q$57/Inputs!$Q$7)</f>
        <v>0</v>
      </c>
      <c r="AH205" s="298">
        <f>IF(OR(AH$2&gt;Inputs!$G$11,Inputs!$Q$56="salvage"),0,Inputs!$Q$57/Inputs!$Q$7)</f>
        <v>0</v>
      </c>
      <c r="AI205" s="298">
        <f>IF(OR(AI$2&gt;Inputs!$G$11,Inputs!$Q$56="salvage"),0,Inputs!$Q$57/Inputs!$Q$7)</f>
        <v>0</v>
      </c>
      <c r="AJ205" s="298">
        <f>IF(OR(AJ$2&gt;Inputs!$G$11,Inputs!$Q$56="salvage"),0,Inputs!$Q$57/Inputs!$Q$7)</f>
        <v>0</v>
      </c>
    </row>
    <row r="206" spans="2:36" ht="15.75">
      <c r="B206" s="261" t="s">
        <v>91</v>
      </c>
      <c r="C206" s="261"/>
      <c r="D206" s="261"/>
      <c r="E206" s="305"/>
      <c r="F206" s="298">
        <f>IF(F$2&gt;Inputs!$G$11,0,SUM(F198:F205))</f>
        <v>1262906.6212895242</v>
      </c>
      <c r="G206" s="298">
        <f>IF(G$2&gt;Inputs!$G$11,0,SUM(G198:G205))</f>
        <v>1287906.6212895242</v>
      </c>
      <c r="H206" s="298">
        <f>IF(H$2&gt;Inputs!$G$11,0,SUM(H198:H205))</f>
        <v>1312906.6212895242</v>
      </c>
      <c r="I206" s="298">
        <f>IF(I$2&gt;Inputs!$G$11,0,SUM(I198:I205))</f>
        <v>1337906.6212895242</v>
      </c>
      <c r="J206" s="298">
        <f>IF(J$2&gt;Inputs!$G$11,0,SUM(J198:J205))</f>
        <v>1362906.6212895242</v>
      </c>
      <c r="K206" s="298">
        <f>IF(K$2&gt;Inputs!$G$11,0,SUM(K198:K205))</f>
        <v>1387906.6212895242</v>
      </c>
      <c r="L206" s="298">
        <f>IF(L$2&gt;Inputs!$G$11,0,SUM(L198:L205))</f>
        <v>1412906.6212895242</v>
      </c>
      <c r="M206" s="298">
        <f>IF(M$2&gt;Inputs!$G$11,0,SUM(M198:M205))</f>
        <v>1437906.6212895242</v>
      </c>
      <c r="N206" s="298">
        <f>IF(N$2&gt;Inputs!$G$11,0,SUM(N198:N205))</f>
        <v>1462906.6212895242</v>
      </c>
      <c r="O206" s="298">
        <f>IF(O$2&gt;Inputs!$G$11,0,SUM(O198:O205))</f>
        <v>1487906.6212895242</v>
      </c>
      <c r="P206" s="298">
        <f>IF(P$2&gt;Inputs!$G$11,0,SUM(P198:P205))</f>
        <v>1512906.6212895242</v>
      </c>
      <c r="Q206" s="298">
        <f>IF(Q$2&gt;Inputs!$G$11,0,SUM(Q198:Q205))</f>
        <v>1537906.6212895242</v>
      </c>
      <c r="R206" s="298">
        <f>IF(R$2&gt;Inputs!$G$11,0,SUM(R198:R205))</f>
        <v>1562906.6212895242</v>
      </c>
      <c r="S206" s="298">
        <f>IF(S$2&gt;Inputs!$G$11,0,SUM(S198:S205))</f>
        <v>1587906.6212895242</v>
      </c>
      <c r="T206" s="298">
        <f>IF(T$2&gt;Inputs!$G$11,0,SUM(T198:T205))</f>
        <v>1612906.6212895242</v>
      </c>
      <c r="U206" s="298">
        <f>IF(U$2&gt;Inputs!$G$11,0,SUM(U198:U205))</f>
        <v>1637906.6212895242</v>
      </c>
      <c r="V206" s="298">
        <f>IF(V$2&gt;Inputs!$G$11,0,SUM(V198:V205))</f>
        <v>976690.21690823347</v>
      </c>
      <c r="W206" s="298">
        <f>IF(W$2&gt;Inputs!$G$11,0,SUM(W198:W205))</f>
        <v>1001690.2169082335</v>
      </c>
      <c r="X206" s="298">
        <f>IF(X$2&gt;Inputs!$G$11,0,SUM(X198:X205))</f>
        <v>1026690.2169082335</v>
      </c>
      <c r="Y206" s="298">
        <f>IF(Y$2&gt;Inputs!$G$11,0,SUM(Y198:Y205))</f>
        <v>1051690.2169082335</v>
      </c>
      <c r="Z206" s="298">
        <f>IF(Z$2&gt;Inputs!$G$11,0,SUM(Z198:Z205))</f>
        <v>500000</v>
      </c>
      <c r="AA206" s="298">
        <f>IF(AA$2&gt;Inputs!$G$11,0,SUM(AA198:AA205))</f>
        <v>0</v>
      </c>
      <c r="AB206" s="298">
        <f>IF(AB$2&gt;Inputs!$G$11,0,SUM(AB198:AB205))</f>
        <v>0</v>
      </c>
      <c r="AC206" s="298">
        <f>IF(AC$2&gt;Inputs!$G$11,0,SUM(AC198:AC205))</f>
        <v>0</v>
      </c>
      <c r="AD206" s="298">
        <f>IF(AD$2&gt;Inputs!$G$11,0,SUM(AD198:AD205))</f>
        <v>0</v>
      </c>
      <c r="AE206" s="298">
        <f>IF(AE$2&gt;Inputs!$G$11,0,SUM(AE198:AE205))</f>
        <v>0</v>
      </c>
      <c r="AF206" s="298">
        <f>IF(AF$2&gt;Inputs!$G$11,0,SUM(AF198:AF205))</f>
        <v>0</v>
      </c>
      <c r="AG206" s="298">
        <f>IF(AG$2&gt;Inputs!$G$11,0,SUM(AG198:AG205))</f>
        <v>0</v>
      </c>
      <c r="AH206" s="298">
        <f>IF(AH$2&gt;Inputs!$G$11,0,SUM(AH198:AH205))</f>
        <v>0</v>
      </c>
      <c r="AI206" s="298">
        <f>IF(AI$2&gt;Inputs!$G$11,0,SUM(AI198:AI205))</f>
        <v>0</v>
      </c>
      <c r="AJ206" s="298">
        <f>IF(AJ$2&gt;Inputs!$G$11,0,SUM(AJ198:AJ205))</f>
        <v>0</v>
      </c>
    </row>
    <row r="207" spans="2:36" ht="15.75">
      <c r="B207" s="260"/>
      <c r="C207" s="260"/>
      <c r="D207" s="260"/>
      <c r="E207" s="305"/>
      <c r="F207" s="298"/>
      <c r="G207" s="298"/>
      <c r="H207" s="298"/>
      <c r="I207" s="298"/>
      <c r="J207" s="298"/>
      <c r="K207" s="298"/>
      <c r="L207" s="298"/>
      <c r="M207" s="298"/>
      <c r="N207" s="305"/>
      <c r="O207" s="305"/>
      <c r="P207" s="305"/>
      <c r="Q207" s="305"/>
      <c r="R207" s="305"/>
      <c r="S207" s="305"/>
      <c r="T207" s="305"/>
      <c r="U207" s="305"/>
      <c r="V207" s="305"/>
      <c r="W207" s="305"/>
      <c r="X207" s="305"/>
      <c r="Y207" s="305"/>
      <c r="Z207" s="305"/>
      <c r="AA207" s="305"/>
      <c r="AB207" s="305"/>
      <c r="AC207" s="305"/>
      <c r="AD207" s="305"/>
      <c r="AE207" s="305"/>
      <c r="AF207" s="305"/>
      <c r="AG207" s="305"/>
      <c r="AH207" s="305"/>
      <c r="AI207" s="305"/>
      <c r="AJ207" s="305"/>
    </row>
    <row r="208" spans="2:36" ht="15.75">
      <c r="B208" s="261" t="s">
        <v>197</v>
      </c>
      <c r="C208" s="261"/>
      <c r="D208" s="261"/>
      <c r="E208" s="305"/>
      <c r="F208" s="298"/>
      <c r="G208" s="298">
        <f>AVERAGE(G198,G206)*Inputs!$Q$66</f>
        <v>19131.099319342862</v>
      </c>
      <c r="H208" s="298">
        <f>AVERAGE(H198,H206)*Inputs!$Q$66</f>
        <v>19506.099319342862</v>
      </c>
      <c r="I208" s="298">
        <f>AVERAGE(I198,I206)*Inputs!$Q$66</f>
        <v>19881.099319342862</v>
      </c>
      <c r="J208" s="298">
        <f>AVERAGE(J198,J206)*Inputs!$Q$66</f>
        <v>20256.099319342862</v>
      </c>
      <c r="K208" s="298">
        <f>AVERAGE(K198,K206)*Inputs!$Q$66</f>
        <v>20631.099319342862</v>
      </c>
      <c r="L208" s="298">
        <f>AVERAGE(L198,L206)*Inputs!$Q$66</f>
        <v>21006.099319342862</v>
      </c>
      <c r="M208" s="298">
        <f>AVERAGE(M198,M206)*Inputs!$Q$66</f>
        <v>21381.099319342862</v>
      </c>
      <c r="N208" s="298">
        <f>AVERAGE(N198,N206)*Inputs!$Q$66</f>
        <v>21756.099319342862</v>
      </c>
      <c r="O208" s="298">
        <f>AVERAGE(O198,O206)*Inputs!$Q$66</f>
        <v>22131.099319342862</v>
      </c>
      <c r="P208" s="298">
        <f>AVERAGE(P198,P206)*Inputs!$Q$66</f>
        <v>22506.099319342862</v>
      </c>
      <c r="Q208" s="298">
        <f>AVERAGE(Q198,Q206)*Inputs!$Q$66</f>
        <v>22881.099319342862</v>
      </c>
      <c r="R208" s="298">
        <f>AVERAGE(R198,R206)*Inputs!$Q$66</f>
        <v>23256.099319342862</v>
      </c>
      <c r="S208" s="298">
        <f>AVERAGE(S198,S206)*Inputs!$Q$66</f>
        <v>23631.099319342862</v>
      </c>
      <c r="T208" s="298">
        <f>AVERAGE(T198,T206)*Inputs!$Q$66</f>
        <v>24006.099319342862</v>
      </c>
      <c r="U208" s="298">
        <f>AVERAGE(U198,U206)*Inputs!$Q$66</f>
        <v>24381.099319342862</v>
      </c>
      <c r="V208" s="298">
        <f>AVERAGE(V198,V206)*Inputs!$Q$66</f>
        <v>19609.476286483179</v>
      </c>
      <c r="W208" s="298">
        <f>AVERAGE(W198,W206)*Inputs!$Q$66</f>
        <v>14837.853253623502</v>
      </c>
      <c r="X208" s="298">
        <f>AVERAGE(X198,X206)*Inputs!$Q$66</f>
        <v>15212.853253623502</v>
      </c>
      <c r="Y208" s="298">
        <f>AVERAGE(Y198,Y206)*Inputs!$Q$66</f>
        <v>15587.853253623502</v>
      </c>
      <c r="Z208" s="298">
        <f>AVERAGE(Z198,Z206)*Inputs!$Q$66</f>
        <v>11637.67662681175</v>
      </c>
      <c r="AA208" s="298">
        <f>AVERAGE(AA198,AA206)*Inputs!$Q$66</f>
        <v>3750</v>
      </c>
      <c r="AB208" s="298">
        <f>AVERAGE(AB198,AB206)*Inputs!$Q$66</f>
        <v>0</v>
      </c>
      <c r="AC208" s="298">
        <f>AVERAGE(AC198,AC206)*Inputs!$Q$66</f>
        <v>0</v>
      </c>
      <c r="AD208" s="298">
        <f>AVERAGE(AD198,AD206)*Inputs!$Q$66</f>
        <v>0</v>
      </c>
      <c r="AE208" s="298">
        <f>AVERAGE(AE198,AE206)*Inputs!$Q$66</f>
        <v>0</v>
      </c>
      <c r="AF208" s="298">
        <f>AVERAGE(AF198,AF206)*Inputs!$Q$66</f>
        <v>0</v>
      </c>
      <c r="AG208" s="298">
        <f>AVERAGE(AG198,AG206)*Inputs!$Q$66</f>
        <v>0</v>
      </c>
      <c r="AH208" s="298">
        <f>AVERAGE(AH198,AH206)*Inputs!$Q$66</f>
        <v>0</v>
      </c>
      <c r="AI208" s="298">
        <f>AVERAGE(AI198,AI206)*Inputs!$Q$66</f>
        <v>0</v>
      </c>
      <c r="AJ208" s="298">
        <f>AVERAGE(AJ198,AJ206)*Inputs!$Q$66</f>
        <v>0</v>
      </c>
    </row>
    <row r="209" spans="2:36" ht="15.75">
      <c r="B209" s="261" t="s">
        <v>198</v>
      </c>
      <c r="C209" s="261"/>
      <c r="D209" s="261"/>
      <c r="E209" s="305"/>
      <c r="F209" s="305"/>
      <c r="G209" s="298">
        <f>SUM(G199:G205)</f>
        <v>25000</v>
      </c>
      <c r="H209" s="298">
        <f t="shared" ref="H209:AJ209" si="64">SUM(H199:H205)</f>
        <v>25000</v>
      </c>
      <c r="I209" s="298">
        <f t="shared" si="64"/>
        <v>25000</v>
      </c>
      <c r="J209" s="298">
        <f t="shared" si="64"/>
        <v>25000</v>
      </c>
      <c r="K209" s="298">
        <f t="shared" si="64"/>
        <v>25000</v>
      </c>
      <c r="L209" s="298">
        <f t="shared" si="64"/>
        <v>25000</v>
      </c>
      <c r="M209" s="298">
        <f t="shared" si="64"/>
        <v>25000</v>
      </c>
      <c r="N209" s="298">
        <f t="shared" si="64"/>
        <v>25000</v>
      </c>
      <c r="O209" s="298">
        <f t="shared" si="64"/>
        <v>25000</v>
      </c>
      <c r="P209" s="298">
        <f t="shared" si="64"/>
        <v>25000</v>
      </c>
      <c r="Q209" s="298">
        <f t="shared" si="64"/>
        <v>25000</v>
      </c>
      <c r="R209" s="298">
        <f t="shared" si="64"/>
        <v>25000</v>
      </c>
      <c r="S209" s="298">
        <f t="shared" si="64"/>
        <v>25000</v>
      </c>
      <c r="T209" s="298">
        <f t="shared" si="64"/>
        <v>25000</v>
      </c>
      <c r="U209" s="298">
        <f t="shared" si="64"/>
        <v>25000</v>
      </c>
      <c r="V209" s="298">
        <f t="shared" si="64"/>
        <v>-661216.40438129078</v>
      </c>
      <c r="W209" s="298">
        <f t="shared" si="64"/>
        <v>25000</v>
      </c>
      <c r="X209" s="298">
        <f t="shared" si="64"/>
        <v>25000</v>
      </c>
      <c r="Y209" s="298">
        <f t="shared" si="64"/>
        <v>25000</v>
      </c>
      <c r="Z209" s="298">
        <f t="shared" si="64"/>
        <v>-551690.21690823347</v>
      </c>
      <c r="AA209" s="298">
        <f t="shared" si="64"/>
        <v>0</v>
      </c>
      <c r="AB209" s="298">
        <f t="shared" si="64"/>
        <v>0</v>
      </c>
      <c r="AC209" s="298">
        <f t="shared" si="64"/>
        <v>0</v>
      </c>
      <c r="AD209" s="298">
        <f t="shared" si="64"/>
        <v>0</v>
      </c>
      <c r="AE209" s="298">
        <f t="shared" si="64"/>
        <v>0</v>
      </c>
      <c r="AF209" s="298">
        <f t="shared" si="64"/>
        <v>0</v>
      </c>
      <c r="AG209" s="298">
        <f t="shared" si="64"/>
        <v>0</v>
      </c>
      <c r="AH209" s="298">
        <f t="shared" si="64"/>
        <v>0</v>
      </c>
      <c r="AI209" s="298">
        <f t="shared" si="64"/>
        <v>0</v>
      </c>
      <c r="AJ209" s="298">
        <f t="shared" si="64"/>
        <v>0</v>
      </c>
    </row>
    <row r="210" spans="2:36" ht="16.5" thickBot="1">
      <c r="B210" s="306"/>
      <c r="C210" s="306"/>
      <c r="D210" s="306"/>
      <c r="E210" s="307"/>
      <c r="F210" s="308"/>
      <c r="G210" s="308"/>
      <c r="H210" s="308"/>
      <c r="I210" s="308"/>
      <c r="J210" s="308"/>
      <c r="K210" s="308"/>
      <c r="L210" s="308"/>
      <c r="M210" s="308"/>
      <c r="N210" s="308"/>
      <c r="O210" s="308"/>
      <c r="P210" s="308"/>
      <c r="Q210" s="308"/>
      <c r="R210" s="308"/>
      <c r="S210" s="308"/>
      <c r="T210" s="308"/>
      <c r="U210" s="308"/>
      <c r="V210" s="308"/>
      <c r="W210" s="308"/>
      <c r="X210" s="308"/>
      <c r="Y210" s="308"/>
      <c r="Z210" s="308"/>
      <c r="AA210" s="308"/>
      <c r="AB210" s="308"/>
      <c r="AC210" s="308"/>
      <c r="AD210" s="308"/>
      <c r="AE210" s="308"/>
      <c r="AF210" s="308"/>
      <c r="AG210" s="308"/>
      <c r="AH210" s="308"/>
      <c r="AI210" s="308"/>
      <c r="AJ210" s="308"/>
    </row>
    <row r="211" spans="2:36" ht="15.75">
      <c r="B211" s="296"/>
      <c r="C211" s="296"/>
      <c r="D211" s="296"/>
      <c r="E211" s="305"/>
      <c r="F211" s="298"/>
      <c r="G211" s="415"/>
      <c r="H211" s="298"/>
      <c r="I211" s="298"/>
      <c r="J211" s="298"/>
      <c r="K211" s="298"/>
      <c r="L211" s="298"/>
      <c r="M211" s="298"/>
      <c r="N211" s="298"/>
      <c r="O211" s="298"/>
      <c r="P211" s="298"/>
      <c r="Q211" s="298"/>
      <c r="R211" s="298"/>
      <c r="S211" s="298"/>
      <c r="T211" s="298"/>
      <c r="U211" s="298"/>
      <c r="V211" s="298"/>
      <c r="W211" s="298"/>
      <c r="X211" s="298"/>
      <c r="Y211" s="298"/>
      <c r="Z211" s="298"/>
      <c r="AA211" s="298"/>
      <c r="AB211" s="298"/>
      <c r="AC211" s="298"/>
      <c r="AD211" s="298"/>
      <c r="AE211" s="298"/>
      <c r="AF211" s="298"/>
      <c r="AG211" s="298"/>
      <c r="AH211" s="298"/>
      <c r="AI211" s="298"/>
      <c r="AJ211" s="298"/>
    </row>
    <row r="212" spans="2:36" ht="15.75">
      <c r="B212" s="423" t="s">
        <v>283</v>
      </c>
      <c r="C212" s="423"/>
      <c r="D212" s="423"/>
      <c r="E212" s="305"/>
      <c r="F212" s="298"/>
      <c r="G212" s="416" t="s">
        <v>284</v>
      </c>
      <c r="H212" s="298"/>
      <c r="I212" s="298"/>
      <c r="J212" s="305"/>
      <c r="K212" s="416" t="s">
        <v>284</v>
      </c>
      <c r="L212" s="298"/>
      <c r="M212" s="298"/>
      <c r="N212" s="305"/>
      <c r="O212" s="416" t="s">
        <v>284</v>
      </c>
      <c r="P212" s="298"/>
      <c r="Q212" s="298"/>
      <c r="R212" s="416" t="s">
        <v>286</v>
      </c>
      <c r="S212" s="416" t="s">
        <v>287</v>
      </c>
      <c r="T212" s="305"/>
      <c r="U212" s="305"/>
      <c r="V212" s="298"/>
      <c r="W212" s="298"/>
      <c r="X212" s="298"/>
      <c r="Y212" s="298"/>
      <c r="Z212" s="298"/>
      <c r="AA212" s="298"/>
      <c r="AB212" s="298"/>
      <c r="AC212" s="298"/>
      <c r="AD212" s="298"/>
      <c r="AE212" s="298"/>
      <c r="AF212" s="298"/>
      <c r="AG212" s="298"/>
      <c r="AH212" s="298"/>
      <c r="AI212" s="298"/>
      <c r="AJ212" s="298"/>
    </row>
    <row r="213" spans="2:36" ht="15.75">
      <c r="B213" s="296" t="s">
        <v>288</v>
      </c>
      <c r="C213" s="296"/>
      <c r="D213" s="296"/>
      <c r="E213" s="305"/>
      <c r="F213" s="298"/>
      <c r="G213" s="298">
        <f>$D$72</f>
        <v>27001.843065267996</v>
      </c>
      <c r="H213" s="298"/>
      <c r="I213" s="298"/>
      <c r="J213" s="305"/>
      <c r="K213" s="298">
        <f>$D$72</f>
        <v>27001.843065267996</v>
      </c>
      <c r="L213" s="298"/>
      <c r="M213" s="298"/>
      <c r="N213" s="305"/>
      <c r="O213" s="298">
        <f>$D$72</f>
        <v>27001.843065267996</v>
      </c>
      <c r="P213" s="298"/>
      <c r="Q213" s="298"/>
      <c r="R213" s="417">
        <f>LOOKUP(MIN($P$214:$P$224),$O$214:$O$224,$N$214:$N$224)</f>
        <v>10</v>
      </c>
      <c r="S213" s="417">
        <f>LOOKUP(MAX($Q$214:$Q$224),$O$214:$O$224,$N$214:$N$224)</f>
        <v>10.1</v>
      </c>
      <c r="T213" s="466"/>
      <c r="U213" s="305"/>
      <c r="V213" s="298"/>
      <c r="W213" s="298"/>
      <c r="X213" s="298"/>
      <c r="Y213" s="298"/>
      <c r="Z213" s="298"/>
      <c r="AA213" s="298"/>
      <c r="AB213" s="298"/>
      <c r="AC213" s="298"/>
      <c r="AD213" s="298"/>
      <c r="AE213" s="298"/>
      <c r="AF213" s="298"/>
      <c r="AG213" s="298"/>
      <c r="AH213" s="298"/>
      <c r="AI213" s="298"/>
      <c r="AJ213" s="298"/>
    </row>
    <row r="214" spans="2:36" ht="15.75">
      <c r="B214" s="296"/>
      <c r="C214" s="296"/>
      <c r="D214" s="296"/>
      <c r="E214" s="305"/>
      <c r="F214" s="418">
        <v>0</v>
      </c>
      <c r="G214" s="298">
        <f t="dataTable" ref="G214:G224" dt2D="0" dtr="0" r1="G72"/>
        <v>-8591062.5396918599</v>
      </c>
      <c r="H214" s="298"/>
      <c r="I214" s="298"/>
      <c r="J214" s="419">
        <f>LOOKUP(MIN($H$214:$H$224),$G$214:$G$224,$F$214:$F$224)</f>
        <v>10</v>
      </c>
      <c r="K214" s="298">
        <f t="dataTable" ref="K214:K224" dt2D="0" dtr="0" r1="G72" ca="1"/>
        <v>-15874.099137504954</v>
      </c>
      <c r="L214" s="298"/>
      <c r="M214" s="298"/>
      <c r="N214" s="419">
        <f>LOOKUP(MIN($L$214:$L$224),$K$214:$K$224,$J$214:$J$224)</f>
        <v>10</v>
      </c>
      <c r="O214" s="298">
        <f t="dataTable" ref="O214:O224" dt2D="0" dtr="0" r1="G72" ca="1"/>
        <v>-15874.099137504954</v>
      </c>
      <c r="P214" s="298"/>
      <c r="Q214" s="298"/>
      <c r="R214" s="298"/>
      <c r="S214" s="298"/>
      <c r="T214" s="298"/>
      <c r="U214" s="298"/>
      <c r="V214" s="298"/>
      <c r="W214" s="298"/>
      <c r="X214" s="298"/>
      <c r="Y214" s="298"/>
      <c r="Z214" s="298"/>
      <c r="AA214" s="298"/>
      <c r="AB214" s="298"/>
      <c r="AC214" s="298"/>
      <c r="AD214" s="298"/>
      <c r="AE214" s="298"/>
      <c r="AF214" s="298"/>
      <c r="AG214" s="298"/>
      <c r="AH214" s="298"/>
      <c r="AI214" s="298"/>
      <c r="AJ214" s="298"/>
    </row>
    <row r="215" spans="2:36" ht="15.75">
      <c r="B215" s="305"/>
      <c r="C215" s="305"/>
      <c r="D215" s="305"/>
      <c r="E215" s="305"/>
      <c r="F215" s="418">
        <v>10</v>
      </c>
      <c r="G215" s="298">
        <v>-15874.099137504954</v>
      </c>
      <c r="H215" s="298">
        <f t="shared" ref="H215:H224" si="65">IF(AND($G215&lt;0,$G216&gt;0),$G215,"")</f>
        <v>-15874.099137504954</v>
      </c>
      <c r="I215" s="298" t="str">
        <f t="shared" ref="I215:I224" si="66">IF(AND($G215&gt;0,$G214&lt;0),$G215,"")</f>
        <v/>
      </c>
      <c r="J215" s="419">
        <f>J214+1</f>
        <v>11</v>
      </c>
      <c r="K215" s="298">
        <v>841644.74491792941</v>
      </c>
      <c r="L215" s="298" t="str">
        <f t="shared" ref="L215:L224" si="67">IF(AND($K215&lt;0,$K216&gt;0),$K215,"")</f>
        <v/>
      </c>
      <c r="M215" s="298">
        <f t="shared" ref="M215:M224" si="68">IF(AND($K215&gt;0,$K214&lt;0),$K215,"")</f>
        <v>841644.74491792941</v>
      </c>
      <c r="N215" s="419">
        <f>N214+0.1</f>
        <v>10.1</v>
      </c>
      <c r="O215" s="298">
        <v>69877.785268037347</v>
      </c>
      <c r="P215" s="298" t="str">
        <f>IF(AND($O215&lt;0,$O216&gt;0),$O215,"")</f>
        <v/>
      </c>
      <c r="Q215" s="298">
        <f>IF(AND($O215&gt;0,$O214&lt;0),$O215,"")</f>
        <v>69877.785268037347</v>
      </c>
      <c r="R215" s="298"/>
      <c r="S215" s="298"/>
      <c r="T215" s="298"/>
      <c r="U215" s="298"/>
      <c r="V215" s="298"/>
      <c r="W215" s="298"/>
      <c r="X215" s="298"/>
      <c r="Y215" s="298"/>
      <c r="Z215" s="298"/>
      <c r="AA215" s="298"/>
      <c r="AB215" s="298"/>
      <c r="AC215" s="298"/>
      <c r="AD215" s="298"/>
      <c r="AE215" s="298"/>
      <c r="AF215" s="298"/>
      <c r="AG215" s="298"/>
      <c r="AH215" s="298"/>
      <c r="AI215" s="298"/>
      <c r="AJ215" s="298"/>
    </row>
    <row r="216" spans="2:36" ht="15.75">
      <c r="B216" s="305"/>
      <c r="C216" s="305"/>
      <c r="D216" s="305"/>
      <c r="E216" s="305"/>
      <c r="F216" s="418">
        <v>20</v>
      </c>
      <c r="G216" s="298">
        <v>8559314.341416847</v>
      </c>
      <c r="H216" s="298" t="str">
        <f t="shared" si="65"/>
        <v/>
      </c>
      <c r="I216" s="298">
        <f t="shared" si="66"/>
        <v>8559314.341416847</v>
      </c>
      <c r="J216" s="419">
        <f t="shared" ref="J216:J223" si="69">J215+1</f>
        <v>12</v>
      </c>
      <c r="K216" s="298">
        <v>1699163.5889733648</v>
      </c>
      <c r="L216" s="298" t="str">
        <f t="shared" si="67"/>
        <v/>
      </c>
      <c r="M216" s="298" t="str">
        <f t="shared" si="68"/>
        <v/>
      </c>
      <c r="N216" s="419">
        <f t="shared" ref="N216:N223" si="70">N215+0.1</f>
        <v>10.199999999999999</v>
      </c>
      <c r="O216" s="298">
        <v>155629.6696735837</v>
      </c>
      <c r="P216" s="298" t="str">
        <f t="shared" ref="P216:P224" si="71">IF(AND($O216&lt;0,$O217&gt;0),$O216,"")</f>
        <v/>
      </c>
      <c r="Q216" s="298" t="str">
        <f t="shared" ref="Q216:Q224" si="72">IF(AND($O216&gt;0,$O215&lt;0),$O216,"")</f>
        <v/>
      </c>
      <c r="R216" s="298"/>
      <c r="S216" s="298"/>
      <c r="T216" s="298"/>
      <c r="U216" s="298"/>
      <c r="V216" s="298"/>
      <c r="W216" s="298"/>
      <c r="X216" s="298"/>
      <c r="Y216" s="298"/>
      <c r="Z216" s="298"/>
      <c r="AA216" s="298"/>
      <c r="AB216" s="298"/>
      <c r="AC216" s="298"/>
      <c r="AD216" s="298"/>
      <c r="AE216" s="298"/>
      <c r="AF216" s="298"/>
      <c r="AG216" s="298"/>
      <c r="AH216" s="298"/>
      <c r="AI216" s="298"/>
      <c r="AJ216" s="298"/>
    </row>
    <row r="217" spans="2:36" ht="15.75">
      <c r="B217" s="305"/>
      <c r="C217" s="305"/>
      <c r="D217" s="305"/>
      <c r="E217" s="305"/>
      <c r="F217" s="418">
        <v>30</v>
      </c>
      <c r="G217" s="298">
        <v>17134502.781971209</v>
      </c>
      <c r="H217" s="298" t="str">
        <f t="shared" si="65"/>
        <v/>
      </c>
      <c r="I217" s="298" t="str">
        <f t="shared" si="66"/>
        <v/>
      </c>
      <c r="J217" s="419">
        <f t="shared" si="69"/>
        <v>13</v>
      </c>
      <c r="K217" s="298">
        <v>2556682.4330288032</v>
      </c>
      <c r="L217" s="298" t="str">
        <f t="shared" si="67"/>
        <v/>
      </c>
      <c r="M217" s="298" t="str">
        <f t="shared" si="68"/>
        <v/>
      </c>
      <c r="N217" s="419">
        <f t="shared" si="70"/>
        <v>10.299999999999999</v>
      </c>
      <c r="O217" s="298">
        <v>241381.55407912494</v>
      </c>
      <c r="P217" s="298" t="str">
        <f t="shared" si="71"/>
        <v/>
      </c>
      <c r="Q217" s="298" t="str">
        <f t="shared" si="72"/>
        <v/>
      </c>
      <c r="R217" s="298"/>
      <c r="S217" s="298"/>
      <c r="T217" s="298"/>
      <c r="U217" s="298"/>
      <c r="V217" s="298"/>
      <c r="W217" s="298"/>
      <c r="X217" s="298"/>
      <c r="Y217" s="298"/>
      <c r="Z217" s="298"/>
      <c r="AA217" s="298"/>
      <c r="AB217" s="298"/>
      <c r="AC217" s="298"/>
      <c r="AD217" s="298"/>
      <c r="AE217" s="298"/>
      <c r="AF217" s="298"/>
      <c r="AG217" s="298"/>
      <c r="AH217" s="298"/>
      <c r="AI217" s="298"/>
      <c r="AJ217" s="298"/>
    </row>
    <row r="218" spans="2:36" ht="15.75">
      <c r="B218" s="305"/>
      <c r="C218" s="305"/>
      <c r="D218" s="305"/>
      <c r="E218" s="305"/>
      <c r="F218" s="418">
        <v>40</v>
      </c>
      <c r="G218" s="298">
        <v>25709691.222525563</v>
      </c>
      <c r="H218" s="298" t="str">
        <f t="shared" si="65"/>
        <v/>
      </c>
      <c r="I218" s="298" t="str">
        <f t="shared" si="66"/>
        <v/>
      </c>
      <c r="J218" s="419">
        <f t="shared" si="69"/>
        <v>14</v>
      </c>
      <c r="K218" s="298">
        <v>3414201.2770842388</v>
      </c>
      <c r="L218" s="298" t="str">
        <f t="shared" si="67"/>
        <v/>
      </c>
      <c r="M218" s="298" t="str">
        <f t="shared" si="68"/>
        <v/>
      </c>
      <c r="N218" s="419">
        <f t="shared" si="70"/>
        <v>10.399999999999999</v>
      </c>
      <c r="O218" s="298">
        <v>327133.4384846692</v>
      </c>
      <c r="P218" s="298" t="str">
        <f t="shared" si="71"/>
        <v/>
      </c>
      <c r="Q218" s="298" t="str">
        <f t="shared" si="72"/>
        <v/>
      </c>
      <c r="R218" s="298"/>
      <c r="S218" s="298"/>
      <c r="T218" s="298"/>
      <c r="U218" s="298"/>
      <c r="V218" s="298"/>
      <c r="W218" s="298"/>
      <c r="X218" s="298"/>
      <c r="Y218" s="298"/>
      <c r="Z218" s="298"/>
      <c r="AA218" s="298"/>
      <c r="AB218" s="298"/>
      <c r="AC218" s="298"/>
      <c r="AD218" s="298"/>
      <c r="AE218" s="298"/>
      <c r="AF218" s="298"/>
      <c r="AG218" s="298"/>
      <c r="AH218" s="298"/>
      <c r="AI218" s="298"/>
      <c r="AJ218" s="298"/>
    </row>
    <row r="219" spans="2:36" ht="15.75">
      <c r="B219" s="305"/>
      <c r="C219" s="305"/>
      <c r="D219" s="305"/>
      <c r="E219" s="305"/>
      <c r="F219" s="418">
        <v>50</v>
      </c>
      <c r="G219" s="298">
        <v>34284879.663079925</v>
      </c>
      <c r="H219" s="298" t="str">
        <f t="shared" si="65"/>
        <v/>
      </c>
      <c r="I219" s="298" t="str">
        <f t="shared" si="66"/>
        <v/>
      </c>
      <c r="J219" s="419">
        <f t="shared" si="69"/>
        <v>15</v>
      </c>
      <c r="K219" s="298">
        <v>4271720.1211396735</v>
      </c>
      <c r="L219" s="298" t="str">
        <f t="shared" si="67"/>
        <v/>
      </c>
      <c r="M219" s="298" t="str">
        <f t="shared" si="68"/>
        <v/>
      </c>
      <c r="N219" s="419">
        <f t="shared" si="70"/>
        <v>10.499999999999998</v>
      </c>
      <c r="O219" s="298">
        <v>412885.32289021037</v>
      </c>
      <c r="P219" s="298" t="str">
        <f t="shared" si="71"/>
        <v/>
      </c>
      <c r="Q219" s="298" t="str">
        <f t="shared" si="72"/>
        <v/>
      </c>
      <c r="R219" s="298"/>
      <c r="S219" s="298"/>
      <c r="T219" s="298"/>
      <c r="U219" s="298"/>
      <c r="V219" s="298"/>
      <c r="W219" s="298"/>
      <c r="X219" s="298"/>
      <c r="Y219" s="298"/>
      <c r="Z219" s="298"/>
      <c r="AA219" s="298"/>
      <c r="AB219" s="298"/>
      <c r="AC219" s="298"/>
      <c r="AD219" s="298"/>
      <c r="AE219" s="298"/>
      <c r="AF219" s="298"/>
      <c r="AG219" s="298"/>
      <c r="AH219" s="298"/>
      <c r="AI219" s="298"/>
      <c r="AJ219" s="298"/>
    </row>
    <row r="220" spans="2:36" ht="15.75">
      <c r="B220" s="305"/>
      <c r="C220" s="305"/>
      <c r="D220" s="305"/>
      <c r="E220" s="305"/>
      <c r="F220" s="418">
        <v>60</v>
      </c>
      <c r="G220" s="298">
        <v>42860068.103634268</v>
      </c>
      <c r="H220" s="298" t="str">
        <f t="shared" si="65"/>
        <v/>
      </c>
      <c r="I220" s="298" t="str">
        <f t="shared" si="66"/>
        <v/>
      </c>
      <c r="J220" s="419">
        <f t="shared" si="69"/>
        <v>16</v>
      </c>
      <c r="K220" s="298">
        <v>5129238.965195111</v>
      </c>
      <c r="L220" s="298" t="str">
        <f t="shared" si="67"/>
        <v/>
      </c>
      <c r="M220" s="298" t="str">
        <f t="shared" si="68"/>
        <v/>
      </c>
      <c r="N220" s="419">
        <f t="shared" si="70"/>
        <v>10.599999999999998</v>
      </c>
      <c r="O220" s="298">
        <v>498637.20729575638</v>
      </c>
      <c r="P220" s="298" t="str">
        <f t="shared" si="71"/>
        <v/>
      </c>
      <c r="Q220" s="298" t="str">
        <f t="shared" si="72"/>
        <v/>
      </c>
      <c r="R220" s="298"/>
      <c r="S220" s="298"/>
      <c r="T220" s="298"/>
      <c r="U220" s="298"/>
      <c r="V220" s="298"/>
      <c r="W220" s="298"/>
      <c r="X220" s="298"/>
      <c r="Y220" s="298"/>
      <c r="Z220" s="298"/>
      <c r="AA220" s="298"/>
      <c r="AB220" s="298"/>
      <c r="AC220" s="298"/>
      <c r="AD220" s="298"/>
      <c r="AE220" s="298"/>
      <c r="AF220" s="298"/>
      <c r="AG220" s="298"/>
      <c r="AH220" s="298"/>
      <c r="AI220" s="298"/>
      <c r="AJ220" s="298"/>
    </row>
    <row r="221" spans="2:36" ht="15.75">
      <c r="B221" s="305"/>
      <c r="C221" s="305"/>
      <c r="D221" s="305"/>
      <c r="E221" s="305"/>
      <c r="F221" s="418">
        <v>70</v>
      </c>
      <c r="G221" s="298">
        <v>51435256.544188634</v>
      </c>
      <c r="H221" s="298" t="str">
        <f t="shared" si="65"/>
        <v/>
      </c>
      <c r="I221" s="298" t="str">
        <f t="shared" si="66"/>
        <v/>
      </c>
      <c r="J221" s="419">
        <f t="shared" si="69"/>
        <v>17</v>
      </c>
      <c r="K221" s="298">
        <v>5986757.8092505429</v>
      </c>
      <c r="L221" s="298" t="str">
        <f t="shared" si="67"/>
        <v/>
      </c>
      <c r="M221" s="298" t="str">
        <f t="shared" si="68"/>
        <v/>
      </c>
      <c r="N221" s="419">
        <f t="shared" si="70"/>
        <v>10.699999999999998</v>
      </c>
      <c r="O221" s="298">
        <v>584389.09170129802</v>
      </c>
      <c r="P221" s="298" t="str">
        <f t="shared" si="71"/>
        <v/>
      </c>
      <c r="Q221" s="298" t="str">
        <f t="shared" si="72"/>
        <v/>
      </c>
      <c r="R221" s="298"/>
      <c r="S221" s="298"/>
      <c r="T221" s="298"/>
      <c r="U221" s="298"/>
      <c r="V221" s="298"/>
      <c r="W221" s="298"/>
      <c r="X221" s="298"/>
      <c r="Y221" s="298"/>
      <c r="Z221" s="298"/>
      <c r="AA221" s="298"/>
      <c r="AB221" s="298"/>
      <c r="AC221" s="298"/>
      <c r="AD221" s="298"/>
      <c r="AE221" s="298"/>
      <c r="AF221" s="298"/>
      <c r="AG221" s="298"/>
      <c r="AH221" s="298"/>
      <c r="AI221" s="298"/>
      <c r="AJ221" s="298"/>
    </row>
    <row r="222" spans="2:36" ht="15.75">
      <c r="B222" s="305"/>
      <c r="C222" s="305"/>
      <c r="D222" s="305"/>
      <c r="E222" s="305"/>
      <c r="F222" s="418">
        <v>80</v>
      </c>
      <c r="G222" s="298">
        <v>60010444.984743007</v>
      </c>
      <c r="H222" s="298" t="str">
        <f t="shared" si="65"/>
        <v/>
      </c>
      <c r="I222" s="298" t="str">
        <f t="shared" si="66"/>
        <v/>
      </c>
      <c r="J222" s="419">
        <f t="shared" si="69"/>
        <v>18</v>
      </c>
      <c r="K222" s="298">
        <v>6844276.6533059822</v>
      </c>
      <c r="L222" s="298" t="str">
        <f t="shared" si="67"/>
        <v/>
      </c>
      <c r="M222" s="298" t="str">
        <f t="shared" si="68"/>
        <v/>
      </c>
      <c r="N222" s="419">
        <f t="shared" si="70"/>
        <v>10.799999999999997</v>
      </c>
      <c r="O222" s="298">
        <v>670140.97610684077</v>
      </c>
      <c r="P222" s="298" t="str">
        <f t="shared" si="71"/>
        <v/>
      </c>
      <c r="Q222" s="298" t="str">
        <f t="shared" si="72"/>
        <v/>
      </c>
      <c r="R222" s="298"/>
      <c r="S222" s="298"/>
      <c r="T222" s="298"/>
      <c r="U222" s="298"/>
      <c r="V222" s="298"/>
      <c r="W222" s="298"/>
      <c r="X222" s="298"/>
      <c r="Y222" s="298"/>
      <c r="Z222" s="298"/>
      <c r="AA222" s="298"/>
      <c r="AB222" s="298"/>
      <c r="AC222" s="298"/>
      <c r="AD222" s="298"/>
      <c r="AE222" s="298"/>
      <c r="AF222" s="298"/>
      <c r="AG222" s="298"/>
      <c r="AH222" s="298"/>
      <c r="AI222" s="298"/>
      <c r="AJ222" s="298"/>
    </row>
    <row r="223" spans="2:36" ht="15.75">
      <c r="B223" s="305"/>
      <c r="C223" s="305"/>
      <c r="D223" s="305"/>
      <c r="E223" s="305"/>
      <c r="F223" s="418">
        <v>90</v>
      </c>
      <c r="G223" s="298">
        <v>68585633.425297335</v>
      </c>
      <c r="H223" s="298" t="str">
        <f t="shared" si="65"/>
        <v/>
      </c>
      <c r="I223" s="298" t="str">
        <f t="shared" si="66"/>
        <v/>
      </c>
      <c r="J223" s="419">
        <f t="shared" si="69"/>
        <v>19</v>
      </c>
      <c r="K223" s="298">
        <v>7701795.4973614141</v>
      </c>
      <c r="L223" s="298" t="str">
        <f t="shared" si="67"/>
        <v/>
      </c>
      <c r="M223" s="298" t="str">
        <f t="shared" si="68"/>
        <v/>
      </c>
      <c r="N223" s="419">
        <f t="shared" si="70"/>
        <v>10.899999999999997</v>
      </c>
      <c r="O223" s="298">
        <v>755892.86051238491</v>
      </c>
      <c r="P223" s="298" t="str">
        <f t="shared" si="71"/>
        <v/>
      </c>
      <c r="Q223" s="298" t="str">
        <f t="shared" si="72"/>
        <v/>
      </c>
      <c r="R223" s="298"/>
      <c r="S223" s="298"/>
      <c r="T223" s="298"/>
      <c r="U223" s="298"/>
      <c r="V223" s="298"/>
      <c r="W223" s="298"/>
      <c r="X223" s="298"/>
      <c r="Y223" s="298"/>
      <c r="Z223" s="298"/>
      <c r="AA223" s="298"/>
      <c r="AB223" s="298"/>
      <c r="AC223" s="298"/>
      <c r="AD223" s="298"/>
      <c r="AE223" s="298"/>
      <c r="AF223" s="298"/>
      <c r="AG223" s="298"/>
      <c r="AH223" s="298"/>
      <c r="AI223" s="298"/>
      <c r="AJ223" s="298"/>
    </row>
    <row r="224" spans="2:36" ht="15.75">
      <c r="B224" s="305"/>
      <c r="C224" s="305"/>
      <c r="D224" s="305"/>
      <c r="E224" s="305"/>
      <c r="F224" s="418">
        <v>100</v>
      </c>
      <c r="G224" s="298">
        <v>77160821.865851685</v>
      </c>
      <c r="H224" s="298" t="str">
        <f t="shared" si="65"/>
        <v/>
      </c>
      <c r="I224" s="298" t="str">
        <f t="shared" si="66"/>
        <v/>
      </c>
      <c r="J224" s="419">
        <f>LOOKUP(MAX($I$214:$I$224),$G$214:$G$224,$F$214:$F$224)</f>
        <v>20</v>
      </c>
      <c r="K224" s="298">
        <v>8559314.341416847</v>
      </c>
      <c r="L224" s="298" t="str">
        <f t="shared" si="67"/>
        <v/>
      </c>
      <c r="M224" s="298" t="str">
        <f t="shared" si="68"/>
        <v/>
      </c>
      <c r="N224" s="419">
        <f>LOOKUP(MAX($M$214:$M$224),$K$214:$K$224,$J$214:$J$224)</f>
        <v>11</v>
      </c>
      <c r="O224" s="298">
        <v>841644.74491792941</v>
      </c>
      <c r="P224" s="298" t="str">
        <f t="shared" si="71"/>
        <v/>
      </c>
      <c r="Q224" s="298" t="str">
        <f t="shared" si="72"/>
        <v/>
      </c>
      <c r="R224" s="298"/>
      <c r="S224" s="298"/>
      <c r="T224" s="298"/>
      <c r="U224" s="298"/>
      <c r="V224" s="298"/>
      <c r="W224" s="298"/>
      <c r="X224" s="298"/>
      <c r="Y224" s="298"/>
      <c r="Z224" s="298"/>
      <c r="AA224" s="298"/>
      <c r="AB224" s="298"/>
      <c r="AC224" s="298"/>
      <c r="AD224" s="298"/>
      <c r="AE224" s="298"/>
      <c r="AF224" s="298"/>
      <c r="AG224" s="298"/>
      <c r="AH224" s="298"/>
      <c r="AI224" s="298"/>
      <c r="AJ224" s="298"/>
    </row>
    <row r="225" spans="2:36" ht="15.75" thickBot="1">
      <c r="B225" s="307"/>
      <c r="C225" s="307"/>
      <c r="D225" s="307"/>
      <c r="E225" s="307"/>
      <c r="F225" s="422"/>
      <c r="G225" s="307"/>
      <c r="H225" s="307"/>
      <c r="I225" s="307"/>
      <c r="J225" s="307"/>
      <c r="K225" s="307"/>
      <c r="L225" s="307"/>
      <c r="M225" s="307"/>
      <c r="N225" s="307"/>
      <c r="O225" s="307"/>
      <c r="P225" s="307"/>
      <c r="Q225" s="307"/>
      <c r="R225" s="307"/>
      <c r="S225" s="307"/>
      <c r="T225" s="307"/>
      <c r="U225" s="307"/>
      <c r="V225" s="307"/>
      <c r="W225" s="307"/>
      <c r="X225" s="307"/>
      <c r="Y225" s="307"/>
      <c r="Z225" s="307"/>
      <c r="AA225" s="307"/>
      <c r="AB225" s="307"/>
      <c r="AC225" s="307"/>
      <c r="AD225" s="307"/>
      <c r="AE225" s="307"/>
      <c r="AF225" s="307"/>
      <c r="AG225" s="307"/>
      <c r="AH225" s="307"/>
      <c r="AI225" s="307"/>
      <c r="AJ225" s="307"/>
    </row>
    <row r="226" spans="2:36" s="420" customFormat="1">
      <c r="F226" s="421"/>
    </row>
    <row r="227" spans="2:36">
      <c r="F227" s="414"/>
    </row>
    <row r="228" spans="2:36">
      <c r="F228" s="414"/>
    </row>
    <row r="229" spans="2:36">
      <c r="F229" s="414"/>
    </row>
    <row r="230" spans="2:36">
      <c r="F230" s="414"/>
    </row>
    <row r="231" spans="2:36">
      <c r="F231" s="414"/>
    </row>
    <row r="232" spans="2:36">
      <c r="F232" s="414"/>
    </row>
    <row r="233" spans="2:36">
      <c r="F233" s="414"/>
    </row>
    <row r="234" spans="2:36">
      <c r="F234" s="414"/>
    </row>
    <row r="235" spans="2:36">
      <c r="F235" s="414"/>
    </row>
    <row r="236" spans="2:36">
      <c r="F236" s="414"/>
    </row>
    <row r="237" spans="2:36">
      <c r="F237" s="414"/>
    </row>
  </sheetData>
  <sheetProtection password="CA95" sheet="1" objects="1" scenarios="1"/>
  <mergeCells count="3">
    <mergeCell ref="C96:E96"/>
    <mergeCell ref="B70:C70"/>
    <mergeCell ref="B72:C72"/>
  </mergeCells>
  <dataValidations disablePrompts="1" count="1">
    <dataValidation type="list" allowBlank="1" showInputMessage="1" showErrorMessage="1" sqref="E65632 HW65632 RS65632 ABO65632 ALK65632 AVG65632 BFC65632 BOY65632 BYU65632 CIQ65632 CSM65632 DCI65632 DME65632 DWA65632 EFW65632 EPS65632 EZO65632 FJK65632 FTG65632 GDC65632 GMY65632 GWU65632 HGQ65632 HQM65632 IAI65632 IKE65632 IUA65632 JDW65632 JNS65632 JXO65632 KHK65632 KRG65632 LBC65632 LKY65632 LUU65632 MEQ65632 MOM65632 MYI65632 NIE65632 NSA65632 OBW65632 OLS65632 OVO65632 PFK65632 PPG65632 PZC65632 QIY65632 QSU65632 RCQ65632 RMM65632 RWI65632 SGE65632 SQA65632 SZW65632 TJS65632 TTO65632 UDK65632 UNG65632 UXC65632 VGY65632 VQU65632 WAQ65632 WKM65632 WUI65632 HW131168 RS131168 ABO131168 ALK131168 AVG131168 BFC131168 BOY131168 BYU131168 CIQ131168 CSM131168 DCI131168 DME131168 DWA131168 EFW131168 EPS131168 EZO131168 FJK131168 FTG131168 GDC131168 GMY131168 GWU131168 HGQ131168 HQM131168 IAI131168 IKE131168 IUA131168 JDW131168 JNS131168 JXO131168 KHK131168 KRG131168 LBC131168 LKY131168 LUU131168 MEQ131168 MOM131168 MYI131168 NIE131168 NSA131168 OBW131168 OLS131168 OVO131168 PFK131168 PPG131168 PZC131168 QIY131168 QSU131168 RCQ131168 RMM131168 RWI131168 SGE131168 SQA131168 SZW131168 TJS131168 TTO131168 UDK131168 UNG131168 UXC131168 VGY131168 VQU131168 WAQ131168 WKM131168 WUI131168 HW196704 RS196704 ABO196704 ALK196704 AVG196704 BFC196704 BOY196704 BYU196704 CIQ196704 CSM196704 DCI196704 DME196704 DWA196704 EFW196704 EPS196704 EZO196704 FJK196704 FTG196704 GDC196704 GMY196704 GWU196704 HGQ196704 HQM196704 IAI196704 IKE196704 IUA196704 JDW196704 JNS196704 JXO196704 KHK196704 KRG196704 LBC196704 LKY196704 LUU196704 MEQ196704 MOM196704 MYI196704 NIE196704 NSA196704 OBW196704 OLS196704 OVO196704 PFK196704 PPG196704 PZC196704 QIY196704 QSU196704 RCQ196704 RMM196704 RWI196704 SGE196704 SQA196704 SZW196704 TJS196704 TTO196704 UDK196704 UNG196704 UXC196704 VGY196704 VQU196704 WAQ196704 WKM196704 WUI196704 HW262240 RS262240 ABO262240 ALK262240 AVG262240 BFC262240 BOY262240 BYU262240 CIQ262240 CSM262240 DCI262240 DME262240 DWA262240 EFW262240 EPS262240 EZO262240 FJK262240 FTG262240 GDC262240 GMY262240 GWU262240 HGQ262240 HQM262240 IAI262240 IKE262240 IUA262240 JDW262240 JNS262240 JXO262240 KHK262240 KRG262240 LBC262240 LKY262240 LUU262240 MEQ262240 MOM262240 MYI262240 NIE262240 NSA262240 OBW262240 OLS262240 OVO262240 PFK262240 PPG262240 PZC262240 QIY262240 QSU262240 RCQ262240 RMM262240 RWI262240 SGE262240 SQA262240 SZW262240 TJS262240 TTO262240 UDK262240 UNG262240 UXC262240 VGY262240 VQU262240 WAQ262240 WKM262240 WUI262240 HW327776 RS327776 ABO327776 ALK327776 AVG327776 BFC327776 BOY327776 BYU327776 CIQ327776 CSM327776 DCI327776 DME327776 DWA327776 EFW327776 EPS327776 EZO327776 FJK327776 FTG327776 GDC327776 GMY327776 GWU327776 HGQ327776 HQM327776 IAI327776 IKE327776 IUA327776 JDW327776 JNS327776 JXO327776 KHK327776 KRG327776 LBC327776 LKY327776 LUU327776 MEQ327776 MOM327776 MYI327776 NIE327776 NSA327776 OBW327776 OLS327776 OVO327776 PFK327776 PPG327776 PZC327776 QIY327776 QSU327776 RCQ327776 RMM327776 RWI327776 SGE327776 SQA327776 SZW327776 TJS327776 TTO327776 UDK327776 UNG327776 UXC327776 VGY327776 VQU327776 WAQ327776 WKM327776 WUI327776 HW393312 RS393312 ABO393312 ALK393312 AVG393312 BFC393312 BOY393312 BYU393312 CIQ393312 CSM393312 DCI393312 DME393312 DWA393312 EFW393312 EPS393312 EZO393312 FJK393312 FTG393312 GDC393312 GMY393312 GWU393312 HGQ393312 HQM393312 IAI393312 IKE393312 IUA393312 JDW393312 JNS393312 JXO393312 KHK393312 KRG393312 LBC393312 LKY393312 LUU393312 MEQ393312 MOM393312 MYI393312 NIE393312 NSA393312 OBW393312 OLS393312 OVO393312 PFK393312 PPG393312 PZC393312 QIY393312 QSU393312 RCQ393312 RMM393312 RWI393312 SGE393312 SQA393312 SZW393312 TJS393312 TTO393312 UDK393312 UNG393312 UXC393312 VGY393312 VQU393312 WAQ393312 WKM393312 WUI393312 HW458848 RS458848 ABO458848 ALK458848 AVG458848 BFC458848 BOY458848 BYU458848 CIQ458848 CSM458848 DCI458848 DME458848 DWA458848 EFW458848 EPS458848 EZO458848 FJK458848 FTG458848 GDC458848 GMY458848 GWU458848 HGQ458848 HQM458848 IAI458848 IKE458848 IUA458848 JDW458848 JNS458848 JXO458848 KHK458848 KRG458848 LBC458848 LKY458848 LUU458848 MEQ458848 MOM458848 MYI458848 NIE458848 NSA458848 OBW458848 OLS458848 OVO458848 PFK458848 PPG458848 PZC458848 QIY458848 QSU458848 RCQ458848 RMM458848 RWI458848 SGE458848 SQA458848 SZW458848 TJS458848 TTO458848 UDK458848 UNG458848 UXC458848 VGY458848 VQU458848 WAQ458848 WKM458848 WUI458848 HW524384 RS524384 ABO524384 ALK524384 AVG524384 BFC524384 BOY524384 BYU524384 CIQ524384 CSM524384 DCI524384 DME524384 DWA524384 EFW524384 EPS524384 EZO524384 FJK524384 FTG524384 GDC524384 GMY524384 GWU524384 HGQ524384 HQM524384 IAI524384 IKE524384 IUA524384 JDW524384 JNS524384 JXO524384 KHK524384 KRG524384 LBC524384 LKY524384 LUU524384 MEQ524384 MOM524384 MYI524384 NIE524384 NSA524384 OBW524384 OLS524384 OVO524384 PFK524384 PPG524384 PZC524384 QIY524384 QSU524384 RCQ524384 RMM524384 RWI524384 SGE524384 SQA524384 SZW524384 TJS524384 TTO524384 UDK524384 UNG524384 UXC524384 VGY524384 VQU524384 WAQ524384 WKM524384 WUI524384 HW589920 RS589920 ABO589920 ALK589920 AVG589920 BFC589920 BOY589920 BYU589920 CIQ589920 CSM589920 DCI589920 DME589920 DWA589920 EFW589920 EPS589920 EZO589920 FJK589920 FTG589920 GDC589920 GMY589920 GWU589920 HGQ589920 HQM589920 IAI589920 IKE589920 IUA589920 JDW589920 JNS589920 JXO589920 KHK589920 KRG589920 LBC589920 LKY589920 LUU589920 MEQ589920 MOM589920 MYI589920 NIE589920 NSA589920 OBW589920 OLS589920 OVO589920 PFK589920 PPG589920 PZC589920 QIY589920 QSU589920 RCQ589920 RMM589920 RWI589920 SGE589920 SQA589920 SZW589920 TJS589920 TTO589920 UDK589920 UNG589920 UXC589920 VGY589920 VQU589920 WAQ589920 WKM589920 WUI589920 HW655456 RS655456 ABO655456 ALK655456 AVG655456 BFC655456 BOY655456 BYU655456 CIQ655456 CSM655456 DCI655456 DME655456 DWA655456 EFW655456 EPS655456 EZO655456 FJK655456 FTG655456 GDC655456 GMY655456 GWU655456 HGQ655456 HQM655456 IAI655456 IKE655456 IUA655456 JDW655456 JNS655456 JXO655456 KHK655456 KRG655456 LBC655456 LKY655456 LUU655456 MEQ655456 MOM655456 MYI655456 NIE655456 NSA655456 OBW655456 OLS655456 OVO655456 PFK655456 PPG655456 PZC655456 QIY655456 QSU655456 RCQ655456 RMM655456 RWI655456 SGE655456 SQA655456 SZW655456 TJS655456 TTO655456 UDK655456 UNG655456 UXC655456 VGY655456 VQU655456 WAQ655456 WKM655456 WUI655456 HW720992 RS720992 ABO720992 ALK720992 AVG720992 BFC720992 BOY720992 BYU720992 CIQ720992 CSM720992 DCI720992 DME720992 DWA720992 EFW720992 EPS720992 EZO720992 FJK720992 FTG720992 GDC720992 GMY720992 GWU720992 HGQ720992 HQM720992 IAI720992 IKE720992 IUA720992 JDW720992 JNS720992 JXO720992 KHK720992 KRG720992 LBC720992 LKY720992 LUU720992 MEQ720992 MOM720992 MYI720992 NIE720992 NSA720992 OBW720992 OLS720992 OVO720992 PFK720992 PPG720992 PZC720992 QIY720992 QSU720992 RCQ720992 RMM720992 RWI720992 SGE720992 SQA720992 SZW720992 TJS720992 TTO720992 UDK720992 UNG720992 UXC720992 VGY720992 VQU720992 WAQ720992 WKM720992 WUI720992 HW786528 RS786528 ABO786528 ALK786528 AVG786528 BFC786528 BOY786528 BYU786528 CIQ786528 CSM786528 DCI786528 DME786528 DWA786528 EFW786528 EPS786528 EZO786528 FJK786528 FTG786528 GDC786528 GMY786528 GWU786528 HGQ786528 HQM786528 IAI786528 IKE786528 IUA786528 JDW786528 JNS786528 JXO786528 KHK786528 KRG786528 LBC786528 LKY786528 LUU786528 MEQ786528 MOM786528 MYI786528 NIE786528 NSA786528 OBW786528 OLS786528 OVO786528 PFK786528 PPG786528 PZC786528 QIY786528 QSU786528 RCQ786528 RMM786528 RWI786528 SGE786528 SQA786528 SZW786528 TJS786528 TTO786528 UDK786528 UNG786528 UXC786528 VGY786528 VQU786528 WAQ786528 WKM786528 WUI786528 HW852064 RS852064 ABO852064 ALK852064 AVG852064 BFC852064 BOY852064 BYU852064 CIQ852064 CSM852064 DCI852064 DME852064 DWA852064 EFW852064 EPS852064 EZO852064 FJK852064 FTG852064 GDC852064 GMY852064 GWU852064 HGQ852064 HQM852064 IAI852064 IKE852064 IUA852064 JDW852064 JNS852064 JXO852064 KHK852064 KRG852064 LBC852064 LKY852064 LUU852064 MEQ852064 MOM852064 MYI852064 NIE852064 NSA852064 OBW852064 OLS852064 OVO852064 PFK852064 PPG852064 PZC852064 QIY852064 QSU852064 RCQ852064 RMM852064 RWI852064 SGE852064 SQA852064 SZW852064 TJS852064 TTO852064 UDK852064 UNG852064 UXC852064 VGY852064 VQU852064 WAQ852064 WKM852064 WUI852064 HW917600 RS917600 ABO917600 ALK917600 AVG917600 BFC917600 BOY917600 BYU917600 CIQ917600 CSM917600 DCI917600 DME917600 DWA917600 EFW917600 EPS917600 EZO917600 FJK917600 FTG917600 GDC917600 GMY917600 GWU917600 HGQ917600 HQM917600 IAI917600 IKE917600 IUA917600 JDW917600 JNS917600 JXO917600 KHK917600 KRG917600 LBC917600 LKY917600 LUU917600 MEQ917600 MOM917600 MYI917600 NIE917600 NSA917600 OBW917600 OLS917600 OVO917600 PFK917600 PPG917600 PZC917600 QIY917600 QSU917600 RCQ917600 RMM917600 RWI917600 SGE917600 SQA917600 SZW917600 TJS917600 TTO917600 UDK917600 UNG917600 UXC917600 VGY917600 VQU917600 WAQ917600 WKM917600 WUI917600 HW983136 RS983136 ABO983136 ALK983136 AVG983136 BFC983136 BOY983136 BYU983136 CIQ983136 CSM983136 DCI983136 DME983136 DWA983136 EFW983136 EPS983136 EZO983136 FJK983136 FTG983136 GDC983136 GMY983136 GWU983136 HGQ983136 HQM983136 IAI983136 IKE983136 IUA983136 JDW983136 JNS983136 JXO983136 KHK983136 KRG983136 LBC983136 LKY983136 LUU983136 MEQ983136 MOM983136 MYI983136 NIE983136 NSA983136 OBW983136 OLS983136 OVO983136 PFK983136 PPG983136 PZC983136 QIY983136 QSU983136 RCQ983136 RMM983136 RWI983136 SGE983136 SQA983136 SZW983136 TJS983136 TTO983136 UDK983136 UNG983136 UXC983136 VGY983136 VQU983136 WAQ983136 WKM983136 WUI983136 HW65643 RS65643 ABO65643 ALK65643 AVG65643 BFC65643 BOY65643 BYU65643 CIQ65643 CSM65643 DCI65643 DME65643 DWA65643 EFW65643 EPS65643 EZO65643 FJK65643 FTG65643 GDC65643 GMY65643 GWU65643 HGQ65643 HQM65643 IAI65643 IKE65643 IUA65643 JDW65643 JNS65643 JXO65643 KHK65643 KRG65643 LBC65643 LKY65643 LUU65643 MEQ65643 MOM65643 MYI65643 NIE65643 NSA65643 OBW65643 OLS65643 OVO65643 PFK65643 PPG65643 PZC65643 QIY65643 QSU65643 RCQ65643 RMM65643 RWI65643 SGE65643 SQA65643 SZW65643 TJS65643 TTO65643 UDK65643 UNG65643 UXC65643 VGY65643 VQU65643 WAQ65643 WKM65643 WUI65643 HW131179 RS131179 ABO131179 ALK131179 AVG131179 BFC131179 BOY131179 BYU131179 CIQ131179 CSM131179 DCI131179 DME131179 DWA131179 EFW131179 EPS131179 EZO131179 FJK131179 FTG131179 GDC131179 GMY131179 GWU131179 HGQ131179 HQM131179 IAI131179 IKE131179 IUA131179 JDW131179 JNS131179 JXO131179 KHK131179 KRG131179 LBC131179 LKY131179 LUU131179 MEQ131179 MOM131179 MYI131179 NIE131179 NSA131179 OBW131179 OLS131179 OVO131179 PFK131179 PPG131179 PZC131179 QIY131179 QSU131179 RCQ131179 RMM131179 RWI131179 SGE131179 SQA131179 SZW131179 TJS131179 TTO131179 UDK131179 UNG131179 UXC131179 VGY131179 VQU131179 WAQ131179 WKM131179 WUI131179 HW196715 RS196715 ABO196715 ALK196715 AVG196715 BFC196715 BOY196715 BYU196715 CIQ196715 CSM196715 DCI196715 DME196715 DWA196715 EFW196715 EPS196715 EZO196715 FJK196715 FTG196715 GDC196715 GMY196715 GWU196715 HGQ196715 HQM196715 IAI196715 IKE196715 IUA196715 JDW196715 JNS196715 JXO196715 KHK196715 KRG196715 LBC196715 LKY196715 LUU196715 MEQ196715 MOM196715 MYI196715 NIE196715 NSA196715 OBW196715 OLS196715 OVO196715 PFK196715 PPG196715 PZC196715 QIY196715 QSU196715 RCQ196715 RMM196715 RWI196715 SGE196715 SQA196715 SZW196715 TJS196715 TTO196715 UDK196715 UNG196715 UXC196715 VGY196715 VQU196715 WAQ196715 WKM196715 WUI196715 HW262251 RS262251 ABO262251 ALK262251 AVG262251 BFC262251 BOY262251 BYU262251 CIQ262251 CSM262251 DCI262251 DME262251 DWA262251 EFW262251 EPS262251 EZO262251 FJK262251 FTG262251 GDC262251 GMY262251 GWU262251 HGQ262251 HQM262251 IAI262251 IKE262251 IUA262251 JDW262251 JNS262251 JXO262251 KHK262251 KRG262251 LBC262251 LKY262251 LUU262251 MEQ262251 MOM262251 MYI262251 NIE262251 NSA262251 OBW262251 OLS262251 OVO262251 PFK262251 PPG262251 PZC262251 QIY262251 QSU262251 RCQ262251 RMM262251 RWI262251 SGE262251 SQA262251 SZW262251 TJS262251 TTO262251 UDK262251 UNG262251 UXC262251 VGY262251 VQU262251 WAQ262251 WKM262251 WUI262251 HW327787 RS327787 ABO327787 ALK327787 AVG327787 BFC327787 BOY327787 BYU327787 CIQ327787 CSM327787 DCI327787 DME327787 DWA327787 EFW327787 EPS327787 EZO327787 FJK327787 FTG327787 GDC327787 GMY327787 GWU327787 HGQ327787 HQM327787 IAI327787 IKE327787 IUA327787 JDW327787 JNS327787 JXO327787 KHK327787 KRG327787 LBC327787 LKY327787 LUU327787 MEQ327787 MOM327787 MYI327787 NIE327787 NSA327787 OBW327787 OLS327787 OVO327787 PFK327787 PPG327787 PZC327787 QIY327787 QSU327787 RCQ327787 RMM327787 RWI327787 SGE327787 SQA327787 SZW327787 TJS327787 TTO327787 UDK327787 UNG327787 UXC327787 VGY327787 VQU327787 WAQ327787 WKM327787 WUI327787 HW393323 RS393323 ABO393323 ALK393323 AVG393323 BFC393323 BOY393323 BYU393323 CIQ393323 CSM393323 DCI393323 DME393323 DWA393323 EFW393323 EPS393323 EZO393323 FJK393323 FTG393323 GDC393323 GMY393323 GWU393323 HGQ393323 HQM393323 IAI393323 IKE393323 IUA393323 JDW393323 JNS393323 JXO393323 KHK393323 KRG393323 LBC393323 LKY393323 LUU393323 MEQ393323 MOM393323 MYI393323 NIE393323 NSA393323 OBW393323 OLS393323 OVO393323 PFK393323 PPG393323 PZC393323 QIY393323 QSU393323 RCQ393323 RMM393323 RWI393323 SGE393323 SQA393323 SZW393323 TJS393323 TTO393323 UDK393323 UNG393323 UXC393323 VGY393323 VQU393323 WAQ393323 WKM393323 WUI393323 HW458859 RS458859 ABO458859 ALK458859 AVG458859 BFC458859 BOY458859 BYU458859 CIQ458859 CSM458859 DCI458859 DME458859 DWA458859 EFW458859 EPS458859 EZO458859 FJK458859 FTG458859 GDC458859 GMY458859 GWU458859 HGQ458859 HQM458859 IAI458859 IKE458859 IUA458859 JDW458859 JNS458859 JXO458859 KHK458859 KRG458859 LBC458859 LKY458859 LUU458859 MEQ458859 MOM458859 MYI458859 NIE458859 NSA458859 OBW458859 OLS458859 OVO458859 PFK458859 PPG458859 PZC458859 QIY458859 QSU458859 RCQ458859 RMM458859 RWI458859 SGE458859 SQA458859 SZW458859 TJS458859 TTO458859 UDK458859 UNG458859 UXC458859 VGY458859 VQU458859 WAQ458859 WKM458859 WUI458859 HW524395 RS524395 ABO524395 ALK524395 AVG524395 BFC524395 BOY524395 BYU524395 CIQ524395 CSM524395 DCI524395 DME524395 DWA524395 EFW524395 EPS524395 EZO524395 FJK524395 FTG524395 GDC524395 GMY524395 GWU524395 HGQ524395 HQM524395 IAI524395 IKE524395 IUA524395 JDW524395 JNS524395 JXO524395 KHK524395 KRG524395 LBC524395 LKY524395 LUU524395 MEQ524395 MOM524395 MYI524395 NIE524395 NSA524395 OBW524395 OLS524395 OVO524395 PFK524395 PPG524395 PZC524395 QIY524395 QSU524395 RCQ524395 RMM524395 RWI524395 SGE524395 SQA524395 SZW524395 TJS524395 TTO524395 UDK524395 UNG524395 UXC524395 VGY524395 VQU524395 WAQ524395 WKM524395 WUI524395 HW589931 RS589931 ABO589931 ALK589931 AVG589931 BFC589931 BOY589931 BYU589931 CIQ589931 CSM589931 DCI589931 DME589931 DWA589931 EFW589931 EPS589931 EZO589931 FJK589931 FTG589931 GDC589931 GMY589931 GWU589931 HGQ589931 HQM589931 IAI589931 IKE589931 IUA589931 JDW589931 JNS589931 JXO589931 KHK589931 KRG589931 LBC589931 LKY589931 LUU589931 MEQ589931 MOM589931 MYI589931 NIE589931 NSA589931 OBW589931 OLS589931 OVO589931 PFK589931 PPG589931 PZC589931 QIY589931 QSU589931 RCQ589931 RMM589931 RWI589931 SGE589931 SQA589931 SZW589931 TJS589931 TTO589931 UDK589931 UNG589931 UXC589931 VGY589931 VQU589931 WAQ589931 WKM589931 WUI589931 HW655467 RS655467 ABO655467 ALK655467 AVG655467 BFC655467 BOY655467 BYU655467 CIQ655467 CSM655467 DCI655467 DME655467 DWA655467 EFW655467 EPS655467 EZO655467 FJK655467 FTG655467 GDC655467 GMY655467 GWU655467 HGQ655467 HQM655467 IAI655467 IKE655467 IUA655467 JDW655467 JNS655467 JXO655467 KHK655467 KRG655467 LBC655467 LKY655467 LUU655467 MEQ655467 MOM655467 MYI655467 NIE655467 NSA655467 OBW655467 OLS655467 OVO655467 PFK655467 PPG655467 PZC655467 QIY655467 QSU655467 RCQ655467 RMM655467 RWI655467 SGE655467 SQA655467 SZW655467 TJS655467 TTO655467 UDK655467 UNG655467 UXC655467 VGY655467 VQU655467 WAQ655467 WKM655467 WUI655467 HW721003 RS721003 ABO721003 ALK721003 AVG721003 BFC721003 BOY721003 BYU721003 CIQ721003 CSM721003 DCI721003 DME721003 DWA721003 EFW721003 EPS721003 EZO721003 FJK721003 FTG721003 GDC721003 GMY721003 GWU721003 HGQ721003 HQM721003 IAI721003 IKE721003 IUA721003 JDW721003 JNS721003 JXO721003 KHK721003 KRG721003 LBC721003 LKY721003 LUU721003 MEQ721003 MOM721003 MYI721003 NIE721003 NSA721003 OBW721003 OLS721003 OVO721003 PFK721003 PPG721003 PZC721003 QIY721003 QSU721003 RCQ721003 RMM721003 RWI721003 SGE721003 SQA721003 SZW721003 TJS721003 TTO721003 UDK721003 UNG721003 UXC721003 VGY721003 VQU721003 WAQ721003 WKM721003 WUI721003 HW786539 RS786539 ABO786539 ALK786539 AVG786539 BFC786539 BOY786539 BYU786539 CIQ786539 CSM786539 DCI786539 DME786539 DWA786539 EFW786539 EPS786539 EZO786539 FJK786539 FTG786539 GDC786539 GMY786539 GWU786539 HGQ786539 HQM786539 IAI786539 IKE786539 IUA786539 JDW786539 JNS786539 JXO786539 KHK786539 KRG786539 LBC786539 LKY786539 LUU786539 MEQ786539 MOM786539 MYI786539 NIE786539 NSA786539 OBW786539 OLS786539 OVO786539 PFK786539 PPG786539 PZC786539 QIY786539 QSU786539 RCQ786539 RMM786539 RWI786539 SGE786539 SQA786539 SZW786539 TJS786539 TTO786539 UDK786539 UNG786539 UXC786539 VGY786539 VQU786539 WAQ786539 WKM786539 WUI786539 HW852075 RS852075 ABO852075 ALK852075 AVG852075 BFC852075 BOY852075 BYU852075 CIQ852075 CSM852075 DCI852075 DME852075 DWA852075 EFW852075 EPS852075 EZO852075 FJK852075 FTG852075 GDC852075 GMY852075 GWU852075 HGQ852075 HQM852075 IAI852075 IKE852075 IUA852075 JDW852075 JNS852075 JXO852075 KHK852075 KRG852075 LBC852075 LKY852075 LUU852075 MEQ852075 MOM852075 MYI852075 NIE852075 NSA852075 OBW852075 OLS852075 OVO852075 PFK852075 PPG852075 PZC852075 QIY852075 QSU852075 RCQ852075 RMM852075 RWI852075 SGE852075 SQA852075 SZW852075 TJS852075 TTO852075 UDK852075 UNG852075 UXC852075 VGY852075 VQU852075 WAQ852075 WKM852075 WUI852075 HW917611 RS917611 ABO917611 ALK917611 AVG917611 BFC917611 BOY917611 BYU917611 CIQ917611 CSM917611 DCI917611 DME917611 DWA917611 EFW917611 EPS917611 EZO917611 FJK917611 FTG917611 GDC917611 GMY917611 GWU917611 HGQ917611 HQM917611 IAI917611 IKE917611 IUA917611 JDW917611 JNS917611 JXO917611 KHK917611 KRG917611 LBC917611 LKY917611 LUU917611 MEQ917611 MOM917611 MYI917611 NIE917611 NSA917611 OBW917611 OLS917611 OVO917611 PFK917611 PPG917611 PZC917611 QIY917611 QSU917611 RCQ917611 RMM917611 RWI917611 SGE917611 SQA917611 SZW917611 TJS917611 TTO917611 UDK917611 UNG917611 UXC917611 VGY917611 VQU917611 WAQ917611 WKM917611 WUI917611 HW983147 RS983147 ABO983147 ALK983147 AVG983147 BFC983147 BOY983147 BYU983147 CIQ983147 CSM983147 DCI983147 DME983147 DWA983147 EFW983147 EPS983147 EZO983147 FJK983147 FTG983147 GDC983147 GMY983147 GWU983147 HGQ983147 HQM983147 IAI983147 IKE983147 IUA983147 JDW983147 JNS983147 JXO983147 KHK983147 KRG983147 LBC983147 LKY983147 LUU983147 MEQ983147 MOM983147 MYI983147 NIE983147 NSA983147 OBW983147 OLS983147 OVO983147 PFK983147 PPG983147 PZC983147 QIY983147 QSU983147 RCQ983147 RMM983147 RWI983147 SGE983147 SQA983147 SZW983147 TJS983147 TTO983147 UDK983147 UNG983147 UXC983147 VGY983147 VQU983147 WAQ983147 WKM983147 WUI983147 HW65638 RS65638 ABO65638 ALK65638 AVG65638 BFC65638 BOY65638 BYU65638 CIQ65638 CSM65638 DCI65638 DME65638 DWA65638 EFW65638 EPS65638 EZO65638 FJK65638 FTG65638 GDC65638 GMY65638 GWU65638 HGQ65638 HQM65638 IAI65638 IKE65638 IUA65638 JDW65638 JNS65638 JXO65638 KHK65638 KRG65638 LBC65638 LKY65638 LUU65638 MEQ65638 MOM65638 MYI65638 NIE65638 NSA65638 OBW65638 OLS65638 OVO65638 PFK65638 PPG65638 PZC65638 QIY65638 QSU65638 RCQ65638 RMM65638 RWI65638 SGE65638 SQA65638 SZW65638 TJS65638 TTO65638 UDK65638 UNG65638 UXC65638 VGY65638 VQU65638 WAQ65638 WKM65638 WUI65638 HW131174 RS131174 ABO131174 ALK131174 AVG131174 BFC131174 BOY131174 BYU131174 CIQ131174 CSM131174 DCI131174 DME131174 DWA131174 EFW131174 EPS131174 EZO131174 FJK131174 FTG131174 GDC131174 GMY131174 GWU131174 HGQ131174 HQM131174 IAI131174 IKE131174 IUA131174 JDW131174 JNS131174 JXO131174 KHK131174 KRG131174 LBC131174 LKY131174 LUU131174 MEQ131174 MOM131174 MYI131174 NIE131174 NSA131174 OBW131174 OLS131174 OVO131174 PFK131174 PPG131174 PZC131174 QIY131174 QSU131174 RCQ131174 RMM131174 RWI131174 SGE131174 SQA131174 SZW131174 TJS131174 TTO131174 UDK131174 UNG131174 UXC131174 VGY131174 VQU131174 WAQ131174 WKM131174 WUI131174 HW196710 RS196710 ABO196710 ALK196710 AVG196710 BFC196710 BOY196710 BYU196710 CIQ196710 CSM196710 DCI196710 DME196710 DWA196710 EFW196710 EPS196710 EZO196710 FJK196710 FTG196710 GDC196710 GMY196710 GWU196710 HGQ196710 HQM196710 IAI196710 IKE196710 IUA196710 JDW196710 JNS196710 JXO196710 KHK196710 KRG196710 LBC196710 LKY196710 LUU196710 MEQ196710 MOM196710 MYI196710 NIE196710 NSA196710 OBW196710 OLS196710 OVO196710 PFK196710 PPG196710 PZC196710 QIY196710 QSU196710 RCQ196710 RMM196710 RWI196710 SGE196710 SQA196710 SZW196710 TJS196710 TTO196710 UDK196710 UNG196710 UXC196710 VGY196710 VQU196710 WAQ196710 WKM196710 WUI196710 HW262246 RS262246 ABO262246 ALK262246 AVG262246 BFC262246 BOY262246 BYU262246 CIQ262246 CSM262246 DCI262246 DME262246 DWA262246 EFW262246 EPS262246 EZO262246 FJK262246 FTG262246 GDC262246 GMY262246 GWU262246 HGQ262246 HQM262246 IAI262246 IKE262246 IUA262246 JDW262246 JNS262246 JXO262246 KHK262246 KRG262246 LBC262246 LKY262246 LUU262246 MEQ262246 MOM262246 MYI262246 NIE262246 NSA262246 OBW262246 OLS262246 OVO262246 PFK262246 PPG262246 PZC262246 QIY262246 QSU262246 RCQ262246 RMM262246 RWI262246 SGE262246 SQA262246 SZW262246 TJS262246 TTO262246 UDK262246 UNG262246 UXC262246 VGY262246 VQU262246 WAQ262246 WKM262246 WUI262246 HW327782 RS327782 ABO327782 ALK327782 AVG327782 BFC327782 BOY327782 BYU327782 CIQ327782 CSM327782 DCI327782 DME327782 DWA327782 EFW327782 EPS327782 EZO327782 FJK327782 FTG327782 GDC327782 GMY327782 GWU327782 HGQ327782 HQM327782 IAI327782 IKE327782 IUA327782 JDW327782 JNS327782 JXO327782 KHK327782 KRG327782 LBC327782 LKY327782 LUU327782 MEQ327782 MOM327782 MYI327782 NIE327782 NSA327782 OBW327782 OLS327782 OVO327782 PFK327782 PPG327782 PZC327782 QIY327782 QSU327782 RCQ327782 RMM327782 RWI327782 SGE327782 SQA327782 SZW327782 TJS327782 TTO327782 UDK327782 UNG327782 UXC327782 VGY327782 VQU327782 WAQ327782 WKM327782 WUI327782 HW393318 RS393318 ABO393318 ALK393318 AVG393318 BFC393318 BOY393318 BYU393318 CIQ393318 CSM393318 DCI393318 DME393318 DWA393318 EFW393318 EPS393318 EZO393318 FJK393318 FTG393318 GDC393318 GMY393318 GWU393318 HGQ393318 HQM393318 IAI393318 IKE393318 IUA393318 JDW393318 JNS393318 JXO393318 KHK393318 KRG393318 LBC393318 LKY393318 LUU393318 MEQ393318 MOM393318 MYI393318 NIE393318 NSA393318 OBW393318 OLS393318 OVO393318 PFK393318 PPG393318 PZC393318 QIY393318 QSU393318 RCQ393318 RMM393318 RWI393318 SGE393318 SQA393318 SZW393318 TJS393318 TTO393318 UDK393318 UNG393318 UXC393318 VGY393318 VQU393318 WAQ393318 WKM393318 WUI393318 HW458854 RS458854 ABO458854 ALK458854 AVG458854 BFC458854 BOY458854 BYU458854 CIQ458854 CSM458854 DCI458854 DME458854 DWA458854 EFW458854 EPS458854 EZO458854 FJK458854 FTG458854 GDC458854 GMY458854 GWU458854 HGQ458854 HQM458854 IAI458854 IKE458854 IUA458854 JDW458854 JNS458854 JXO458854 KHK458854 KRG458854 LBC458854 LKY458854 LUU458854 MEQ458854 MOM458854 MYI458854 NIE458854 NSA458854 OBW458854 OLS458854 OVO458854 PFK458854 PPG458854 PZC458854 QIY458854 QSU458854 RCQ458854 RMM458854 RWI458854 SGE458854 SQA458854 SZW458854 TJS458854 TTO458854 UDK458854 UNG458854 UXC458854 VGY458854 VQU458854 WAQ458854 WKM458854 WUI458854 HW524390 RS524390 ABO524390 ALK524390 AVG524390 BFC524390 BOY524390 BYU524390 CIQ524390 CSM524390 DCI524390 DME524390 DWA524390 EFW524390 EPS524390 EZO524390 FJK524390 FTG524390 GDC524390 GMY524390 GWU524390 HGQ524390 HQM524390 IAI524390 IKE524390 IUA524390 JDW524390 JNS524390 JXO524390 KHK524390 KRG524390 LBC524390 LKY524390 LUU524390 MEQ524390 MOM524390 MYI524390 NIE524390 NSA524390 OBW524390 OLS524390 OVO524390 PFK524390 PPG524390 PZC524390 QIY524390 QSU524390 RCQ524390 RMM524390 RWI524390 SGE524390 SQA524390 SZW524390 TJS524390 TTO524390 UDK524390 UNG524390 UXC524390 VGY524390 VQU524390 WAQ524390 WKM524390 WUI524390 HW589926 RS589926 ABO589926 ALK589926 AVG589926 BFC589926 BOY589926 BYU589926 CIQ589926 CSM589926 DCI589926 DME589926 DWA589926 EFW589926 EPS589926 EZO589926 FJK589926 FTG589926 GDC589926 GMY589926 GWU589926 HGQ589926 HQM589926 IAI589926 IKE589926 IUA589926 JDW589926 JNS589926 JXO589926 KHK589926 KRG589926 LBC589926 LKY589926 LUU589926 MEQ589926 MOM589926 MYI589926 NIE589926 NSA589926 OBW589926 OLS589926 OVO589926 PFK589926 PPG589926 PZC589926 QIY589926 QSU589926 RCQ589926 RMM589926 RWI589926 SGE589926 SQA589926 SZW589926 TJS589926 TTO589926 UDK589926 UNG589926 UXC589926 VGY589926 VQU589926 WAQ589926 WKM589926 WUI589926 HW655462 RS655462 ABO655462 ALK655462 AVG655462 BFC655462 BOY655462 BYU655462 CIQ655462 CSM655462 DCI655462 DME655462 DWA655462 EFW655462 EPS655462 EZO655462 FJK655462 FTG655462 GDC655462 GMY655462 GWU655462 HGQ655462 HQM655462 IAI655462 IKE655462 IUA655462 JDW655462 JNS655462 JXO655462 KHK655462 KRG655462 LBC655462 LKY655462 LUU655462 MEQ655462 MOM655462 MYI655462 NIE655462 NSA655462 OBW655462 OLS655462 OVO655462 PFK655462 PPG655462 PZC655462 QIY655462 QSU655462 RCQ655462 RMM655462 RWI655462 SGE655462 SQA655462 SZW655462 TJS655462 TTO655462 UDK655462 UNG655462 UXC655462 VGY655462 VQU655462 WAQ655462 WKM655462 WUI655462 HW720998 RS720998 ABO720998 ALK720998 AVG720998 BFC720998 BOY720998 BYU720998 CIQ720998 CSM720998 DCI720998 DME720998 DWA720998 EFW720998 EPS720998 EZO720998 FJK720998 FTG720998 GDC720998 GMY720998 GWU720998 HGQ720998 HQM720998 IAI720998 IKE720998 IUA720998 JDW720998 JNS720998 JXO720998 KHK720998 KRG720998 LBC720998 LKY720998 LUU720998 MEQ720998 MOM720998 MYI720998 NIE720998 NSA720998 OBW720998 OLS720998 OVO720998 PFK720998 PPG720998 PZC720998 QIY720998 QSU720998 RCQ720998 RMM720998 RWI720998 SGE720998 SQA720998 SZW720998 TJS720998 TTO720998 UDK720998 UNG720998 UXC720998 VGY720998 VQU720998 WAQ720998 WKM720998 WUI720998 HW786534 RS786534 ABO786534 ALK786534 AVG786534 BFC786534 BOY786534 BYU786534 CIQ786534 CSM786534 DCI786534 DME786534 DWA786534 EFW786534 EPS786534 EZO786534 FJK786534 FTG786534 GDC786534 GMY786534 GWU786534 HGQ786534 HQM786534 IAI786534 IKE786534 IUA786534 JDW786534 JNS786534 JXO786534 KHK786534 KRG786534 LBC786534 LKY786534 LUU786534 MEQ786534 MOM786534 MYI786534 NIE786534 NSA786534 OBW786534 OLS786534 OVO786534 PFK786534 PPG786534 PZC786534 QIY786534 QSU786534 RCQ786534 RMM786534 RWI786534 SGE786534 SQA786534 SZW786534 TJS786534 TTO786534 UDK786534 UNG786534 UXC786534 VGY786534 VQU786534 WAQ786534 WKM786534 WUI786534 HW852070 RS852070 ABO852070 ALK852070 AVG852070 BFC852070 BOY852070 BYU852070 CIQ852070 CSM852070 DCI852070 DME852070 DWA852070 EFW852070 EPS852070 EZO852070 FJK852070 FTG852070 GDC852070 GMY852070 GWU852070 HGQ852070 HQM852070 IAI852070 IKE852070 IUA852070 JDW852070 JNS852070 JXO852070 KHK852070 KRG852070 LBC852070 LKY852070 LUU852070 MEQ852070 MOM852070 MYI852070 NIE852070 NSA852070 OBW852070 OLS852070 OVO852070 PFK852070 PPG852070 PZC852070 QIY852070 QSU852070 RCQ852070 RMM852070 RWI852070 SGE852070 SQA852070 SZW852070 TJS852070 TTO852070 UDK852070 UNG852070 UXC852070 VGY852070 VQU852070 WAQ852070 WKM852070 WUI852070 HW917606 RS917606 ABO917606 ALK917606 AVG917606 BFC917606 BOY917606 BYU917606 CIQ917606 CSM917606 DCI917606 DME917606 DWA917606 EFW917606 EPS917606 EZO917606 FJK917606 FTG917606 GDC917606 GMY917606 GWU917606 HGQ917606 HQM917606 IAI917606 IKE917606 IUA917606 JDW917606 JNS917606 JXO917606 KHK917606 KRG917606 LBC917606 LKY917606 LUU917606 MEQ917606 MOM917606 MYI917606 NIE917606 NSA917606 OBW917606 OLS917606 OVO917606 PFK917606 PPG917606 PZC917606 QIY917606 QSU917606 RCQ917606 RMM917606 RWI917606 SGE917606 SQA917606 SZW917606 TJS917606 TTO917606 UDK917606 UNG917606 UXC917606 VGY917606 VQU917606 WAQ917606 WKM917606 WUI917606 HW983142 RS983142 ABO983142 ALK983142 AVG983142 BFC983142 BOY983142 BYU983142 CIQ983142 CSM983142 DCI983142 DME983142 DWA983142 EFW983142 EPS983142 EZO983142 FJK983142 FTG983142 GDC983142 GMY983142 GWU983142 HGQ983142 HQM983142 IAI983142 IKE983142 IUA983142 JDW983142 JNS983142 JXO983142 KHK983142 KRG983142 LBC983142 LKY983142 LUU983142 MEQ983142 MOM983142 MYI983142 NIE983142 NSA983142 OBW983142 OLS983142 OVO983142 PFK983142 PPG983142 PZC983142 QIY983142 QSU983142 RCQ983142 RMM983142 RWI983142 SGE983142 SQA983142 SZW983142 TJS983142 TTO983142 UDK983142 UNG983142 UXC983142 VGY983142 VQU983142 WAQ983142 WKM983142 WUI983142 E983142 E917606 E852070 E786534 E720998 E655462 E589926 E524390 E458854 E393318 E327782 E262246 E196710 E131174 E65638 E983147 E917611 E852075 E786539 E721003 E655467 E589931 E524395 E458859 E393323 E327787 E262251 E196715 E131179 E65643 E983136 E917600 E852064 E786528 E720992 E655456 E589920 E524384 E458848 E393312 E327776 E262240 E196704 E131168">
      <formula1>"Yes,No"</formula1>
    </dataValidation>
  </dataValidations>
  <pageMargins left="0.7" right="0.7" top="0.75" bottom="0.75" header="0.3" footer="0.3"/>
  <pageSetup orientation="portrait" horizontalDpi="4294967293" r:id="rId1"/>
  <ignoredErrors>
    <ignoredError sqref="E107 G203" formula="1"/>
  </ignoredErrors>
  <legacyDrawing r:id="rId2"/>
</worksheet>
</file>

<file path=xl/worksheets/sheet6.xml><?xml version="1.0" encoding="utf-8"?>
<worksheet xmlns="http://schemas.openxmlformats.org/spreadsheetml/2006/main" xmlns:r="http://schemas.openxmlformats.org/officeDocument/2006/relationships">
  <sheetPr codeName="Sheet6"/>
  <dimension ref="B1:N159"/>
  <sheetViews>
    <sheetView showGridLines="0" zoomScale="80" zoomScaleNormal="80" workbookViewId="0">
      <pane xSplit="1" ySplit="3" topLeftCell="B4" activePane="bottomRight" state="frozen"/>
      <selection pane="topRight" activeCell="B1" sqref="B1"/>
      <selection pane="bottomLeft" activeCell="A4" sqref="A4"/>
      <selection pane="bottomRight" activeCell="B5" sqref="B5"/>
    </sheetView>
  </sheetViews>
  <sheetFormatPr defaultColWidth="9.7109375" defaultRowHeight="1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c r="D1" s="67"/>
      <c r="F1" s="68"/>
    </row>
    <row r="2" spans="2:11" ht="30" customHeight="1" thickBot="1">
      <c r="B2" s="96" t="s">
        <v>230</v>
      </c>
      <c r="C2" s="71"/>
      <c r="D2" s="97"/>
      <c r="E2" s="72"/>
      <c r="F2" s="68"/>
      <c r="G2" s="328"/>
      <c r="H2" s="328"/>
      <c r="I2" s="328"/>
      <c r="J2" s="328"/>
      <c r="K2" s="328"/>
    </row>
    <row r="3" spans="2:11" ht="18.75" thickBot="1">
      <c r="B3" s="98" t="s">
        <v>169</v>
      </c>
      <c r="C3" s="99"/>
      <c r="D3" s="100"/>
      <c r="E3" s="107"/>
      <c r="F3" s="68"/>
      <c r="G3" s="328"/>
      <c r="H3" s="328"/>
      <c r="I3" s="328"/>
      <c r="J3" s="328"/>
      <c r="K3" s="328"/>
    </row>
    <row r="4" spans="2:11" ht="15.75" thickBot="1">
      <c r="D4" s="67"/>
      <c r="F4" s="68"/>
    </row>
    <row r="5" spans="2:11" ht="30.75" thickBot="1">
      <c r="B5" s="121" t="str">
        <f>Inputs!E16</f>
        <v>Generation Equipment</v>
      </c>
      <c r="C5" s="111" t="s">
        <v>0</v>
      </c>
      <c r="D5" s="112" t="s">
        <v>96</v>
      </c>
      <c r="E5" s="102" t="s">
        <v>165</v>
      </c>
    </row>
    <row r="6" spans="2:11" ht="15.75">
      <c r="B6" s="144" t="s">
        <v>342</v>
      </c>
      <c r="C6" s="147">
        <v>6000000</v>
      </c>
      <c r="D6" s="145">
        <v>1</v>
      </c>
      <c r="E6" s="318" t="s">
        <v>20</v>
      </c>
    </row>
    <row r="7" spans="2:11" ht="15.75">
      <c r="B7" s="146" t="s">
        <v>343</v>
      </c>
      <c r="C7" s="147">
        <v>3000000</v>
      </c>
      <c r="D7" s="145">
        <v>1</v>
      </c>
      <c r="E7" s="318" t="s">
        <v>20</v>
      </c>
    </row>
    <row r="8" spans="2:11" ht="15.75">
      <c r="B8" s="146" t="s">
        <v>344</v>
      </c>
      <c r="C8" s="147">
        <v>250000</v>
      </c>
      <c r="D8" s="145">
        <v>1</v>
      </c>
      <c r="E8" s="318" t="s">
        <v>20</v>
      </c>
    </row>
    <row r="9" spans="2:11" ht="15.75">
      <c r="B9" s="146" t="s">
        <v>345</v>
      </c>
      <c r="C9" s="147">
        <v>250000</v>
      </c>
      <c r="D9" s="145">
        <v>1</v>
      </c>
      <c r="E9" s="318" t="s">
        <v>20</v>
      </c>
    </row>
    <row r="10" spans="2:11" ht="15.75">
      <c r="B10" s="146" t="s">
        <v>346</v>
      </c>
      <c r="C10" s="147">
        <v>30000</v>
      </c>
      <c r="D10" s="145">
        <v>1</v>
      </c>
      <c r="E10" s="318" t="s">
        <v>20</v>
      </c>
    </row>
    <row r="11" spans="2:11" ht="15.75">
      <c r="B11" s="146" t="s">
        <v>347</v>
      </c>
      <c r="C11" s="147">
        <v>0</v>
      </c>
      <c r="D11" s="145">
        <v>1</v>
      </c>
      <c r="E11" s="318" t="s">
        <v>20</v>
      </c>
    </row>
    <row r="12" spans="2:11" ht="15.75">
      <c r="B12" s="146" t="s">
        <v>348</v>
      </c>
      <c r="C12" s="147">
        <v>600000</v>
      </c>
      <c r="D12" s="145">
        <v>1</v>
      </c>
      <c r="E12" s="318" t="s">
        <v>20</v>
      </c>
    </row>
    <row r="13" spans="2:11" ht="15.75">
      <c r="B13" s="146" t="s">
        <v>349</v>
      </c>
      <c r="C13" s="147">
        <v>0</v>
      </c>
      <c r="D13" s="145">
        <v>1</v>
      </c>
      <c r="E13" s="318" t="s">
        <v>20</v>
      </c>
    </row>
    <row r="14" spans="2:11" ht="15.75">
      <c r="B14" s="146" t="s">
        <v>185</v>
      </c>
      <c r="C14" s="147">
        <v>0</v>
      </c>
      <c r="D14" s="145">
        <v>1</v>
      </c>
      <c r="E14" s="318" t="s">
        <v>20</v>
      </c>
    </row>
    <row r="15" spans="2:11" ht="15.75">
      <c r="B15" s="146" t="s">
        <v>97</v>
      </c>
      <c r="C15" s="147">
        <v>0</v>
      </c>
      <c r="D15" s="145">
        <v>1</v>
      </c>
      <c r="E15" s="318" t="s">
        <v>20</v>
      </c>
    </row>
    <row r="16" spans="2:11" ht="15.75">
      <c r="B16" s="146" t="s">
        <v>97</v>
      </c>
      <c r="C16" s="147">
        <v>0</v>
      </c>
      <c r="D16" s="145">
        <v>1</v>
      </c>
      <c r="E16" s="318" t="s">
        <v>20</v>
      </c>
    </row>
    <row r="17" spans="2:5" ht="15.75">
      <c r="B17" s="146" t="s">
        <v>97</v>
      </c>
      <c r="C17" s="147">
        <v>0</v>
      </c>
      <c r="D17" s="145">
        <v>1</v>
      </c>
      <c r="E17" s="318" t="s">
        <v>20</v>
      </c>
    </row>
    <row r="18" spans="2:5" ht="15.75">
      <c r="B18" s="146" t="s">
        <v>97</v>
      </c>
      <c r="C18" s="147">
        <v>0</v>
      </c>
      <c r="D18" s="145">
        <v>1</v>
      </c>
      <c r="E18" s="318" t="s">
        <v>20</v>
      </c>
    </row>
    <row r="19" spans="2:5" ht="15.75">
      <c r="B19" s="146" t="s">
        <v>97</v>
      </c>
      <c r="C19" s="147">
        <v>0</v>
      </c>
      <c r="D19" s="145">
        <v>1</v>
      </c>
      <c r="E19" s="318" t="s">
        <v>20</v>
      </c>
    </row>
    <row r="20" spans="2:5" ht="15.75">
      <c r="B20" s="146" t="s">
        <v>97</v>
      </c>
      <c r="C20" s="147">
        <v>0</v>
      </c>
      <c r="D20" s="145">
        <v>1</v>
      </c>
      <c r="E20" s="318" t="s">
        <v>20</v>
      </c>
    </row>
    <row r="21" spans="2:5" ht="15.75">
      <c r="B21" s="146" t="s">
        <v>97</v>
      </c>
      <c r="C21" s="147">
        <v>0</v>
      </c>
      <c r="D21" s="145">
        <v>1</v>
      </c>
      <c r="E21" s="318" t="s">
        <v>20</v>
      </c>
    </row>
    <row r="22" spans="2:5" ht="15.75">
      <c r="B22" s="146" t="s">
        <v>97</v>
      </c>
      <c r="C22" s="147">
        <v>0</v>
      </c>
      <c r="D22" s="145">
        <v>1</v>
      </c>
      <c r="E22" s="318" t="s">
        <v>20</v>
      </c>
    </row>
    <row r="23" spans="2:5" ht="15.75">
      <c r="B23" s="146" t="s">
        <v>97</v>
      </c>
      <c r="C23" s="147">
        <v>0</v>
      </c>
      <c r="D23" s="145">
        <v>1</v>
      </c>
      <c r="E23" s="318" t="s">
        <v>20</v>
      </c>
    </row>
    <row r="24" spans="2:5" ht="15.75">
      <c r="B24" s="146" t="s">
        <v>97</v>
      </c>
      <c r="C24" s="147">
        <v>0</v>
      </c>
      <c r="D24" s="145">
        <v>1</v>
      </c>
      <c r="E24" s="318" t="s">
        <v>20</v>
      </c>
    </row>
    <row r="25" spans="2:5" ht="16.5" thickBot="1">
      <c r="B25" s="148" t="s">
        <v>97</v>
      </c>
      <c r="C25" s="149">
        <v>0</v>
      </c>
      <c r="D25" s="150">
        <v>1</v>
      </c>
      <c r="E25" s="318" t="s">
        <v>20</v>
      </c>
    </row>
    <row r="26" spans="2:5" ht="30" customHeight="1" thickTop="1">
      <c r="B26" s="108" t="s">
        <v>170</v>
      </c>
      <c r="C26" s="109">
        <f>SUM(C6:C25)</f>
        <v>10130000</v>
      </c>
      <c r="D26" s="79">
        <f>SUMPRODUCT(C6:C25,D6:D25)/C26</f>
        <v>1</v>
      </c>
      <c r="E26" s="110"/>
    </row>
    <row r="27" spans="2:5" ht="16.5" customHeight="1">
      <c r="B27" s="116"/>
      <c r="C27" s="117"/>
      <c r="D27" s="103"/>
      <c r="E27" s="26"/>
    </row>
    <row r="28" spans="2:5" ht="30" customHeight="1">
      <c r="B28" s="76" t="s">
        <v>98</v>
      </c>
      <c r="C28" s="117"/>
      <c r="D28" s="103"/>
      <c r="E28" s="26"/>
    </row>
    <row r="29" spans="2:5" s="15" customFormat="1" ht="16.5" thickBot="1">
      <c r="B29" s="118"/>
      <c r="C29" s="119"/>
      <c r="D29" s="120"/>
      <c r="E29" s="115"/>
    </row>
    <row r="30" spans="2:5" ht="30" customHeight="1" thickBot="1">
      <c r="B30" s="121" t="str">
        <f>Inputs!E17</f>
        <v>Balance of Plant</v>
      </c>
      <c r="C30" s="111" t="s">
        <v>0</v>
      </c>
      <c r="D30" s="112" t="s">
        <v>96</v>
      </c>
      <c r="E30" s="102" t="s">
        <v>165</v>
      </c>
    </row>
    <row r="31" spans="2:5" ht="15.75">
      <c r="B31" s="144" t="s">
        <v>350</v>
      </c>
      <c r="C31" s="147">
        <v>500000</v>
      </c>
      <c r="D31" s="145">
        <v>1</v>
      </c>
      <c r="E31" s="318" t="s">
        <v>20</v>
      </c>
    </row>
    <row r="32" spans="2:5" ht="15.75">
      <c r="B32" s="146" t="s">
        <v>351</v>
      </c>
      <c r="C32" s="147">
        <v>500000</v>
      </c>
      <c r="D32" s="145">
        <v>0</v>
      </c>
      <c r="E32" s="318" t="s">
        <v>21</v>
      </c>
    </row>
    <row r="33" spans="2:5" ht="15.75">
      <c r="B33" s="146" t="s">
        <v>352</v>
      </c>
      <c r="C33" s="147">
        <v>250000</v>
      </c>
      <c r="D33" s="145">
        <v>0</v>
      </c>
      <c r="E33" s="318" t="s">
        <v>21</v>
      </c>
    </row>
    <row r="34" spans="2:5" ht="15.75">
      <c r="B34" s="146" t="s">
        <v>353</v>
      </c>
      <c r="C34" s="147">
        <v>750000</v>
      </c>
      <c r="D34" s="145">
        <v>0</v>
      </c>
      <c r="E34" s="318" t="s">
        <v>21</v>
      </c>
    </row>
    <row r="35" spans="2:5" ht="15.75">
      <c r="B35" s="146" t="s">
        <v>178</v>
      </c>
      <c r="C35" s="147">
        <v>2500000</v>
      </c>
      <c r="D35" s="145">
        <v>1</v>
      </c>
      <c r="E35" s="318" t="s">
        <v>20</v>
      </c>
    </row>
    <row r="36" spans="2:5" ht="15.75">
      <c r="B36" s="146" t="s">
        <v>354</v>
      </c>
      <c r="C36" s="147">
        <v>2000000</v>
      </c>
      <c r="D36" s="145">
        <v>1</v>
      </c>
      <c r="E36" s="318" t="s">
        <v>20</v>
      </c>
    </row>
    <row r="37" spans="2:5" ht="15.75">
      <c r="B37" s="146" t="s">
        <v>355</v>
      </c>
      <c r="C37" s="147">
        <v>1500000</v>
      </c>
      <c r="D37" s="145">
        <v>1</v>
      </c>
      <c r="E37" s="318" t="s">
        <v>20</v>
      </c>
    </row>
    <row r="38" spans="2:5" ht="15.75">
      <c r="B38" s="146" t="s">
        <v>356</v>
      </c>
      <c r="C38" s="147">
        <v>750000</v>
      </c>
      <c r="D38" s="145">
        <v>1</v>
      </c>
      <c r="E38" s="318" t="s">
        <v>20</v>
      </c>
    </row>
    <row r="39" spans="2:5" ht="15.75">
      <c r="B39" s="146" t="s">
        <v>349</v>
      </c>
      <c r="C39" s="147">
        <v>0</v>
      </c>
      <c r="D39" s="145">
        <v>1</v>
      </c>
      <c r="E39" s="318" t="s">
        <v>20</v>
      </c>
    </row>
    <row r="40" spans="2:5" ht="15.75">
      <c r="B40" s="146" t="s">
        <v>357</v>
      </c>
      <c r="C40" s="147">
        <v>250000</v>
      </c>
      <c r="D40" s="145">
        <v>0</v>
      </c>
      <c r="E40" s="318" t="s">
        <v>22</v>
      </c>
    </row>
    <row r="41" spans="2:5" ht="15.75">
      <c r="B41" s="146" t="s">
        <v>97</v>
      </c>
      <c r="C41" s="147">
        <v>0</v>
      </c>
      <c r="D41" s="145">
        <v>1</v>
      </c>
      <c r="E41" s="318" t="s">
        <v>20</v>
      </c>
    </row>
    <row r="42" spans="2:5" ht="15.75">
      <c r="B42" s="146" t="s">
        <v>97</v>
      </c>
      <c r="C42" s="147">
        <v>0</v>
      </c>
      <c r="D42" s="145">
        <v>1</v>
      </c>
      <c r="E42" s="318" t="s">
        <v>20</v>
      </c>
    </row>
    <row r="43" spans="2:5" ht="15.75">
      <c r="B43" s="146" t="s">
        <v>97</v>
      </c>
      <c r="C43" s="147">
        <v>0</v>
      </c>
      <c r="D43" s="145">
        <v>1</v>
      </c>
      <c r="E43" s="318" t="s">
        <v>20</v>
      </c>
    </row>
    <row r="44" spans="2:5" ht="15.75">
      <c r="B44" s="146" t="s">
        <v>97</v>
      </c>
      <c r="C44" s="147">
        <v>0</v>
      </c>
      <c r="D44" s="145">
        <v>1</v>
      </c>
      <c r="E44" s="318" t="s">
        <v>20</v>
      </c>
    </row>
    <row r="45" spans="2:5" ht="15.75">
      <c r="B45" s="146" t="s">
        <v>97</v>
      </c>
      <c r="C45" s="147">
        <v>0</v>
      </c>
      <c r="D45" s="145">
        <v>1</v>
      </c>
      <c r="E45" s="318" t="s">
        <v>20</v>
      </c>
    </row>
    <row r="46" spans="2:5" ht="15.75">
      <c r="B46" s="146" t="s">
        <v>97</v>
      </c>
      <c r="C46" s="147">
        <v>0</v>
      </c>
      <c r="D46" s="145">
        <v>1</v>
      </c>
      <c r="E46" s="318" t="s">
        <v>20</v>
      </c>
    </row>
    <row r="47" spans="2:5" ht="15.75">
      <c r="B47" s="146" t="s">
        <v>97</v>
      </c>
      <c r="C47" s="147">
        <v>0</v>
      </c>
      <c r="D47" s="145">
        <v>1</v>
      </c>
      <c r="E47" s="318" t="s">
        <v>20</v>
      </c>
    </row>
    <row r="48" spans="2:5" ht="15.75">
      <c r="B48" s="146" t="s">
        <v>97</v>
      </c>
      <c r="C48" s="147">
        <v>0</v>
      </c>
      <c r="D48" s="145">
        <v>1</v>
      </c>
      <c r="E48" s="318" t="s">
        <v>20</v>
      </c>
    </row>
    <row r="49" spans="2:5" ht="15.75">
      <c r="B49" s="146" t="s">
        <v>97</v>
      </c>
      <c r="C49" s="147">
        <v>0</v>
      </c>
      <c r="D49" s="145">
        <v>1</v>
      </c>
      <c r="E49" s="318" t="s">
        <v>20</v>
      </c>
    </row>
    <row r="50" spans="2:5" ht="16.5" thickBot="1">
      <c r="B50" s="148" t="s">
        <v>97</v>
      </c>
      <c r="C50" s="149">
        <v>0</v>
      </c>
      <c r="D50" s="150">
        <v>1</v>
      </c>
      <c r="E50" s="318" t="s">
        <v>20</v>
      </c>
    </row>
    <row r="51" spans="2:5" ht="30" customHeight="1" thickTop="1">
      <c r="B51" s="108" t="s">
        <v>172</v>
      </c>
      <c r="C51" s="109">
        <f>SUM(C31:C50)</f>
        <v>9000000</v>
      </c>
      <c r="D51" s="79">
        <f>SUMPRODUCT(C31:C50,D31:D50)/C51</f>
        <v>0.80555555555555558</v>
      </c>
      <c r="E51" s="75"/>
    </row>
    <row r="53" spans="2:5" ht="30" customHeight="1">
      <c r="B53" s="76" t="s">
        <v>98</v>
      </c>
    </row>
    <row r="54" spans="2:5" ht="15.75" thickBot="1"/>
    <row r="55" spans="2:5" ht="30.75" thickBot="1">
      <c r="B55" s="69" t="str">
        <f>Inputs!E18</f>
        <v>Interconnection</v>
      </c>
      <c r="C55" s="111" t="s">
        <v>0</v>
      </c>
      <c r="D55" s="112" t="s">
        <v>96</v>
      </c>
      <c r="E55" s="102" t="s">
        <v>165</v>
      </c>
    </row>
    <row r="56" spans="2:5" ht="15.75">
      <c r="B56" s="144" t="s">
        <v>99</v>
      </c>
      <c r="C56" s="320">
        <v>750000</v>
      </c>
      <c r="D56" s="145">
        <v>0.5</v>
      </c>
      <c r="E56" s="318" t="s">
        <v>23</v>
      </c>
    </row>
    <row r="57" spans="2:5" ht="15.75">
      <c r="B57" s="146" t="s">
        <v>187</v>
      </c>
      <c r="C57" s="320">
        <v>500000</v>
      </c>
      <c r="D57" s="145">
        <v>0.5</v>
      </c>
      <c r="E57" s="318" t="s">
        <v>23</v>
      </c>
    </row>
    <row r="58" spans="2:5" ht="15.75">
      <c r="B58" s="146" t="s">
        <v>186</v>
      </c>
      <c r="C58" s="320">
        <v>250000</v>
      </c>
      <c r="D58" s="145">
        <v>0.5</v>
      </c>
      <c r="E58" s="318" t="s">
        <v>23</v>
      </c>
    </row>
    <row r="59" spans="2:5" ht="15.75">
      <c r="B59" s="146" t="s">
        <v>188</v>
      </c>
      <c r="C59" s="320">
        <v>1500000</v>
      </c>
      <c r="D59" s="145">
        <v>0.5</v>
      </c>
      <c r="E59" s="318" t="s">
        <v>23</v>
      </c>
    </row>
    <row r="60" spans="2:5" ht="15.75">
      <c r="B60" s="319" t="s">
        <v>97</v>
      </c>
      <c r="C60" s="320">
        <v>0</v>
      </c>
      <c r="D60" s="145">
        <v>0.5</v>
      </c>
      <c r="E60" s="318" t="s">
        <v>23</v>
      </c>
    </row>
    <row r="61" spans="2:5" ht="15.75">
      <c r="B61" s="319" t="s">
        <v>97</v>
      </c>
      <c r="C61" s="320">
        <v>0</v>
      </c>
      <c r="D61" s="145">
        <v>0.5</v>
      </c>
      <c r="E61" s="318" t="s">
        <v>23</v>
      </c>
    </row>
    <row r="62" spans="2:5" ht="15.75">
      <c r="B62" s="319" t="s">
        <v>97</v>
      </c>
      <c r="C62" s="320">
        <v>0</v>
      </c>
      <c r="D62" s="145">
        <v>0.5</v>
      </c>
      <c r="E62" s="318" t="s">
        <v>23</v>
      </c>
    </row>
    <row r="63" spans="2:5" ht="15.75">
      <c r="B63" s="319" t="s">
        <v>97</v>
      </c>
      <c r="C63" s="320">
        <v>0</v>
      </c>
      <c r="D63" s="145">
        <v>0.5</v>
      </c>
      <c r="E63" s="318" t="s">
        <v>23</v>
      </c>
    </row>
    <row r="64" spans="2:5" ht="15.75">
      <c r="B64" s="319" t="s">
        <v>97</v>
      </c>
      <c r="C64" s="320">
        <v>0</v>
      </c>
      <c r="D64" s="145">
        <v>0.5</v>
      </c>
      <c r="E64" s="318" t="s">
        <v>23</v>
      </c>
    </row>
    <row r="65" spans="2:5" ht="15.75">
      <c r="B65" s="319" t="s">
        <v>97</v>
      </c>
      <c r="C65" s="320">
        <v>0</v>
      </c>
      <c r="D65" s="145">
        <v>0.5</v>
      </c>
      <c r="E65" s="318" t="s">
        <v>23</v>
      </c>
    </row>
    <row r="66" spans="2:5" ht="15.75">
      <c r="B66" s="319" t="s">
        <v>97</v>
      </c>
      <c r="C66" s="320">
        <v>0</v>
      </c>
      <c r="D66" s="145">
        <v>0.5</v>
      </c>
      <c r="E66" s="318" t="s">
        <v>23</v>
      </c>
    </row>
    <row r="67" spans="2:5" ht="15.75">
      <c r="B67" s="319" t="s">
        <v>97</v>
      </c>
      <c r="C67" s="320">
        <v>0</v>
      </c>
      <c r="D67" s="145">
        <v>0.5</v>
      </c>
      <c r="E67" s="318" t="s">
        <v>23</v>
      </c>
    </row>
    <row r="68" spans="2:5" ht="15.75">
      <c r="B68" s="319" t="s">
        <v>97</v>
      </c>
      <c r="C68" s="320">
        <v>0</v>
      </c>
      <c r="D68" s="145">
        <v>0.5</v>
      </c>
      <c r="E68" s="318" t="s">
        <v>23</v>
      </c>
    </row>
    <row r="69" spans="2:5" ht="15.75">
      <c r="B69" s="319" t="s">
        <v>97</v>
      </c>
      <c r="C69" s="320">
        <v>0</v>
      </c>
      <c r="D69" s="145">
        <v>0.5</v>
      </c>
      <c r="E69" s="318" t="s">
        <v>23</v>
      </c>
    </row>
    <row r="70" spans="2:5" ht="15.75">
      <c r="B70" s="319" t="s">
        <v>97</v>
      </c>
      <c r="C70" s="320">
        <v>0</v>
      </c>
      <c r="D70" s="145">
        <v>0.5</v>
      </c>
      <c r="E70" s="318" t="s">
        <v>23</v>
      </c>
    </row>
    <row r="71" spans="2:5" ht="15.75">
      <c r="B71" s="319" t="s">
        <v>97</v>
      </c>
      <c r="C71" s="320">
        <v>0</v>
      </c>
      <c r="D71" s="145">
        <v>0.5</v>
      </c>
      <c r="E71" s="318" t="s">
        <v>23</v>
      </c>
    </row>
    <row r="72" spans="2:5" ht="15.75">
      <c r="B72" s="319" t="s">
        <v>97</v>
      </c>
      <c r="C72" s="320">
        <v>0</v>
      </c>
      <c r="D72" s="145">
        <v>0.5</v>
      </c>
      <c r="E72" s="318" t="s">
        <v>23</v>
      </c>
    </row>
    <row r="73" spans="2:5" ht="15.75">
      <c r="B73" s="319" t="s">
        <v>97</v>
      </c>
      <c r="C73" s="320">
        <v>0</v>
      </c>
      <c r="D73" s="145">
        <v>0.5</v>
      </c>
      <c r="E73" s="318" t="s">
        <v>23</v>
      </c>
    </row>
    <row r="74" spans="2:5" ht="15.75">
      <c r="B74" s="319" t="s">
        <v>97</v>
      </c>
      <c r="C74" s="320">
        <v>0</v>
      </c>
      <c r="D74" s="145">
        <v>0.5</v>
      </c>
      <c r="E74" s="318" t="s">
        <v>23</v>
      </c>
    </row>
    <row r="75" spans="2:5" ht="16.5" thickBot="1">
      <c r="B75" s="148" t="s">
        <v>97</v>
      </c>
      <c r="C75" s="149">
        <v>0</v>
      </c>
      <c r="D75" s="150">
        <v>0.5</v>
      </c>
      <c r="E75" s="318" t="s">
        <v>23</v>
      </c>
    </row>
    <row r="76" spans="2:5" ht="30" customHeight="1" thickTop="1">
      <c r="B76" s="108" t="s">
        <v>173</v>
      </c>
      <c r="C76" s="109">
        <f>SUM(C56:C75)</f>
        <v>3000000</v>
      </c>
      <c r="D76" s="79">
        <f>SUMPRODUCT(C56:C75,D56:D75)/C76</f>
        <v>0.5</v>
      </c>
      <c r="E76" s="77"/>
    </row>
    <row r="77" spans="2:5" ht="15.75" customHeight="1"/>
    <row r="78" spans="2:5" ht="30" customHeight="1">
      <c r="B78" s="76" t="s">
        <v>98</v>
      </c>
    </row>
    <row r="79" spans="2:5" ht="15.75" customHeight="1" thickBot="1">
      <c r="B79" s="76"/>
    </row>
    <row r="80" spans="2:5" ht="30.75" thickBot="1">
      <c r="B80" s="69" t="str">
        <f>Inputs!E19</f>
        <v>Development Costs &amp; Fee</v>
      </c>
      <c r="C80" s="111" t="s">
        <v>0</v>
      </c>
      <c r="D80" s="112" t="s">
        <v>96</v>
      </c>
      <c r="E80" s="102" t="s">
        <v>165</v>
      </c>
    </row>
    <row r="81" spans="2:5" ht="15.75">
      <c r="B81" s="144" t="s">
        <v>179</v>
      </c>
      <c r="C81" s="147">
        <v>250000</v>
      </c>
      <c r="D81" s="145">
        <v>1</v>
      </c>
      <c r="E81" s="318" t="s">
        <v>20</v>
      </c>
    </row>
    <row r="82" spans="2:5" ht="15.75">
      <c r="B82" s="146" t="s">
        <v>182</v>
      </c>
      <c r="C82" s="147">
        <v>50000</v>
      </c>
      <c r="D82" s="145">
        <v>1</v>
      </c>
      <c r="E82" s="318" t="s">
        <v>20</v>
      </c>
    </row>
    <row r="83" spans="2:5" ht="15.75">
      <c r="B83" s="146" t="s">
        <v>180</v>
      </c>
      <c r="C83" s="147">
        <v>350000</v>
      </c>
      <c r="D83" s="145">
        <v>1</v>
      </c>
      <c r="E83" s="318" t="s">
        <v>20</v>
      </c>
    </row>
    <row r="84" spans="2:5" ht="15.75">
      <c r="B84" s="146" t="s">
        <v>181</v>
      </c>
      <c r="C84" s="147">
        <v>200000</v>
      </c>
      <c r="D84" s="145">
        <v>1</v>
      </c>
      <c r="E84" s="318" t="s">
        <v>20</v>
      </c>
    </row>
    <row r="85" spans="2:5" ht="15.75">
      <c r="B85" s="146" t="s">
        <v>184</v>
      </c>
      <c r="C85" s="147">
        <v>50000</v>
      </c>
      <c r="D85" s="145">
        <v>1</v>
      </c>
      <c r="E85" s="318" t="s">
        <v>20</v>
      </c>
    </row>
    <row r="86" spans="2:5" ht="15.75">
      <c r="B86" s="146" t="s">
        <v>183</v>
      </c>
      <c r="C86" s="147">
        <v>100000</v>
      </c>
      <c r="D86" s="145">
        <v>1</v>
      </c>
      <c r="E86" s="318" t="s">
        <v>20</v>
      </c>
    </row>
    <row r="87" spans="2:5" ht="15.75">
      <c r="B87" s="146" t="s">
        <v>97</v>
      </c>
      <c r="C87" s="147">
        <v>0</v>
      </c>
      <c r="D87" s="145">
        <v>1</v>
      </c>
      <c r="E87" s="318" t="s">
        <v>20</v>
      </c>
    </row>
    <row r="88" spans="2:5" ht="15.75">
      <c r="B88" s="146" t="s">
        <v>97</v>
      </c>
      <c r="C88" s="147">
        <v>0</v>
      </c>
      <c r="D88" s="145">
        <v>1</v>
      </c>
      <c r="E88" s="318" t="s">
        <v>20</v>
      </c>
    </row>
    <row r="89" spans="2:5" ht="15.75">
      <c r="B89" s="146" t="s">
        <v>97</v>
      </c>
      <c r="C89" s="147">
        <v>0</v>
      </c>
      <c r="D89" s="145">
        <v>1</v>
      </c>
      <c r="E89" s="318" t="s">
        <v>20</v>
      </c>
    </row>
    <row r="90" spans="2:5" ht="15.75">
      <c r="B90" s="146" t="s">
        <v>97</v>
      </c>
      <c r="C90" s="147">
        <v>0</v>
      </c>
      <c r="D90" s="145">
        <v>1</v>
      </c>
      <c r="E90" s="318" t="s">
        <v>20</v>
      </c>
    </row>
    <row r="91" spans="2:5" ht="15.75">
      <c r="B91" s="146" t="s">
        <v>97</v>
      </c>
      <c r="C91" s="147">
        <v>0</v>
      </c>
      <c r="D91" s="145">
        <v>1</v>
      </c>
      <c r="E91" s="318" t="s">
        <v>20</v>
      </c>
    </row>
    <row r="92" spans="2:5" ht="15.75">
      <c r="B92" s="146" t="s">
        <v>97</v>
      </c>
      <c r="C92" s="147">
        <v>0</v>
      </c>
      <c r="D92" s="145">
        <v>1</v>
      </c>
      <c r="E92" s="318" t="s">
        <v>20</v>
      </c>
    </row>
    <row r="93" spans="2:5" ht="15.75">
      <c r="B93" s="146" t="s">
        <v>97</v>
      </c>
      <c r="C93" s="147">
        <v>0</v>
      </c>
      <c r="D93" s="145">
        <v>1</v>
      </c>
      <c r="E93" s="318" t="s">
        <v>20</v>
      </c>
    </row>
    <row r="94" spans="2:5" ht="15.75">
      <c r="B94" s="146" t="s">
        <v>97</v>
      </c>
      <c r="C94" s="147">
        <v>0</v>
      </c>
      <c r="D94" s="145">
        <v>1</v>
      </c>
      <c r="E94" s="318" t="s">
        <v>20</v>
      </c>
    </row>
    <row r="95" spans="2:5" ht="15.75">
      <c r="B95" s="146" t="s">
        <v>97</v>
      </c>
      <c r="C95" s="147">
        <v>0</v>
      </c>
      <c r="D95" s="145">
        <v>1</v>
      </c>
      <c r="E95" s="318" t="s">
        <v>20</v>
      </c>
    </row>
    <row r="96" spans="2:5" ht="15.75">
      <c r="B96" s="146" t="s">
        <v>97</v>
      </c>
      <c r="C96" s="147">
        <v>0</v>
      </c>
      <c r="D96" s="145">
        <v>1</v>
      </c>
      <c r="E96" s="318" t="s">
        <v>20</v>
      </c>
    </row>
    <row r="97" spans="2:5" ht="15.75">
      <c r="B97" s="146" t="s">
        <v>97</v>
      </c>
      <c r="C97" s="147">
        <v>0</v>
      </c>
      <c r="D97" s="145">
        <v>1</v>
      </c>
      <c r="E97" s="318" t="s">
        <v>20</v>
      </c>
    </row>
    <row r="98" spans="2:5" ht="15.75">
      <c r="B98" s="146" t="s">
        <v>97</v>
      </c>
      <c r="C98" s="147">
        <v>0</v>
      </c>
      <c r="D98" s="145">
        <v>1</v>
      </c>
      <c r="E98" s="318" t="s">
        <v>20</v>
      </c>
    </row>
    <row r="99" spans="2:5" ht="15.75">
      <c r="B99" s="146" t="s">
        <v>97</v>
      </c>
      <c r="C99" s="147">
        <v>0</v>
      </c>
      <c r="D99" s="145">
        <v>1</v>
      </c>
      <c r="E99" s="318" t="s">
        <v>20</v>
      </c>
    </row>
    <row r="100" spans="2:5" ht="16.5" thickBot="1">
      <c r="B100" s="148" t="s">
        <v>97</v>
      </c>
      <c r="C100" s="149">
        <v>0</v>
      </c>
      <c r="D100" s="150">
        <v>1</v>
      </c>
      <c r="E100" s="318" t="s">
        <v>20</v>
      </c>
    </row>
    <row r="101" spans="2:5" ht="30" customHeight="1" thickTop="1">
      <c r="B101" s="108" t="s">
        <v>177</v>
      </c>
      <c r="C101" s="109">
        <f>SUM(C81:C100)</f>
        <v>1000000</v>
      </c>
      <c r="D101" s="79">
        <f>SUMPRODUCT(C81:C100,D81:D100)/C101</f>
        <v>1</v>
      </c>
      <c r="E101" s="77"/>
    </row>
    <row r="102" spans="2:5" ht="15.75" customHeight="1">
      <c r="B102" s="116"/>
      <c r="C102" s="117"/>
      <c r="D102" s="103"/>
      <c r="E102" s="130"/>
    </row>
    <row r="103" spans="2:5" ht="30" customHeight="1">
      <c r="B103" s="76" t="s">
        <v>98</v>
      </c>
      <c r="C103" s="117"/>
      <c r="D103" s="103"/>
      <c r="E103" s="130"/>
    </row>
    <row r="104" spans="2:5" ht="15.75" customHeight="1" thickBot="1">
      <c r="B104" s="116"/>
      <c r="C104" s="117"/>
      <c r="D104" s="103"/>
      <c r="E104" s="130"/>
    </row>
    <row r="105" spans="2:5" ht="30" customHeight="1" thickBot="1">
      <c r="B105" s="69" t="str">
        <f>Inputs!E20</f>
        <v>Reserves &amp; Financing Costs</v>
      </c>
      <c r="C105" s="111" t="s">
        <v>0</v>
      </c>
      <c r="D105" s="112" t="s">
        <v>96</v>
      </c>
      <c r="E105" s="102" t="s">
        <v>165</v>
      </c>
    </row>
    <row r="106" spans="2:5" ht="15.75" customHeight="1">
      <c r="B106" s="108" t="s">
        <v>175</v>
      </c>
      <c r="C106" s="109">
        <f>((C26+C51+C76+C101)*Inputs!$G$47*Inputs!$G$50)</f>
        <v>346950</v>
      </c>
      <c r="D106" s="145">
        <v>0</v>
      </c>
      <c r="E106" s="318" t="s">
        <v>24</v>
      </c>
    </row>
    <row r="107" spans="2:5" ht="15.75" customHeight="1">
      <c r="B107" s="73" t="s">
        <v>37</v>
      </c>
      <c r="C107" s="132">
        <f>(C26+C51+C76+C101)*(Inputs!$G$43/12)*(Inputs!$G$42/2)</f>
        <v>318037.5</v>
      </c>
      <c r="D107" s="145">
        <v>0</v>
      </c>
      <c r="E107" s="318" t="s">
        <v>23</v>
      </c>
    </row>
    <row r="108" spans="2:5" ht="15.75" customHeight="1">
      <c r="B108" s="9" t="s">
        <v>49</v>
      </c>
      <c r="C108" s="132">
        <f>Inputs!$G$60</f>
        <v>0</v>
      </c>
      <c r="D108" s="145">
        <v>0</v>
      </c>
      <c r="E108" s="318" t="s">
        <v>23</v>
      </c>
    </row>
    <row r="109" spans="2:5" ht="15.75" customHeight="1" thickBot="1">
      <c r="B109" s="133" t="s">
        <v>176</v>
      </c>
      <c r="C109" s="134">
        <f>Inputs!$Q$62+Inputs!$Q$65</f>
        <v>1262906.6212895242</v>
      </c>
      <c r="D109" s="150">
        <v>0</v>
      </c>
      <c r="E109" s="318" t="s">
        <v>24</v>
      </c>
    </row>
    <row r="110" spans="2:5" ht="30.75" customHeight="1" thickTop="1">
      <c r="B110" s="124" t="s">
        <v>139</v>
      </c>
      <c r="C110" s="109">
        <f>SUM(C106:C109)</f>
        <v>1927894.1212895242</v>
      </c>
      <c r="D110" s="79">
        <f>SUMPRODUCT(C106:C109,D106:D109)/C110</f>
        <v>0</v>
      </c>
      <c r="E110" s="101"/>
    </row>
    <row r="111" spans="2:5" ht="15.75" customHeight="1">
      <c r="B111" s="113"/>
      <c r="C111" s="131"/>
      <c r="D111" s="114"/>
      <c r="E111" s="115"/>
    </row>
    <row r="112" spans="2:5" ht="30" customHeight="1">
      <c r="B112" s="76" t="s">
        <v>98</v>
      </c>
      <c r="C112" s="131"/>
      <c r="D112" s="114"/>
      <c r="E112" s="115"/>
    </row>
    <row r="113" spans="2:14" ht="15.75" customHeight="1" thickBot="1">
      <c r="B113" s="113"/>
      <c r="C113" s="131"/>
      <c r="D113" s="114"/>
      <c r="E113" s="115"/>
    </row>
    <row r="114" spans="2:14" ht="16.5" thickBot="1">
      <c r="B114" s="69" t="s">
        <v>171</v>
      </c>
      <c r="C114" s="70"/>
      <c r="D114" s="70"/>
      <c r="E114" s="104" t="s">
        <v>95</v>
      </c>
      <c r="F114" s="105"/>
      <c r="G114" s="105"/>
      <c r="H114" s="105"/>
      <c r="I114" s="105"/>
      <c r="J114" s="105"/>
      <c r="K114" s="105"/>
      <c r="L114" s="105"/>
      <c r="M114" s="105"/>
      <c r="N114" s="106"/>
    </row>
    <row r="115" spans="2:14" ht="45.75" thickBot="1">
      <c r="B115" s="121" t="s">
        <v>27</v>
      </c>
      <c r="C115" s="111" t="s">
        <v>0</v>
      </c>
      <c r="D115" s="112" t="s">
        <v>174</v>
      </c>
      <c r="E115" s="112" t="s">
        <v>27</v>
      </c>
      <c r="F115" s="112" t="s">
        <v>20</v>
      </c>
      <c r="G115" s="112" t="s">
        <v>132</v>
      </c>
      <c r="H115" s="112" t="s">
        <v>21</v>
      </c>
      <c r="I115" s="112" t="s">
        <v>133</v>
      </c>
      <c r="J115" s="112" t="s">
        <v>134</v>
      </c>
      <c r="K115" s="112" t="s">
        <v>22</v>
      </c>
      <c r="L115" s="112" t="s">
        <v>23</v>
      </c>
      <c r="M115" s="112" t="s">
        <v>135</v>
      </c>
      <c r="N115" s="143" t="s">
        <v>24</v>
      </c>
    </row>
    <row r="116" spans="2:14" ht="15.75" customHeight="1">
      <c r="B116" s="124" t="s">
        <v>164</v>
      </c>
      <c r="C116" s="127">
        <f>C26</f>
        <v>10130000</v>
      </c>
      <c r="D116" s="141">
        <f>C26*D26</f>
        <v>10130000</v>
      </c>
      <c r="E116" s="142" t="s">
        <v>164</v>
      </c>
      <c r="F116" s="127">
        <f>SUMIF($E$5:$E$26,F$115,$C$5:$C$26)</f>
        <v>10130000</v>
      </c>
      <c r="G116" s="127">
        <f t="shared" ref="G116:N116" si="0">SUMIF($E$5:$E$26,G$115,$C$5:$C$26)</f>
        <v>0</v>
      </c>
      <c r="H116" s="127">
        <f t="shared" si="0"/>
        <v>0</v>
      </c>
      <c r="I116" s="127">
        <f t="shared" si="0"/>
        <v>0</v>
      </c>
      <c r="J116" s="127">
        <f t="shared" si="0"/>
        <v>0</v>
      </c>
      <c r="K116" s="127">
        <f t="shared" si="0"/>
        <v>0</v>
      </c>
      <c r="L116" s="127">
        <f t="shared" si="0"/>
        <v>0</v>
      </c>
      <c r="M116" s="127">
        <f t="shared" si="0"/>
        <v>0</v>
      </c>
      <c r="N116" s="127">
        <f t="shared" si="0"/>
        <v>0</v>
      </c>
    </row>
    <row r="117" spans="2:14" ht="15.75" customHeight="1">
      <c r="B117" s="74" t="s">
        <v>166</v>
      </c>
      <c r="C117" s="122">
        <f>C51</f>
        <v>9000000</v>
      </c>
      <c r="D117" s="129">
        <f>C51*D51</f>
        <v>7250000</v>
      </c>
      <c r="E117" s="139" t="s">
        <v>166</v>
      </c>
      <c r="F117" s="122">
        <f>SUMIF($E$30:$E$51,F$115,$C$30:$C$51)</f>
        <v>7250000</v>
      </c>
      <c r="G117" s="122">
        <f t="shared" ref="G117:N117" si="1">SUMIF($E$30:$E$51,G$115,$C$30:$C$51)</f>
        <v>0</v>
      </c>
      <c r="H117" s="122">
        <f t="shared" si="1"/>
        <v>1500000</v>
      </c>
      <c r="I117" s="122">
        <f t="shared" si="1"/>
        <v>0</v>
      </c>
      <c r="J117" s="122">
        <f t="shared" si="1"/>
        <v>0</v>
      </c>
      <c r="K117" s="122">
        <f t="shared" si="1"/>
        <v>250000</v>
      </c>
      <c r="L117" s="122">
        <f t="shared" si="1"/>
        <v>0</v>
      </c>
      <c r="M117" s="122">
        <f t="shared" si="1"/>
        <v>0</v>
      </c>
      <c r="N117" s="122">
        <f t="shared" si="1"/>
        <v>0</v>
      </c>
    </row>
    <row r="118" spans="2:14" ht="15.75" customHeight="1">
      <c r="B118" s="74" t="s">
        <v>167</v>
      </c>
      <c r="C118" s="122">
        <f>C76</f>
        <v>3000000</v>
      </c>
      <c r="D118" s="129">
        <f>C76*D76</f>
        <v>1500000</v>
      </c>
      <c r="E118" s="139" t="s">
        <v>167</v>
      </c>
      <c r="F118" s="122">
        <f>SUMIF($E$55:$E$76,F$115,$C$55:$C$76)</f>
        <v>0</v>
      </c>
      <c r="G118" s="122">
        <f t="shared" ref="G118:N118" si="2">SUMIF($E$55:$E$76,G$115,$C$55:$C$76)</f>
        <v>0</v>
      </c>
      <c r="H118" s="122">
        <f t="shared" si="2"/>
        <v>0</v>
      </c>
      <c r="I118" s="122">
        <f t="shared" si="2"/>
        <v>0</v>
      </c>
      <c r="J118" s="122">
        <f t="shared" si="2"/>
        <v>0</v>
      </c>
      <c r="K118" s="122">
        <f t="shared" si="2"/>
        <v>0</v>
      </c>
      <c r="L118" s="122">
        <f t="shared" si="2"/>
        <v>3000000</v>
      </c>
      <c r="M118" s="122">
        <f t="shared" si="2"/>
        <v>0</v>
      </c>
      <c r="N118" s="122">
        <f t="shared" si="2"/>
        <v>0</v>
      </c>
    </row>
    <row r="119" spans="2:14" ht="15.75" customHeight="1">
      <c r="B119" s="74" t="s">
        <v>168</v>
      </c>
      <c r="C119" s="122">
        <f>C101</f>
        <v>1000000</v>
      </c>
      <c r="D119" s="129">
        <f>C101*D101</f>
        <v>1000000</v>
      </c>
      <c r="E119" s="139" t="s">
        <v>168</v>
      </c>
      <c r="F119" s="122">
        <f>SUMIF($E$80:$E$101,F$115,$C$80:$C$101)</f>
        <v>1000000</v>
      </c>
      <c r="G119" s="122">
        <f t="shared" ref="G119:N119" si="3">SUMIF($E$80:$E$101,G$115,$C$80:$C$101)</f>
        <v>0</v>
      </c>
      <c r="H119" s="122">
        <f t="shared" si="3"/>
        <v>0</v>
      </c>
      <c r="I119" s="122">
        <f t="shared" si="3"/>
        <v>0</v>
      </c>
      <c r="J119" s="122">
        <f t="shared" si="3"/>
        <v>0</v>
      </c>
      <c r="K119" s="122">
        <f t="shared" si="3"/>
        <v>0</v>
      </c>
      <c r="L119" s="122">
        <f t="shared" si="3"/>
        <v>0</v>
      </c>
      <c r="M119" s="122">
        <f t="shared" si="3"/>
        <v>0</v>
      </c>
      <c r="N119" s="122">
        <f t="shared" si="3"/>
        <v>0</v>
      </c>
    </row>
    <row r="120" spans="2:14" ht="15.75" customHeight="1" thickBot="1">
      <c r="B120" s="125" t="s">
        <v>100</v>
      </c>
      <c r="C120" s="126">
        <f>C110</f>
        <v>1927894.1212895242</v>
      </c>
      <c r="D120" s="135">
        <f>C110*D110</f>
        <v>0</v>
      </c>
      <c r="E120" s="140" t="s">
        <v>100</v>
      </c>
      <c r="F120" s="138">
        <f>SUMIF($E$105:$E$110,F$115,$C$105:$C$110)</f>
        <v>0</v>
      </c>
      <c r="G120" s="138">
        <f t="shared" ref="G120:N120" si="4">SUMIF($E$105:$E$110,G$115,$C$105:$C$110)</f>
        <v>0</v>
      </c>
      <c r="H120" s="138">
        <f t="shared" si="4"/>
        <v>0</v>
      </c>
      <c r="I120" s="138">
        <f t="shared" si="4"/>
        <v>0</v>
      </c>
      <c r="J120" s="138">
        <f t="shared" si="4"/>
        <v>0</v>
      </c>
      <c r="K120" s="138">
        <f t="shared" si="4"/>
        <v>0</v>
      </c>
      <c r="L120" s="138">
        <f t="shared" si="4"/>
        <v>318037.5</v>
      </c>
      <c r="M120" s="138">
        <f t="shared" si="4"/>
        <v>0</v>
      </c>
      <c r="N120" s="138">
        <f t="shared" si="4"/>
        <v>1609856.6212895242</v>
      </c>
    </row>
    <row r="121" spans="2:14" ht="30" customHeight="1" thickTop="1">
      <c r="B121" s="123" t="s">
        <v>139</v>
      </c>
      <c r="C121" s="128">
        <f>SUM(C116:C120)</f>
        <v>25057894.121289525</v>
      </c>
      <c r="D121" s="128">
        <f>SUM(D116:D120)</f>
        <v>19880000</v>
      </c>
      <c r="E121" s="74"/>
      <c r="F121" s="128">
        <f>SUM(F116:F120)</f>
        <v>18380000</v>
      </c>
      <c r="G121" s="128">
        <f t="shared" ref="G121:N121" si="5">SUM(G116:G120)</f>
        <v>0</v>
      </c>
      <c r="H121" s="128">
        <f t="shared" si="5"/>
        <v>1500000</v>
      </c>
      <c r="I121" s="128">
        <f t="shared" si="5"/>
        <v>0</v>
      </c>
      <c r="J121" s="128">
        <f t="shared" si="5"/>
        <v>0</v>
      </c>
      <c r="K121" s="128">
        <f t="shared" si="5"/>
        <v>250000</v>
      </c>
      <c r="L121" s="128">
        <f t="shared" si="5"/>
        <v>3318037.5</v>
      </c>
      <c r="M121" s="128">
        <f t="shared" si="5"/>
        <v>0</v>
      </c>
      <c r="N121" s="128">
        <f t="shared" si="5"/>
        <v>1609856.6212895242</v>
      </c>
    </row>
    <row r="122" spans="2:14">
      <c r="B122" s="15"/>
      <c r="C122" s="15"/>
      <c r="D122" s="15"/>
      <c r="E122" s="15"/>
    </row>
    <row r="123" spans="2:14" ht="15.75">
      <c r="B123" s="256" t="s">
        <v>206</v>
      </c>
      <c r="C123" s="257" t="str">
        <f>Inputs!G69</f>
        <v>Yes</v>
      </c>
    </row>
    <row r="124" spans="2:14" ht="15.75" thickBot="1">
      <c r="B124" s="329"/>
      <c r="C124" s="329"/>
      <c r="D124" s="329"/>
      <c r="E124" s="329"/>
      <c r="F124" s="329"/>
      <c r="G124" s="329"/>
      <c r="H124" s="329"/>
      <c r="I124" s="329"/>
      <c r="J124" s="329"/>
      <c r="K124" s="329"/>
      <c r="L124" s="329"/>
      <c r="M124" s="329"/>
      <c r="N124" s="329"/>
    </row>
    <row r="125" spans="2:14" ht="15.75" thickBot="1">
      <c r="D125" s="317"/>
      <c r="E125" s="317"/>
    </row>
    <row r="126" spans="2:14" ht="30" customHeight="1" thickBot="1">
      <c r="B126" s="787" t="s">
        <v>229</v>
      </c>
      <c r="C126" s="788"/>
      <c r="D126" s="788"/>
      <c r="E126" s="789"/>
    </row>
    <row r="127" spans="2:14" ht="15.75" thickBot="1"/>
    <row r="128" spans="2:14" ht="60.75" thickBot="1">
      <c r="C128" s="326" t="s">
        <v>266</v>
      </c>
      <c r="D128" s="327" t="s">
        <v>269</v>
      </c>
    </row>
    <row r="129" spans="3:6" ht="15.75">
      <c r="C129" s="486">
        <f>'Cash Flow'!G2</f>
        <v>1</v>
      </c>
      <c r="D129" s="487">
        <v>5</v>
      </c>
      <c r="F129" s="382"/>
    </row>
    <row r="130" spans="3:6" ht="15.75">
      <c r="C130" s="488">
        <f>C129+1</f>
        <v>2</v>
      </c>
      <c r="D130" s="489">
        <v>5.0999999999999996</v>
      </c>
      <c r="F130" s="382"/>
    </row>
    <row r="131" spans="3:6" ht="15.75">
      <c r="C131" s="488">
        <f t="shared" ref="C131:C158" si="6">C130+1</f>
        <v>3</v>
      </c>
      <c r="D131" s="489">
        <v>5.202</v>
      </c>
      <c r="F131" s="382"/>
    </row>
    <row r="132" spans="3:6" ht="15.75">
      <c r="C132" s="488">
        <f t="shared" si="6"/>
        <v>4</v>
      </c>
      <c r="D132" s="489">
        <v>5.3060400000000003</v>
      </c>
      <c r="F132" s="382"/>
    </row>
    <row r="133" spans="3:6" ht="15.75">
      <c r="C133" s="488">
        <f t="shared" si="6"/>
        <v>5</v>
      </c>
      <c r="D133" s="489">
        <v>5.4121608000000005</v>
      </c>
      <c r="F133" s="382"/>
    </row>
    <row r="134" spans="3:6" ht="15.75">
      <c r="C134" s="488">
        <f t="shared" si="6"/>
        <v>6</v>
      </c>
      <c r="D134" s="489">
        <v>5.5204040160000005</v>
      </c>
      <c r="F134" s="382"/>
    </row>
    <row r="135" spans="3:6" ht="15.75">
      <c r="C135" s="488">
        <f t="shared" si="6"/>
        <v>7</v>
      </c>
      <c r="D135" s="489">
        <v>5.6308120963200006</v>
      </c>
      <c r="E135" s="26"/>
      <c r="F135" s="382"/>
    </row>
    <row r="136" spans="3:6" ht="15.75">
      <c r="C136" s="488">
        <f t="shared" si="6"/>
        <v>8</v>
      </c>
      <c r="D136" s="489">
        <v>5.7434283382464004</v>
      </c>
      <c r="E136" s="136"/>
      <c r="F136" s="382"/>
    </row>
    <row r="137" spans="3:6" ht="15.75">
      <c r="C137" s="488">
        <f t="shared" si="6"/>
        <v>9</v>
      </c>
      <c r="D137" s="489">
        <v>5.8582969050113283</v>
      </c>
      <c r="E137" s="137"/>
      <c r="F137" s="382"/>
    </row>
    <row r="138" spans="3:6" ht="15.75">
      <c r="C138" s="488">
        <f t="shared" si="6"/>
        <v>10</v>
      </c>
      <c r="D138" s="489">
        <v>5.9754628431115551</v>
      </c>
      <c r="E138" s="137"/>
      <c r="F138" s="382"/>
    </row>
    <row r="139" spans="3:6" ht="15.75">
      <c r="C139" s="488">
        <f t="shared" si="6"/>
        <v>11</v>
      </c>
      <c r="D139" s="489">
        <v>6.094972099973786</v>
      </c>
      <c r="E139" s="137"/>
      <c r="F139" s="382"/>
    </row>
    <row r="140" spans="3:6" ht="15.75">
      <c r="C140" s="488">
        <f t="shared" si="6"/>
        <v>12</v>
      </c>
      <c r="D140" s="489">
        <v>6.2168715419732621</v>
      </c>
      <c r="E140" s="137"/>
      <c r="F140" s="382"/>
    </row>
    <row r="141" spans="3:6" ht="15.75">
      <c r="C141" s="488">
        <f t="shared" si="6"/>
        <v>13</v>
      </c>
      <c r="D141" s="489">
        <v>6.3412089728127281</v>
      </c>
      <c r="E141" s="137"/>
      <c r="F141" s="382"/>
    </row>
    <row r="142" spans="3:6" ht="15.75">
      <c r="C142" s="488">
        <f t="shared" si="6"/>
        <v>14</v>
      </c>
      <c r="D142" s="489">
        <v>6.4680331522689825</v>
      </c>
      <c r="E142" s="137"/>
      <c r="F142" s="382"/>
    </row>
    <row r="143" spans="3:6" ht="15.75">
      <c r="C143" s="488">
        <f t="shared" si="6"/>
        <v>15</v>
      </c>
      <c r="D143" s="489">
        <v>6.5973938153143621</v>
      </c>
      <c r="E143" s="137"/>
      <c r="F143" s="382"/>
    </row>
    <row r="144" spans="3:6" ht="15.75">
      <c r="C144" s="488">
        <f t="shared" si="6"/>
        <v>16</v>
      </c>
      <c r="D144" s="489">
        <v>6.7293416916206494</v>
      </c>
      <c r="E144" s="137"/>
      <c r="F144" s="382"/>
    </row>
    <row r="145" spans="3:6" ht="15.75">
      <c r="C145" s="488">
        <f t="shared" si="6"/>
        <v>17</v>
      </c>
      <c r="D145" s="489">
        <v>6.8639285254530638</v>
      </c>
      <c r="E145" s="137"/>
      <c r="F145" s="382"/>
    </row>
    <row r="146" spans="3:6" ht="15.75">
      <c r="C146" s="488">
        <f t="shared" si="6"/>
        <v>18</v>
      </c>
      <c r="D146" s="489">
        <v>7.0012070959621253</v>
      </c>
      <c r="E146" s="26"/>
      <c r="F146" s="382"/>
    </row>
    <row r="147" spans="3:6" ht="15.75">
      <c r="C147" s="488">
        <f t="shared" si="6"/>
        <v>19</v>
      </c>
      <c r="D147" s="489">
        <v>7.1412312378813683</v>
      </c>
      <c r="E147" s="26"/>
      <c r="F147" s="382"/>
    </row>
    <row r="148" spans="3:6" ht="15.75">
      <c r="C148" s="488">
        <f t="shared" si="6"/>
        <v>20</v>
      </c>
      <c r="D148" s="489">
        <v>7.2840558626389953</v>
      </c>
      <c r="E148" s="26"/>
      <c r="F148" s="382"/>
    </row>
    <row r="149" spans="3:6" ht="15.75">
      <c r="C149" s="488">
        <f t="shared" si="6"/>
        <v>21</v>
      </c>
      <c r="D149" s="489">
        <v>7.4297369798917758</v>
      </c>
      <c r="F149" s="382"/>
    </row>
    <row r="150" spans="3:6" ht="15.75">
      <c r="C150" s="488">
        <f t="shared" si="6"/>
        <v>22</v>
      </c>
      <c r="D150" s="489">
        <v>7.5783317194896114</v>
      </c>
      <c r="F150" s="382"/>
    </row>
    <row r="151" spans="3:6" ht="15.75">
      <c r="C151" s="488">
        <f t="shared" si="6"/>
        <v>23</v>
      </c>
      <c r="D151" s="489">
        <v>7.7298983538794035</v>
      </c>
      <c r="F151" s="382"/>
    </row>
    <row r="152" spans="3:6" ht="15.75">
      <c r="C152" s="488">
        <f t="shared" si="6"/>
        <v>24</v>
      </c>
      <c r="D152" s="489">
        <v>7.8844963209569912</v>
      </c>
      <c r="F152" s="382"/>
    </row>
    <row r="153" spans="3:6" ht="15.75">
      <c r="C153" s="488">
        <f t="shared" si="6"/>
        <v>25</v>
      </c>
      <c r="D153" s="489">
        <v>8.0421862473761312</v>
      </c>
      <c r="F153" s="382"/>
    </row>
    <row r="154" spans="3:6" ht="15.75">
      <c r="C154" s="488">
        <f t="shared" si="6"/>
        <v>26</v>
      </c>
      <c r="D154" s="489">
        <v>8.2030299723236535</v>
      </c>
      <c r="F154" s="382"/>
    </row>
    <row r="155" spans="3:6" ht="15.75">
      <c r="C155" s="488">
        <f t="shared" si="6"/>
        <v>27</v>
      </c>
      <c r="D155" s="489">
        <v>8.3670905717701274</v>
      </c>
      <c r="F155" s="382"/>
    </row>
    <row r="156" spans="3:6" ht="15.75">
      <c r="C156" s="488">
        <f t="shared" si="6"/>
        <v>28</v>
      </c>
      <c r="D156" s="489">
        <v>8.5344323832055302</v>
      </c>
      <c r="F156" s="382"/>
    </row>
    <row r="157" spans="3:6" ht="15.75">
      <c r="C157" s="488">
        <f t="shared" si="6"/>
        <v>29</v>
      </c>
      <c r="D157" s="489">
        <v>8.7051210308696394</v>
      </c>
      <c r="F157" s="382"/>
    </row>
    <row r="158" spans="3:6" ht="15.75">
      <c r="C158" s="488">
        <f t="shared" si="6"/>
        <v>30</v>
      </c>
      <c r="D158" s="489">
        <v>8.8792234514870323</v>
      </c>
      <c r="F158" s="382"/>
    </row>
    <row r="159" spans="3:6" ht="30" customHeight="1">
      <c r="C159" s="790" t="s">
        <v>231</v>
      </c>
      <c r="D159" s="791"/>
    </row>
  </sheetData>
  <sheetProtection password="CA95" sheet="1" objects="1" scenarios="1"/>
  <protectedRanges>
    <protectedRange sqref="D129:D158" name="Market Value"/>
    <protectedRange sqref="B6:E25 B31:E50 B56:E75 B81:E100 D106:E109" name="Complex Inputs"/>
  </protectedRanges>
  <mergeCells count="2">
    <mergeCell ref="B126:E126"/>
    <mergeCell ref="C159:D159"/>
  </mergeCells>
  <conditionalFormatting sqref="D106:E110 D6:E26 D56:E76 D116:N121 D81:E101 D31:E51">
    <cfRule type="expression" dxfId="6" priority="1">
      <formula>$C$123="No"</formula>
    </cfRule>
  </conditionalFormatting>
  <conditionalFormatting sqref="B108">
    <cfRule type="expression" dxfId="5" priority="5">
      <formula>#REF!="100% Equity"</formula>
    </cfRule>
  </conditionalFormatting>
  <conditionalFormatting sqref="B108">
    <cfRule type="expression" dxfId="4" priority="6">
      <formula>#REF!="(use dropdown)"</formula>
    </cfRule>
  </conditionalFormatting>
  <dataValidations count="1">
    <dataValidation type="list" allowBlank="1" showInputMessage="1" showErrorMessage="1" sqref="E6:E25 E31:E50 E106:E109 E56:E75 E81:E100">
      <formula1>$F$115:$N$115</formula1>
    </dataValidation>
  </dataValidations>
  <hyperlinks>
    <hyperlink ref="B53" location="Inputs!A1" display="Click Here to Return to Inputs Worksheet"/>
    <hyperlink ref="B78" location="Inputs!A1" display="Click Here to Return to Inputs Worksheet"/>
    <hyperlink ref="B28" location="Inputs!A1" display="Click Here to Return to Inputs Worksheet"/>
    <hyperlink ref="B103" location="Inputs!A1" display="Click Here to Return to Inputs Worksheet"/>
    <hyperlink ref="B112" location="Inputs!A1" display="Click Here to Return to Inputs Worksheet"/>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Introduction</vt:lpstr>
      <vt:lpstr>Inputs</vt:lpstr>
      <vt:lpstr>Summary Results</vt:lpstr>
      <vt:lpstr>Annual Cash Flows &amp; Returns</vt:lpstr>
      <vt:lpstr>Cash Flow</vt:lpstr>
      <vt:lpstr>Complex Inputs</vt:lpstr>
      <vt:lpstr>Inputs!_ftnref1</vt:lpstr>
      <vt:lpstr>Introduction!Print_Area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dc:title>
  <dc:subject>Cost of Energy Model</dc:subject>
  <dc:creator>Jason S. Gifford</dc:creator>
  <cp:keywords>Feed-In Tariff</cp:keywords>
  <dc:description>Prepared under contract to the National Renewable Energy Laboratory.</dc:description>
  <cp:lastModifiedBy>Jason Gifford</cp:lastModifiedBy>
  <cp:lastPrinted>2010-07-30T20:36:23Z</cp:lastPrinted>
  <dcterms:created xsi:type="dcterms:W3CDTF">2010-03-29T19:24:38Z</dcterms:created>
  <dcterms:modified xsi:type="dcterms:W3CDTF">2012-10-16T01:38:22Z</dcterms:modified>
</cp:coreProperties>
</file>